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drawings/drawing1.xml" ContentType="application/vnd.openxmlformats-officedocument.drawing+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trlProps/ctrlProp59.xml" ContentType="application/vnd.ms-excel.controlproperties+xml"/>
  <Override PartName="/xl/ctrlProps/ctrlProp60.xml" ContentType="application/vnd.ms-excel.controlproperties+xml"/>
  <Override PartName="/xl/ctrlProps/ctrlProp61.xml" ContentType="application/vnd.ms-excel.controlproperties+xml"/>
  <Override PartName="/xl/ctrlProps/ctrlProp62.xml" ContentType="application/vnd.ms-excel.controlproperties+xml"/>
  <Override PartName="/xl/ctrlProps/ctrlProp63.xml" ContentType="application/vnd.ms-excel.controlproperties+xml"/>
  <Override PartName="/xl/ctrlProps/ctrlProp64.xml" ContentType="application/vnd.ms-excel.controlproperties+xml"/>
  <Override PartName="/xl/ctrlProps/ctrlProp65.xml" ContentType="application/vnd.ms-excel.controlproperties+xml"/>
  <Override PartName="/xl/ctrlProps/ctrlProp66.xml" ContentType="application/vnd.ms-excel.controlproperties+xml"/>
  <Override PartName="/xl/ctrlProps/ctrlProp67.xml" ContentType="application/vnd.ms-excel.controlproperties+xml"/>
  <Override PartName="/xl/ctrlProps/ctrlProp68.xml" ContentType="application/vnd.ms-excel.controlproperties+xml"/>
  <Override PartName="/xl/ctrlProps/ctrlProp69.xml" ContentType="application/vnd.ms-excel.controlproperties+xml"/>
  <Override PartName="/xl/ctrlProps/ctrlProp70.xml" ContentType="application/vnd.ms-excel.controlproperties+xml"/>
  <Override PartName="/xl/ctrlProps/ctrlProp71.xml" ContentType="application/vnd.ms-excel.controlproperties+xml"/>
  <Override PartName="/xl/ctrlProps/ctrlProp72.xml" ContentType="application/vnd.ms-excel.controlproperties+xml"/>
  <Override PartName="/xl/ctrlProps/ctrlProp73.xml" ContentType="application/vnd.ms-excel.controlproperties+xml"/>
  <Override PartName="/xl/ctrlProps/ctrlProp74.xml" ContentType="application/vnd.ms-excel.controlproperties+xml"/>
  <Override PartName="/xl/ctrlProps/ctrlProp75.xml" ContentType="application/vnd.ms-excel.controlproperties+xml"/>
  <Override PartName="/xl/ctrlProps/ctrlProp76.xml" ContentType="application/vnd.ms-excel.controlproperties+xml"/>
  <Override PartName="/xl/ctrlProps/ctrlProp77.xml" ContentType="application/vnd.ms-excel.controlproperties+xml"/>
  <Override PartName="/xl/ctrlProps/ctrlProp78.xml" ContentType="application/vnd.ms-excel.controlproperties+xml"/>
  <Override PartName="/xl/ctrlProps/ctrlProp79.xml" ContentType="application/vnd.ms-excel.controlproperties+xml"/>
  <Override PartName="/xl/ctrlProps/ctrlProp80.xml" ContentType="application/vnd.ms-excel.controlproperties+xml"/>
  <Override PartName="/xl/ctrlProps/ctrlProp81.xml" ContentType="application/vnd.ms-excel.controlproperties+xml"/>
  <Override PartName="/xl/ctrlProps/ctrlProp82.xml" ContentType="application/vnd.ms-excel.controlproperties+xml"/>
  <Override PartName="/xl/ctrlProps/ctrlProp83.xml" ContentType="application/vnd.ms-excel.controlproperties+xml"/>
  <Override PartName="/xl/ctrlProps/ctrlProp84.xml" ContentType="application/vnd.ms-excel.controlproperties+xml"/>
  <Override PartName="/xl/ctrlProps/ctrlProp85.xml" ContentType="application/vnd.ms-excel.controlproperties+xml"/>
  <Override PartName="/xl/ctrlProps/ctrlProp86.xml" ContentType="application/vnd.ms-excel.controlproperties+xml"/>
  <Override PartName="/xl/ctrlProps/ctrlProp87.xml" ContentType="application/vnd.ms-excel.controlproperties+xml"/>
  <Override PartName="/xl/ctrlProps/ctrlProp88.xml" ContentType="application/vnd.ms-excel.controlproperties+xml"/>
  <Override PartName="/xl/ctrlProps/ctrlProp89.xml" ContentType="application/vnd.ms-excel.controlproperties+xml"/>
  <Override PartName="/xl/ctrlProps/ctrlProp90.xml" ContentType="application/vnd.ms-excel.controlproperties+xml"/>
  <Override PartName="/xl/ctrlProps/ctrlProp91.xml" ContentType="application/vnd.ms-excel.controlproperties+xml"/>
  <Override PartName="/xl/ctrlProps/ctrlProp92.xml" ContentType="application/vnd.ms-excel.controlproperties+xml"/>
  <Override PartName="/xl/ctrlProps/ctrlProp93.xml" ContentType="application/vnd.ms-excel.controlproperties+xml"/>
  <Override PartName="/xl/ctrlProps/ctrlProp94.xml" ContentType="application/vnd.ms-excel.controlproperties+xml"/>
  <Override PartName="/xl/ctrlProps/ctrlProp95.xml" ContentType="application/vnd.ms-excel.controlproperties+xml"/>
  <Override PartName="/xl/ctrlProps/ctrlProp96.xml" ContentType="application/vnd.ms-excel.controlproperties+xml"/>
  <Override PartName="/xl/ctrlProps/ctrlProp97.xml" ContentType="application/vnd.ms-excel.controlproperties+xml"/>
  <Override PartName="/xl/ctrlProps/ctrlProp98.xml" ContentType="application/vnd.ms-excel.controlproperties+xml"/>
  <Override PartName="/xl/ctrlProps/ctrlProp99.xml" ContentType="application/vnd.ms-excel.controlproperties+xml"/>
  <Override PartName="/xl/ctrlProps/ctrlProp100.xml" ContentType="application/vnd.ms-excel.controlproperties+xml"/>
  <Override PartName="/xl/ctrlProps/ctrlProp101.xml" ContentType="application/vnd.ms-excel.controlproperties+xml"/>
  <Override PartName="/xl/ctrlProps/ctrlProp102.xml" ContentType="application/vnd.ms-excel.controlproperties+xml"/>
  <Override PartName="/xl/ctrlProps/ctrlProp103.xml" ContentType="application/vnd.ms-excel.controlproperties+xml"/>
  <Override PartName="/xl/ctrlProps/ctrlProp104.xml" ContentType="application/vnd.ms-excel.controlproperties+xml"/>
  <Override PartName="/xl/ctrlProps/ctrlProp105.xml" ContentType="application/vnd.ms-excel.controlproperties+xml"/>
  <Override PartName="/xl/ctrlProps/ctrlProp106.xml" ContentType="application/vnd.ms-excel.controlproperties+xml"/>
  <Override PartName="/xl/ctrlProps/ctrlProp107.xml" ContentType="application/vnd.ms-excel.controlproperties+xml"/>
  <Override PartName="/xl/ctrlProps/ctrlProp108.xml" ContentType="application/vnd.ms-excel.controlproperties+xml"/>
  <Override PartName="/xl/ctrlProps/ctrlProp109.xml" ContentType="application/vnd.ms-excel.controlproperties+xml"/>
  <Override PartName="/xl/ctrlProps/ctrlProp110.xml" ContentType="application/vnd.ms-excel.controlproperties+xml"/>
  <Override PartName="/xl/ctrlProps/ctrlProp111.xml" ContentType="application/vnd.ms-excel.controlproperties+xml"/>
  <Override PartName="/xl/ctrlProps/ctrlProp112.xml" ContentType="application/vnd.ms-excel.controlproperties+xml"/>
  <Override PartName="/xl/ctrlProps/ctrlProp113.xml" ContentType="application/vnd.ms-excel.controlproperties+xml"/>
  <Override PartName="/xl/ctrlProps/ctrlProp114.xml" ContentType="application/vnd.ms-excel.controlproperties+xml"/>
  <Override PartName="/xl/ctrlProps/ctrlProp115.xml" ContentType="application/vnd.ms-excel.controlproperties+xml"/>
  <Override PartName="/xl/ctrlProps/ctrlProp116.xml" ContentType="application/vnd.ms-excel.controlproperties+xml"/>
  <Override PartName="/xl/ctrlProps/ctrlProp117.xml" ContentType="application/vnd.ms-excel.controlproperties+xml"/>
  <Override PartName="/xl/ctrlProps/ctrlProp118.xml" ContentType="application/vnd.ms-excel.controlproperties+xml"/>
  <Override PartName="/xl/ctrlProps/ctrlProp119.xml" ContentType="application/vnd.ms-excel.controlproperties+xml"/>
  <Override PartName="/xl/ctrlProps/ctrlProp120.xml" ContentType="application/vnd.ms-excel.controlproperties+xml"/>
  <Override PartName="/xl/ctrlProps/ctrlProp121.xml" ContentType="application/vnd.ms-excel.controlproperties+xml"/>
  <Override PartName="/xl/ctrlProps/ctrlProp122.xml" ContentType="application/vnd.ms-excel.controlproperties+xml"/>
  <Override PartName="/xl/ctrlProps/ctrlProp123.xml" ContentType="application/vnd.ms-excel.controlproperties+xml"/>
  <Override PartName="/xl/ctrlProps/ctrlProp124.xml" ContentType="application/vnd.ms-excel.controlproperties+xml"/>
  <Override PartName="/xl/ctrlProps/ctrlProp125.xml" ContentType="application/vnd.ms-excel.controlproperties+xml"/>
  <Override PartName="/xl/ctrlProps/ctrlProp126.xml" ContentType="application/vnd.ms-excel.controlproperties+xml"/>
  <Override PartName="/xl/ctrlProps/ctrlProp127.xml" ContentType="application/vnd.ms-excel.controlproperties+xml"/>
  <Override PartName="/xl/ctrlProps/ctrlProp128.xml" ContentType="application/vnd.ms-excel.controlproperties+xml"/>
  <Override PartName="/xl/ctrlProps/ctrlProp129.xml" ContentType="application/vnd.ms-excel.controlproperties+xml"/>
  <Override PartName="/xl/ctrlProps/ctrlProp130.xml" ContentType="application/vnd.ms-excel.controlproperties+xml"/>
  <Override PartName="/xl/ctrlProps/ctrlProp131.xml" ContentType="application/vnd.ms-excel.controlproperties+xml"/>
  <Override PartName="/xl/ctrlProps/ctrlProp132.xml" ContentType="application/vnd.ms-excel.controlproperties+xml"/>
  <Override PartName="/xl/ctrlProps/ctrlProp133.xml" ContentType="application/vnd.ms-excel.controlproperties+xml"/>
  <Override PartName="/xl/ctrlProps/ctrlProp134.xml" ContentType="application/vnd.ms-excel.controlproperties+xml"/>
  <Override PartName="/xl/ctrlProps/ctrlProp135.xml" ContentType="application/vnd.ms-excel.controlproperties+xml"/>
  <Override PartName="/xl/ctrlProps/ctrlProp136.xml" ContentType="application/vnd.ms-excel.controlproperties+xml"/>
  <Override PartName="/xl/ctrlProps/ctrlProp137.xml" ContentType="application/vnd.ms-excel.controlproperties+xml"/>
  <Override PartName="/xl/ctrlProps/ctrlProp138.xml" ContentType="application/vnd.ms-excel.controlproperties+xml"/>
  <Override PartName="/xl/ctrlProps/ctrlProp139.xml" ContentType="application/vnd.ms-excel.controlproperties+xml"/>
  <Override PartName="/xl/ctrlProps/ctrlProp140.xml" ContentType="application/vnd.ms-excel.controlproperties+xml"/>
  <Override PartName="/xl/ctrlProps/ctrlProp141.xml" ContentType="application/vnd.ms-excel.controlproperties+xml"/>
  <Override PartName="/xl/ctrlProps/ctrlProp142.xml" ContentType="application/vnd.ms-excel.controlproperties+xml"/>
  <Override PartName="/xl/ctrlProps/ctrlProp143.xml" ContentType="application/vnd.ms-excel.controlproperties+xml"/>
  <Override PartName="/xl/ctrlProps/ctrlProp144.xml" ContentType="application/vnd.ms-excel.controlproperties+xml"/>
  <Override PartName="/xl/ctrlProps/ctrlProp145.xml" ContentType="application/vnd.ms-excel.controlproperties+xml"/>
  <Override PartName="/xl/ctrlProps/ctrlProp146.xml" ContentType="application/vnd.ms-excel.controlproperties+xml"/>
  <Override PartName="/xl/ctrlProps/ctrlProp147.xml" ContentType="application/vnd.ms-excel.controlproperties+xml"/>
  <Override PartName="/xl/ctrlProps/ctrlProp148.xml" ContentType="application/vnd.ms-excel.controlproperties+xml"/>
  <Override PartName="/xl/ctrlProps/ctrlProp149.xml" ContentType="application/vnd.ms-excel.controlproperties+xml"/>
  <Override PartName="/xl/ctrlProps/ctrlProp150.xml" ContentType="application/vnd.ms-excel.controlproperties+xml"/>
  <Override PartName="/xl/ctrlProps/ctrlProp151.xml" ContentType="application/vnd.ms-excel.controlproperties+xml"/>
  <Override PartName="/xl/ctrlProps/ctrlProp152.xml" ContentType="application/vnd.ms-excel.controlproperties+xml"/>
  <Override PartName="/xl/ctrlProps/ctrlProp153.xml" ContentType="application/vnd.ms-excel.controlproperties+xml"/>
  <Override PartName="/xl/ctrlProps/ctrlProp154.xml" ContentType="application/vnd.ms-excel.controlproperties+xml"/>
  <Override PartName="/xl/ctrlProps/ctrlProp155.xml" ContentType="application/vnd.ms-excel.controlproperties+xml"/>
  <Override PartName="/xl/ctrlProps/ctrlProp156.xml" ContentType="application/vnd.ms-excel.controlproperties+xml"/>
  <Override PartName="/xl/ctrlProps/ctrlProp157.xml" ContentType="application/vnd.ms-excel.controlproperties+xml"/>
  <Override PartName="/xl/ctrlProps/ctrlProp158.xml" ContentType="application/vnd.ms-excel.controlproperties+xml"/>
  <Override PartName="/xl/ctrlProps/ctrlProp159.xml" ContentType="application/vnd.ms-excel.controlproperties+xml"/>
  <Override PartName="/xl/ctrlProps/ctrlProp160.xml" ContentType="application/vnd.ms-excel.controlproperties+xml"/>
  <Override PartName="/xl/ctrlProps/ctrlProp161.xml" ContentType="application/vnd.ms-excel.controlproperties+xml"/>
  <Override PartName="/xl/ctrlProps/ctrlProp162.xml" ContentType="application/vnd.ms-excel.controlproperties+xml"/>
  <Override PartName="/xl/ctrlProps/ctrlProp163.xml" ContentType="application/vnd.ms-excel.controlproperties+xml"/>
  <Override PartName="/xl/ctrlProps/ctrlProp164.xml" ContentType="application/vnd.ms-excel.controlproperties+xml"/>
  <Override PartName="/xl/ctrlProps/ctrlProp165.xml" ContentType="application/vnd.ms-excel.controlproperties+xml"/>
  <Override PartName="/xl/ctrlProps/ctrlProp166.xml" ContentType="application/vnd.ms-excel.controlproperties+xml"/>
  <Override PartName="/xl/ctrlProps/ctrlProp167.xml" ContentType="application/vnd.ms-excel.controlproperties+xml"/>
  <Override PartName="/xl/ctrlProps/ctrlProp168.xml" ContentType="application/vnd.ms-excel.controlproperties+xml"/>
  <Override PartName="/xl/ctrlProps/ctrlProp169.xml" ContentType="application/vnd.ms-excel.controlproperties+xml"/>
  <Override PartName="/xl/ctrlProps/ctrlProp170.xml" ContentType="application/vnd.ms-excel.controlproperties+xml"/>
  <Override PartName="/xl/ctrlProps/ctrlProp171.xml" ContentType="application/vnd.ms-excel.controlproperties+xml"/>
  <Override PartName="/xl/ctrlProps/ctrlProp172.xml" ContentType="application/vnd.ms-excel.controlproperties+xml"/>
  <Override PartName="/xl/ctrlProps/ctrlProp173.xml" ContentType="application/vnd.ms-excel.controlproperties+xml"/>
  <Override PartName="/xl/ctrlProps/ctrlProp174.xml" ContentType="application/vnd.ms-excel.controlproperties+xml"/>
  <Override PartName="/xl/ctrlProps/ctrlProp175.xml" ContentType="application/vnd.ms-excel.controlproperties+xml"/>
  <Override PartName="/xl/ctrlProps/ctrlProp176.xml" ContentType="application/vnd.ms-excel.controlproperties+xml"/>
  <Override PartName="/xl/ctrlProps/ctrlProp177.xml" ContentType="application/vnd.ms-excel.controlproperties+xml"/>
  <Override PartName="/xl/ctrlProps/ctrlProp178.xml" ContentType="application/vnd.ms-excel.controlproperties+xml"/>
  <Override PartName="/xl/ctrlProps/ctrlProp179.xml" ContentType="application/vnd.ms-excel.controlproperties+xml"/>
  <Override PartName="/xl/ctrlProps/ctrlProp180.xml" ContentType="application/vnd.ms-excel.controlproperties+xml"/>
  <Override PartName="/xl/ctrlProps/ctrlProp181.xml" ContentType="application/vnd.ms-excel.controlproperties+xml"/>
  <Override PartName="/xl/ctrlProps/ctrlProp182.xml" ContentType="application/vnd.ms-excel.controlproperties+xml"/>
  <Override PartName="/xl/ctrlProps/ctrlProp183.xml" ContentType="application/vnd.ms-excel.controlproperties+xml"/>
  <Override PartName="/xl/ctrlProps/ctrlProp184.xml" ContentType="application/vnd.ms-excel.controlproperties+xml"/>
  <Override PartName="/xl/ctrlProps/ctrlProp185.xml" ContentType="application/vnd.ms-excel.controlproperties+xml"/>
  <Override PartName="/xl/ctrlProps/ctrlProp186.xml" ContentType="application/vnd.ms-excel.controlproperties+xml"/>
  <Override PartName="/xl/ctrlProps/ctrlProp187.xml" ContentType="application/vnd.ms-excel.controlproperties+xml"/>
  <Override PartName="/xl/ctrlProps/ctrlProp188.xml" ContentType="application/vnd.ms-excel.controlproperties+xml"/>
  <Override PartName="/xl/ctrlProps/ctrlProp189.xml" ContentType="application/vnd.ms-excel.controlproperties+xml"/>
  <Override PartName="/xl/ctrlProps/ctrlProp190.xml" ContentType="application/vnd.ms-excel.controlproperties+xml"/>
  <Override PartName="/xl/ctrlProps/ctrlProp191.xml" ContentType="application/vnd.ms-excel.controlproperties+xml"/>
  <Override PartName="/xl/ctrlProps/ctrlProp192.xml" ContentType="application/vnd.ms-excel.controlproperties+xml"/>
  <Override PartName="/xl/ctrlProps/ctrlProp193.xml" ContentType="application/vnd.ms-excel.controlproperties+xml"/>
  <Override PartName="/xl/ctrlProps/ctrlProp194.xml" ContentType="application/vnd.ms-excel.controlproperties+xml"/>
  <Override PartName="/xl/ctrlProps/ctrlProp195.xml" ContentType="application/vnd.ms-excel.controlproperties+xml"/>
  <Override PartName="/xl/ctrlProps/ctrlProp196.xml" ContentType="application/vnd.ms-excel.controlproperties+xml"/>
  <Override PartName="/xl/ctrlProps/ctrlProp197.xml" ContentType="application/vnd.ms-excel.controlproperties+xml"/>
  <Override PartName="/xl/ctrlProps/ctrlProp198.xml" ContentType="application/vnd.ms-excel.controlproperties+xml"/>
  <Override PartName="/xl/ctrlProps/ctrlProp199.xml" ContentType="application/vnd.ms-excel.controlproperties+xml"/>
  <Override PartName="/xl/ctrlProps/ctrlProp200.xml" ContentType="application/vnd.ms-excel.controlproperties+xml"/>
  <Override PartName="/xl/ctrlProps/ctrlProp201.xml" ContentType="application/vnd.ms-excel.controlproperties+xml"/>
  <Override PartName="/xl/ctrlProps/ctrlProp202.xml" ContentType="application/vnd.ms-excel.controlproperties+xml"/>
  <Override PartName="/xl/ctrlProps/ctrlProp203.xml" ContentType="application/vnd.ms-excel.controlproperties+xml"/>
  <Override PartName="/xl/ctrlProps/ctrlProp204.xml" ContentType="application/vnd.ms-excel.controlproperties+xml"/>
  <Override PartName="/xl/ctrlProps/ctrlProp205.xml" ContentType="application/vnd.ms-excel.controlproperties+xml"/>
  <Override PartName="/xl/ctrlProps/ctrlProp206.xml" ContentType="application/vnd.ms-excel.controlproperties+xml"/>
  <Override PartName="/xl/ctrlProps/ctrlProp207.xml" ContentType="application/vnd.ms-excel.controlproperties+xml"/>
  <Override PartName="/xl/ctrlProps/ctrlProp208.xml" ContentType="application/vnd.ms-excel.controlproperties+xml"/>
  <Override PartName="/xl/ctrlProps/ctrlProp209.xml" ContentType="application/vnd.ms-excel.controlproperties+xml"/>
  <Override PartName="/xl/ctrlProps/ctrlProp210.xml" ContentType="application/vnd.ms-excel.controlproperties+xml"/>
  <Override PartName="/xl/ctrlProps/ctrlProp211.xml" ContentType="application/vnd.ms-excel.controlproperties+xml"/>
  <Override PartName="/xl/ctrlProps/ctrlProp212.xml" ContentType="application/vnd.ms-excel.controlproperties+xml"/>
  <Override PartName="/xl/ctrlProps/ctrlProp213.xml" ContentType="application/vnd.ms-excel.controlproperties+xml"/>
  <Override PartName="/xl/ctrlProps/ctrlProp214.xml" ContentType="application/vnd.ms-excel.controlproperties+xml"/>
  <Override PartName="/xl/ctrlProps/ctrlProp215.xml" ContentType="application/vnd.ms-excel.controlproperties+xml"/>
  <Override PartName="/xl/ctrlProps/ctrlProp216.xml" ContentType="application/vnd.ms-excel.controlproperties+xml"/>
  <Override PartName="/xl/ctrlProps/ctrlProp217.xml" ContentType="application/vnd.ms-excel.controlproperties+xml"/>
  <Override PartName="/xl/ctrlProps/ctrlProp218.xml" ContentType="application/vnd.ms-excel.controlproperties+xml"/>
  <Override PartName="/xl/ctrlProps/ctrlProp219.xml" ContentType="application/vnd.ms-excel.controlproperties+xml"/>
  <Override PartName="/xl/ctrlProps/ctrlProp220.xml" ContentType="application/vnd.ms-excel.controlproperties+xml"/>
  <Override PartName="/xl/ctrlProps/ctrlProp221.xml" ContentType="application/vnd.ms-excel.controlproperties+xml"/>
  <Override PartName="/xl/ctrlProps/ctrlProp222.xml" ContentType="application/vnd.ms-excel.controlproperties+xml"/>
  <Override PartName="/xl/ctrlProps/ctrlProp223.xml" ContentType="application/vnd.ms-excel.controlproperties+xml"/>
  <Override PartName="/xl/ctrlProps/ctrlProp224.xml" ContentType="application/vnd.ms-excel.controlproperties+xml"/>
  <Override PartName="/xl/ctrlProps/ctrlProp225.xml" ContentType="application/vnd.ms-excel.controlproperties+xml"/>
  <Override PartName="/xl/ctrlProps/ctrlProp226.xml" ContentType="application/vnd.ms-excel.controlproperties+xml"/>
  <Override PartName="/xl/ctrlProps/ctrlProp227.xml" ContentType="application/vnd.ms-excel.controlproperties+xml"/>
  <Override PartName="/xl/ctrlProps/ctrlProp228.xml" ContentType="application/vnd.ms-excel.controlproperties+xml"/>
  <Override PartName="/docProps/core.xml" ContentType="application/vnd.openxmlformats-package.core-properties+xml"/>
  <Override PartName="/xl/ctrlProps/ctrlProp230.xml" ContentType="application/vnd.ms-excel.controlproperties+xml"/>
  <Override PartName="/xl/ctrlProps/ctrlProp231.xml" ContentType="application/vnd.ms-excel.controlproperties+xml"/>
  <Override PartName="/xl/ctrlProps/ctrlProp232.xml" ContentType="application/vnd.ms-excel.controlproperties+xml"/>
  <Override PartName="/xl/ctrlProps/ctrlProp233.xml" ContentType="application/vnd.ms-excel.controlproperties+xml"/>
  <Override PartName="/xl/ctrlProps/ctrlProp234.xml" ContentType="application/vnd.ms-excel.controlproperties+xml"/>
  <Override PartName="/xl/ctrlProps/ctrlProp235.xml" ContentType="application/vnd.ms-excel.controlproperties+xml"/>
  <Override PartName="/xl/ctrlProps/ctrlProp236.xml" ContentType="application/vnd.ms-excel.controlproperties+xml"/>
  <Override PartName="/xl/ctrlProps/ctrlProp237.xml" ContentType="application/vnd.ms-excel.controlproperties+xml"/>
  <Override PartName="/xl/ctrlProps/ctrlProp238.xml" ContentType="application/vnd.ms-excel.controlproperties+xml"/>
  <Override PartName="/xl/ctrlProps/ctrlProp239.xml" ContentType="application/vnd.ms-excel.controlproperties+xml"/>
  <Override PartName="/xl/ctrlProps/ctrlProp240.xml" ContentType="application/vnd.ms-excel.controlproperties+xml"/>
  <Override PartName="/xl/ctrlProps/ctrlProp241.xml" ContentType="application/vnd.ms-excel.controlproperties+xml"/>
  <Override PartName="/xl/ctrlProps/ctrlProp242.xml" ContentType="application/vnd.ms-excel.controlproperties+xml"/>
  <Override PartName="/xl/ctrlProps/ctrlProp243.xml" ContentType="application/vnd.ms-excel.controlproperties+xml"/>
  <Override PartName="/xl/ctrlProps/ctrlProp244.xml" ContentType="application/vnd.ms-excel.controlproperties+xml"/>
  <Override PartName="/xl/ctrlProps/ctrlProp245.xml" ContentType="application/vnd.ms-excel.controlproperties+xml"/>
  <Override PartName="/xl/ctrlProps/ctrlProp246.xml" ContentType="application/vnd.ms-excel.controlproperties+xml"/>
  <Override PartName="/xl/ctrlProps/ctrlProp247.xml" ContentType="application/vnd.ms-excel.controlproperties+xml"/>
  <Override PartName="/xl/ctrlProps/ctrlProp248.xml" ContentType="application/vnd.ms-excel.controlproperties+xml"/>
  <Override PartName="/xl/ctrlProps/ctrlProp249.xml" ContentType="application/vnd.ms-excel.controlproperties+xml"/>
  <Override PartName="/xl/ctrlProps/ctrlProp250.xml" ContentType="application/vnd.ms-excel.controlproperties+xml"/>
  <Override PartName="/xl/ctrlProps/ctrlProp251.xml" ContentType="application/vnd.ms-excel.controlproperties+xml"/>
  <Override PartName="/xl/ctrlProps/ctrlProp252.xml" ContentType="application/vnd.ms-excel.controlproperties+xml"/>
  <Override PartName="/xl/ctrlProps/ctrlProp253.xml" ContentType="application/vnd.ms-excel.controlproperties+xml"/>
  <Override PartName="/xl/ctrlProps/ctrlProp254.xml" ContentType="application/vnd.ms-excel.controlproperties+xml"/>
  <Override PartName="/xl/ctrlProps/ctrlProp255.xml" ContentType="application/vnd.ms-excel.controlproperties+xml"/>
  <Override PartName="/xl/ctrlProps/ctrlProp256.xml" ContentType="application/vnd.ms-excel.controlproperties+xml"/>
  <Override PartName="/xl/ctrlProps/ctrlProp257.xml" ContentType="application/vnd.ms-excel.controlproperties+xml"/>
  <Override PartName="/xl/ctrlProps/ctrlProp258.xml" ContentType="application/vnd.ms-excel.controlproperties+xml"/>
  <Override PartName="/xl/ctrlProps/ctrlProp259.xml" ContentType="application/vnd.ms-excel.controlproperties+xml"/>
  <Override PartName="/xl/ctrlProps/ctrlProp260.xml" ContentType="application/vnd.ms-excel.controlproperties+xml"/>
  <Override PartName="/xl/ctrlProps/ctrlProp261.xml" ContentType="application/vnd.ms-excel.controlproperties+xml"/>
  <Override PartName="/xl/ctrlProps/ctrlProp262.xml" ContentType="application/vnd.ms-excel.controlproperties+xml"/>
  <Override PartName="/xl/ctrlProps/ctrlProp263.xml" ContentType="application/vnd.ms-excel.controlproperties+xml"/>
  <Override PartName="/xl/ctrlProps/ctrlProp264.xml" ContentType="application/vnd.ms-excel.controlproperties+xml"/>
  <Override PartName="/xl/ctrlProps/ctrlProp265.xml" ContentType="application/vnd.ms-excel.controlproperties+xml"/>
  <Override PartName="/xl/ctrlProps/ctrlProp266.xml" ContentType="application/vnd.ms-excel.controlproperties+xml"/>
  <Override PartName="/xl/ctrlProps/ctrlProp267.xml" ContentType="application/vnd.ms-excel.controlproperties+xml"/>
  <Override PartName="/xl/ctrlProps/ctrlProp229.xml" ContentType="application/vnd.ms-excel.controlproperties+xml"/>
  <Override PartName="/xl/ctrlProps/ctrlProp269.xml" ContentType="application/vnd.ms-excel.controlproperties+xml"/>
  <Override PartName="/xl/ctrlProps/ctrlProp270.xml" ContentType="application/vnd.ms-excel.controlproperties+xml"/>
  <Override PartName="/xl/ctrlProps/ctrlProp271.xml" ContentType="application/vnd.ms-excel.controlproperties+xml"/>
  <Override PartName="/xl/ctrlProps/ctrlProp272.xml" ContentType="application/vnd.ms-excel.controlproperties+xml"/>
  <Override PartName="/xl/ctrlProps/ctrlProp273.xml" ContentType="application/vnd.ms-excel.controlproperties+xml"/>
  <Override PartName="/xl/ctrlProps/ctrlProp274.xml" ContentType="application/vnd.ms-excel.controlproperties+xml"/>
  <Override PartName="/xl/ctrlProps/ctrlProp275.xml" ContentType="application/vnd.ms-excel.controlproperties+xml"/>
  <Override PartName="/xl/ctrlProps/ctrlProp276.xml" ContentType="application/vnd.ms-excel.controlproperties+xml"/>
  <Override PartName="/xl/ctrlProps/ctrlProp277.xml" ContentType="application/vnd.ms-excel.controlproperties+xml"/>
  <Override PartName="/xl/ctrlProps/ctrlProp278.xml" ContentType="application/vnd.ms-excel.controlproperties+xml"/>
  <Override PartName="/xl/ctrlProps/ctrlProp279.xml" ContentType="application/vnd.ms-excel.controlproperties+xml"/>
  <Override PartName="/xl/ctrlProps/ctrlProp280.xml" ContentType="application/vnd.ms-excel.controlproperties+xml"/>
  <Override PartName="/xl/ctrlProps/ctrlProp281.xml" ContentType="application/vnd.ms-excel.controlproperties+xml"/>
  <Override PartName="/xl/ctrlProps/ctrlProp282.xml" ContentType="application/vnd.ms-excel.controlproperties+xml"/>
  <Override PartName="/xl/ctrlProps/ctrlProp283.xml" ContentType="application/vnd.ms-excel.controlproperties+xml"/>
  <Override PartName="/xl/ctrlProps/ctrlProp284.xml" ContentType="application/vnd.ms-excel.controlproperties+xml"/>
  <Override PartName="/xl/ctrlProps/ctrlProp285.xml" ContentType="application/vnd.ms-excel.controlproperties+xml"/>
  <Override PartName="/xl/ctrlProps/ctrlProp286.xml" ContentType="application/vnd.ms-excel.controlproperties+xml"/>
  <Override PartName="/xl/ctrlProps/ctrlProp287.xml" ContentType="application/vnd.ms-excel.controlproperties+xml"/>
  <Override PartName="/xl/ctrlProps/ctrlProp288.xml" ContentType="application/vnd.ms-excel.controlproperties+xml"/>
  <Override PartName="/xl/ctrlProps/ctrlProp289.xml" ContentType="application/vnd.ms-excel.controlproperties+xml"/>
  <Override PartName="/xl/ctrlProps/ctrlProp290.xml" ContentType="application/vnd.ms-excel.controlproperties+xml"/>
  <Override PartName="/xl/ctrlProps/ctrlProp291.xml" ContentType="application/vnd.ms-excel.controlproperties+xml"/>
  <Override PartName="/xl/ctrlProps/ctrlProp292.xml" ContentType="application/vnd.ms-excel.controlproperties+xml"/>
  <Override PartName="/xl/ctrlProps/ctrlProp293.xml" ContentType="application/vnd.ms-excel.controlproperties+xml"/>
  <Override PartName="/xl/ctrlProps/ctrlProp294.xml" ContentType="application/vnd.ms-excel.controlproperties+xml"/>
  <Override PartName="/xl/ctrlProps/ctrlProp295.xml" ContentType="application/vnd.ms-excel.controlproperties+xml"/>
  <Override PartName="/xl/ctrlProps/ctrlProp296.xml" ContentType="application/vnd.ms-excel.controlproperties+xml"/>
  <Override PartName="/xl/ctrlProps/ctrlProp297.xml" ContentType="application/vnd.ms-excel.controlproperties+xml"/>
  <Override PartName="/xl/ctrlProps/ctrlProp298.xml" ContentType="application/vnd.ms-excel.controlproperties+xml"/>
  <Override PartName="/xl/ctrlProps/ctrlProp299.xml" ContentType="application/vnd.ms-excel.controlproperties+xml"/>
  <Override PartName="/xl/ctrlProps/ctrlProp300.xml" ContentType="application/vnd.ms-excel.controlproperties+xml"/>
  <Override PartName="/xl/ctrlProps/ctrlProp301.xml" ContentType="application/vnd.ms-excel.controlproperties+xml"/>
  <Override PartName="/xl/ctrlProps/ctrlProp302.xml" ContentType="application/vnd.ms-excel.controlproperties+xml"/>
  <Override PartName="/xl/calcChain.xml" ContentType="application/vnd.openxmlformats-officedocument.spreadsheetml.calcChain+xml"/>
  <Override PartName="/docProps/app.xml" ContentType="application/vnd.openxmlformats-officedocument.extended-properties+xml"/>
  <Override PartName="/xl/ctrlProps/ctrlProp1.xml" ContentType="application/vnd.ms-excel.controlproperties+xml"/>
  <Override PartName="/xl/ctrlProps/ctrlProp2.xml" ContentType="application/vnd.ms-excel.controlproperties+xml"/>
  <Override PartName="/xl/ctrlProps/ctrlProp268.xml" ContentType="application/vnd.ms-excel.control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7"/>
  <workbookPr defaultThemeVersion="166925"/>
  <mc:AlternateContent xmlns:mc="http://schemas.openxmlformats.org/markup-compatibility/2006">
    <mc:Choice Requires="x15">
      <x15ac:absPath xmlns:x15ac="http://schemas.microsoft.com/office/spreadsheetml/2010/11/ac" url="https://creightonuniv-my.sharepoint.com/personal/ejk60737_creighton_edu/Documents/Collections/Print Book Deselection/"/>
    </mc:Choice>
  </mc:AlternateContent>
  <xr:revisionPtr revIDLastSave="0" documentId="8_{243078C5-E12C-45DD-9B5D-9637B1969490}" xr6:coauthVersionLast="47" xr6:coauthVersionMax="47" xr10:uidLastSave="{00000000-0000-0000-0000-000000000000}"/>
  <bookViews>
    <workbookView xWindow="28680" yWindow="-120" windowWidth="29040" windowHeight="15840" xr2:uid="{5DDDB6AA-63BF-407D-870B-868CC33FD2B3}"/>
  </bookViews>
  <sheets>
    <sheet name="Sheet1"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V303" i="1" l="1"/>
  <c r="AU303" i="1"/>
  <c r="AT303" i="1"/>
  <c r="AV302" i="1"/>
  <c r="AU302" i="1"/>
  <c r="AV301" i="1"/>
  <c r="AU301" i="1"/>
  <c r="AT301" i="1"/>
  <c r="AV300" i="1"/>
  <c r="AU300" i="1"/>
  <c r="AV299" i="1"/>
  <c r="AU299" i="1"/>
  <c r="AV298" i="1"/>
  <c r="AU298" i="1"/>
  <c r="AV297" i="1"/>
  <c r="AU297" i="1"/>
  <c r="AT297" i="1"/>
  <c r="AV296" i="1"/>
  <c r="AU296" i="1"/>
  <c r="AT296" i="1"/>
  <c r="AV295" i="1"/>
  <c r="AU295" i="1"/>
  <c r="AV294" i="1"/>
  <c r="AU294" i="1"/>
  <c r="AT294" i="1"/>
  <c r="AV293" i="1"/>
  <c r="AU293" i="1"/>
  <c r="AT293" i="1"/>
  <c r="AV292" i="1"/>
  <c r="AU292" i="1"/>
  <c r="AV291" i="1"/>
  <c r="AU291" i="1"/>
  <c r="AT291" i="1"/>
  <c r="AV290" i="1"/>
  <c r="AU290" i="1"/>
  <c r="AT290" i="1"/>
  <c r="AV289" i="1"/>
  <c r="AU289" i="1"/>
  <c r="AV288" i="1"/>
  <c r="AU288" i="1"/>
  <c r="AT288" i="1"/>
  <c r="AV287" i="1"/>
  <c r="AU287" i="1"/>
  <c r="AV286" i="1"/>
  <c r="AU286" i="1"/>
  <c r="AV285" i="1"/>
  <c r="AU285" i="1"/>
  <c r="AV284" i="1"/>
  <c r="AU284" i="1"/>
  <c r="AT284" i="1"/>
  <c r="AV283" i="1"/>
  <c r="AU283" i="1"/>
  <c r="AT283" i="1"/>
  <c r="AV282" i="1"/>
  <c r="AU282" i="1"/>
  <c r="AV281" i="1"/>
  <c r="AU281" i="1"/>
  <c r="AT281" i="1"/>
  <c r="AV280" i="1"/>
  <c r="AU280" i="1"/>
  <c r="AT280" i="1"/>
  <c r="AV279" i="1"/>
  <c r="AU279" i="1"/>
  <c r="AT279" i="1"/>
  <c r="AV278" i="1"/>
  <c r="AU278" i="1"/>
  <c r="AT278" i="1"/>
  <c r="AV277" i="1"/>
  <c r="AU277" i="1"/>
  <c r="AT277" i="1"/>
  <c r="AV276" i="1"/>
  <c r="AU276" i="1"/>
  <c r="AT276" i="1"/>
  <c r="AV275" i="1"/>
  <c r="AU275" i="1"/>
  <c r="AT275" i="1"/>
  <c r="AV274" i="1"/>
  <c r="AU274" i="1"/>
  <c r="AT274" i="1"/>
  <c r="AV273" i="1"/>
  <c r="AU273" i="1"/>
  <c r="AT273" i="1"/>
  <c r="AV272" i="1"/>
  <c r="AU272" i="1"/>
  <c r="AT272" i="1"/>
  <c r="AV271" i="1"/>
  <c r="AU271" i="1"/>
  <c r="AT271" i="1"/>
  <c r="AV270" i="1"/>
  <c r="AU270" i="1"/>
  <c r="AV269" i="1"/>
  <c r="AU269" i="1"/>
  <c r="AV268" i="1"/>
  <c r="AU268" i="1"/>
  <c r="AT268" i="1"/>
  <c r="AV267" i="1"/>
  <c r="AU267" i="1"/>
  <c r="AV266" i="1"/>
  <c r="AU266" i="1"/>
  <c r="AT266" i="1"/>
  <c r="AV265" i="1"/>
  <c r="AU265" i="1"/>
  <c r="AT265" i="1"/>
  <c r="AV264" i="1"/>
  <c r="AU264" i="1"/>
  <c r="AV263" i="1"/>
  <c r="AU263" i="1"/>
  <c r="AV262" i="1"/>
  <c r="AU262" i="1"/>
  <c r="AV261" i="1"/>
  <c r="AU261" i="1"/>
  <c r="AT261" i="1"/>
  <c r="AV260" i="1"/>
  <c r="AU260" i="1"/>
  <c r="AT260" i="1"/>
  <c r="AV259" i="1"/>
  <c r="AU259" i="1"/>
  <c r="AV258" i="1"/>
  <c r="AU258" i="1"/>
  <c r="AV257" i="1"/>
  <c r="AU257" i="1"/>
  <c r="AT257" i="1"/>
  <c r="AV256" i="1"/>
  <c r="AU256" i="1"/>
  <c r="AV255" i="1"/>
  <c r="AU255" i="1"/>
  <c r="AV254" i="1"/>
  <c r="AU254" i="1"/>
  <c r="AV253" i="1"/>
  <c r="AU253" i="1"/>
  <c r="AT253" i="1"/>
  <c r="AV252" i="1"/>
  <c r="AU252" i="1"/>
  <c r="AT252" i="1"/>
  <c r="AV251" i="1"/>
  <c r="AU251" i="1"/>
  <c r="AV250" i="1"/>
  <c r="AU250" i="1"/>
  <c r="AV249" i="1"/>
  <c r="AU249" i="1"/>
  <c r="AV248" i="1"/>
  <c r="AU248" i="1"/>
  <c r="AV247" i="1"/>
  <c r="AU247" i="1"/>
  <c r="AV246" i="1"/>
  <c r="AU246" i="1"/>
  <c r="AT246" i="1"/>
  <c r="AV245" i="1"/>
  <c r="AU245" i="1"/>
  <c r="AV244" i="1"/>
  <c r="AU244" i="1"/>
  <c r="AV243" i="1"/>
  <c r="AU243" i="1"/>
  <c r="AT243" i="1"/>
  <c r="AV242" i="1"/>
  <c r="AU242" i="1"/>
  <c r="AT242" i="1"/>
  <c r="AV241" i="1"/>
  <c r="AU241" i="1"/>
  <c r="AV240" i="1"/>
  <c r="AU240" i="1"/>
  <c r="AV239" i="1"/>
  <c r="AU239" i="1"/>
  <c r="AV238" i="1"/>
  <c r="AU238" i="1"/>
  <c r="AV237" i="1"/>
  <c r="AU237" i="1"/>
  <c r="AV236" i="1"/>
  <c r="AU236" i="1"/>
  <c r="AV235" i="1"/>
  <c r="AU235" i="1"/>
  <c r="AV234" i="1"/>
  <c r="AU234" i="1"/>
  <c r="AV233" i="1"/>
  <c r="AU233" i="1"/>
  <c r="AT233" i="1"/>
  <c r="AV232" i="1"/>
  <c r="AU232" i="1"/>
  <c r="AT232" i="1"/>
  <c r="AV231" i="1"/>
  <c r="AU231" i="1"/>
  <c r="AT231" i="1"/>
  <c r="AV230" i="1"/>
  <c r="AU230" i="1"/>
  <c r="AT230" i="1"/>
  <c r="AV229" i="1"/>
  <c r="AU229" i="1"/>
  <c r="AT229" i="1"/>
  <c r="AV228" i="1"/>
  <c r="AU228" i="1"/>
  <c r="AV227" i="1"/>
  <c r="AU227" i="1"/>
  <c r="AV226" i="1"/>
  <c r="AU226" i="1"/>
  <c r="AV225" i="1"/>
  <c r="AU225" i="1"/>
  <c r="AT225" i="1"/>
  <c r="AV224" i="1"/>
  <c r="AU224" i="1"/>
  <c r="AT224" i="1"/>
  <c r="AV223" i="1"/>
  <c r="AU223" i="1"/>
  <c r="AT223" i="1"/>
  <c r="AV222" i="1"/>
  <c r="AU222" i="1"/>
  <c r="AT222" i="1"/>
  <c r="AV221" i="1"/>
  <c r="AU221" i="1"/>
  <c r="AV220" i="1"/>
  <c r="AU220" i="1"/>
  <c r="AV219" i="1"/>
  <c r="AU219" i="1"/>
  <c r="AT219" i="1"/>
  <c r="AV218" i="1"/>
  <c r="AU218" i="1"/>
  <c r="AT218" i="1"/>
  <c r="AV217" i="1"/>
  <c r="AU217" i="1"/>
  <c r="AT217" i="1"/>
  <c r="AV216" i="1"/>
  <c r="AU216" i="1"/>
  <c r="AV215" i="1"/>
  <c r="AU215" i="1"/>
  <c r="AV214" i="1"/>
  <c r="AU214" i="1"/>
  <c r="AT214" i="1"/>
  <c r="AV213" i="1"/>
  <c r="AU213" i="1"/>
  <c r="AV212" i="1"/>
  <c r="AU212" i="1"/>
  <c r="AV211" i="1"/>
  <c r="AU211" i="1"/>
  <c r="AV210" i="1"/>
  <c r="AU210" i="1"/>
  <c r="AV209" i="1"/>
  <c r="AU209" i="1"/>
  <c r="AT209" i="1"/>
  <c r="AV208" i="1"/>
  <c r="AU208" i="1"/>
  <c r="AV207" i="1"/>
  <c r="AU207" i="1"/>
  <c r="AV206" i="1"/>
  <c r="AU206" i="1"/>
  <c r="AV205" i="1"/>
  <c r="AU205" i="1"/>
  <c r="AT205" i="1"/>
  <c r="AV204" i="1"/>
  <c r="AU204" i="1"/>
  <c r="AV203" i="1"/>
  <c r="AU203" i="1"/>
  <c r="AV202" i="1"/>
  <c r="AU202" i="1"/>
  <c r="AV201" i="1"/>
  <c r="AU201" i="1"/>
  <c r="AT201" i="1"/>
  <c r="AV200" i="1"/>
  <c r="AU200" i="1"/>
  <c r="AV199" i="1"/>
  <c r="AU199" i="1"/>
  <c r="AV198" i="1"/>
  <c r="AU198" i="1"/>
  <c r="AT198" i="1"/>
  <c r="AV197" i="1"/>
  <c r="AU197" i="1"/>
  <c r="AV196" i="1"/>
  <c r="AU196" i="1"/>
  <c r="AV195" i="1"/>
  <c r="AU195" i="1"/>
  <c r="AV194" i="1"/>
  <c r="AU194" i="1"/>
  <c r="AT194" i="1"/>
  <c r="AV193" i="1"/>
  <c r="AU193" i="1"/>
  <c r="AV192" i="1"/>
  <c r="AU192" i="1"/>
  <c r="AV191" i="1"/>
  <c r="AU191" i="1"/>
  <c r="AT191" i="1"/>
  <c r="AV190" i="1"/>
  <c r="AU190" i="1"/>
  <c r="AT190" i="1"/>
  <c r="AV189" i="1"/>
  <c r="AU189" i="1"/>
  <c r="AT189" i="1"/>
  <c r="AV188" i="1"/>
  <c r="AU188" i="1"/>
  <c r="AT188" i="1"/>
  <c r="AV187" i="1"/>
  <c r="AU187" i="1"/>
  <c r="AV186" i="1"/>
  <c r="AU186" i="1"/>
  <c r="AT186" i="1"/>
  <c r="AV185" i="1"/>
  <c r="AU185" i="1"/>
  <c r="AT185" i="1"/>
  <c r="AV184" i="1"/>
  <c r="AU184" i="1"/>
  <c r="AT184" i="1"/>
  <c r="AV183" i="1"/>
  <c r="AU183" i="1"/>
  <c r="AT183" i="1"/>
  <c r="AV182" i="1"/>
  <c r="AU182" i="1"/>
  <c r="AV181" i="1"/>
  <c r="AU181" i="1"/>
  <c r="AT181" i="1"/>
  <c r="AV180" i="1"/>
  <c r="AU180" i="1"/>
  <c r="AT180" i="1"/>
  <c r="AV179" i="1"/>
  <c r="AU179" i="1"/>
  <c r="AT179" i="1"/>
  <c r="AV178" i="1"/>
  <c r="AU178" i="1"/>
  <c r="AT178" i="1"/>
  <c r="AV177" i="1"/>
  <c r="AU177" i="1"/>
  <c r="AV176" i="1"/>
  <c r="AU176" i="1"/>
  <c r="AT176" i="1"/>
  <c r="AV175" i="1"/>
  <c r="AU175" i="1"/>
  <c r="AT175" i="1"/>
  <c r="AV174" i="1"/>
  <c r="AU174" i="1"/>
  <c r="AT174" i="1"/>
  <c r="AV173" i="1"/>
  <c r="AU173" i="1"/>
  <c r="AT173" i="1"/>
  <c r="AV172" i="1"/>
  <c r="AU172" i="1"/>
  <c r="AV171" i="1"/>
  <c r="AU171" i="1"/>
  <c r="AT171" i="1"/>
  <c r="AV170" i="1"/>
  <c r="AU170" i="1"/>
  <c r="AV169" i="1"/>
  <c r="AU169" i="1"/>
  <c r="AT169" i="1"/>
  <c r="AV168" i="1"/>
  <c r="AU168" i="1"/>
  <c r="AT168" i="1"/>
  <c r="AV167" i="1"/>
  <c r="AU167" i="1"/>
  <c r="AT167" i="1"/>
  <c r="AV166" i="1"/>
  <c r="AU166" i="1"/>
  <c r="AV165" i="1"/>
  <c r="AU165" i="1"/>
  <c r="AT165" i="1"/>
  <c r="AV164" i="1"/>
  <c r="AU164" i="1"/>
  <c r="AV163" i="1"/>
  <c r="AU163" i="1"/>
  <c r="AV162" i="1"/>
  <c r="AU162" i="1"/>
  <c r="AV161" i="1"/>
  <c r="AU161" i="1"/>
  <c r="AV160" i="1"/>
  <c r="AU160" i="1"/>
  <c r="AV159" i="1"/>
  <c r="AU159" i="1"/>
  <c r="AT159" i="1"/>
  <c r="AV158" i="1"/>
  <c r="AU158" i="1"/>
  <c r="AV157" i="1"/>
  <c r="AU157" i="1"/>
  <c r="AT157" i="1"/>
  <c r="AV156" i="1"/>
  <c r="AU156" i="1"/>
  <c r="AT156" i="1"/>
  <c r="AV155" i="1"/>
  <c r="AU155" i="1"/>
  <c r="AV154" i="1"/>
  <c r="AU154" i="1"/>
  <c r="AV153" i="1"/>
  <c r="AU153" i="1"/>
  <c r="AT153" i="1"/>
  <c r="AV152" i="1"/>
  <c r="AU152" i="1"/>
  <c r="AV151" i="1"/>
  <c r="AU151" i="1"/>
  <c r="AV150" i="1"/>
  <c r="AU150" i="1"/>
  <c r="AT150" i="1"/>
  <c r="AV149" i="1"/>
  <c r="AU149" i="1"/>
  <c r="AV148" i="1"/>
  <c r="AU148" i="1"/>
  <c r="AT148" i="1"/>
  <c r="AV147" i="1"/>
  <c r="AU147" i="1"/>
  <c r="AT147" i="1"/>
  <c r="AV146" i="1"/>
  <c r="AU146" i="1"/>
  <c r="AT146" i="1"/>
  <c r="AV145" i="1"/>
  <c r="AU145" i="1"/>
  <c r="AV144" i="1"/>
  <c r="AU144" i="1"/>
  <c r="AT144" i="1"/>
  <c r="AV143" i="1"/>
  <c r="AU143" i="1"/>
  <c r="AV142" i="1"/>
  <c r="AU142" i="1"/>
  <c r="AT142" i="1"/>
  <c r="AV141" i="1"/>
  <c r="AU141" i="1"/>
  <c r="AT141" i="1"/>
  <c r="AV140" i="1"/>
  <c r="AU140" i="1"/>
  <c r="AT140" i="1"/>
  <c r="AV139" i="1"/>
  <c r="AU139" i="1"/>
  <c r="AT139" i="1"/>
  <c r="AV138" i="1"/>
  <c r="AU138" i="1"/>
  <c r="AV137" i="1"/>
  <c r="AU137" i="1"/>
  <c r="AV136" i="1"/>
  <c r="AU136" i="1"/>
  <c r="AT136" i="1"/>
  <c r="AV135" i="1"/>
  <c r="AU135" i="1"/>
  <c r="AV134" i="1"/>
  <c r="AU134" i="1"/>
  <c r="AV133" i="1"/>
  <c r="AU133" i="1"/>
  <c r="AT133" i="1"/>
  <c r="AV132" i="1"/>
  <c r="AU132" i="1"/>
  <c r="AT132" i="1"/>
  <c r="AV131" i="1"/>
  <c r="AU131" i="1"/>
  <c r="AT131" i="1"/>
  <c r="AV130" i="1"/>
  <c r="AU130" i="1"/>
  <c r="AV129" i="1"/>
  <c r="AU129" i="1"/>
  <c r="AT129" i="1"/>
  <c r="AV128" i="1"/>
  <c r="AU128" i="1"/>
  <c r="AT128" i="1"/>
  <c r="AV127" i="1"/>
  <c r="AU127" i="1"/>
  <c r="AT127" i="1"/>
  <c r="AV126" i="1"/>
  <c r="AU126" i="1"/>
  <c r="AT126" i="1"/>
  <c r="AV125" i="1"/>
  <c r="AU125" i="1"/>
  <c r="AT125" i="1"/>
  <c r="AV124" i="1"/>
  <c r="AU124" i="1"/>
  <c r="AV123" i="1"/>
  <c r="AU123" i="1"/>
  <c r="AV122" i="1"/>
  <c r="AU122" i="1"/>
  <c r="AV121" i="1"/>
  <c r="AU121" i="1"/>
  <c r="AT121" i="1"/>
  <c r="AV120" i="1"/>
  <c r="AU120" i="1"/>
  <c r="AV119" i="1"/>
  <c r="AU119" i="1"/>
  <c r="AV118" i="1"/>
  <c r="AU118" i="1"/>
  <c r="AT118" i="1"/>
  <c r="AV117" i="1"/>
  <c r="AU117" i="1"/>
  <c r="AV116" i="1"/>
  <c r="AU116" i="1"/>
  <c r="AV115" i="1"/>
  <c r="AU115" i="1"/>
  <c r="AT115" i="1"/>
  <c r="AV114" i="1"/>
  <c r="AU114" i="1"/>
  <c r="AT114" i="1"/>
  <c r="AV113" i="1"/>
  <c r="AU113" i="1"/>
  <c r="AV112" i="1"/>
  <c r="AU112" i="1"/>
  <c r="AT112" i="1"/>
  <c r="AV111" i="1"/>
  <c r="AU111" i="1"/>
  <c r="AT111" i="1"/>
  <c r="AV110" i="1"/>
  <c r="AU110" i="1"/>
  <c r="AT110" i="1"/>
  <c r="AV109" i="1"/>
  <c r="AU109" i="1"/>
  <c r="AT109" i="1"/>
  <c r="AV108" i="1"/>
  <c r="AU108" i="1"/>
  <c r="AV107" i="1"/>
  <c r="AU107" i="1"/>
  <c r="AT107" i="1"/>
  <c r="AV106" i="1"/>
  <c r="AU106" i="1"/>
  <c r="AT106" i="1"/>
  <c r="AV105" i="1"/>
  <c r="AU105" i="1"/>
  <c r="AV104" i="1"/>
  <c r="AU104" i="1"/>
  <c r="AT104" i="1"/>
  <c r="AV103" i="1"/>
  <c r="AU103" i="1"/>
  <c r="AV102" i="1"/>
  <c r="AU102" i="1"/>
  <c r="AT102" i="1"/>
  <c r="AV101" i="1"/>
  <c r="AU101" i="1"/>
  <c r="AT101" i="1"/>
  <c r="AV100" i="1"/>
  <c r="AU100" i="1"/>
  <c r="AT100" i="1"/>
  <c r="AV99" i="1"/>
  <c r="AU99" i="1"/>
  <c r="AT99" i="1"/>
  <c r="AV98" i="1"/>
  <c r="AU98" i="1"/>
  <c r="AT98" i="1"/>
  <c r="AV97" i="1"/>
  <c r="AU97" i="1"/>
  <c r="AV96" i="1"/>
  <c r="AU96" i="1"/>
  <c r="AT96" i="1"/>
  <c r="AV95" i="1"/>
  <c r="AU95" i="1"/>
  <c r="AT95" i="1"/>
  <c r="AV94" i="1"/>
  <c r="AU94" i="1"/>
  <c r="AT94" i="1"/>
  <c r="AV93" i="1"/>
  <c r="AU93" i="1"/>
  <c r="AT93" i="1"/>
  <c r="AV92" i="1"/>
  <c r="AU92" i="1"/>
  <c r="AV91" i="1"/>
  <c r="AU91" i="1"/>
  <c r="AT91" i="1"/>
  <c r="AV90" i="1"/>
  <c r="AU90" i="1"/>
  <c r="AV89" i="1"/>
  <c r="AU89" i="1"/>
  <c r="AT89" i="1"/>
  <c r="AV88" i="1"/>
  <c r="AU88" i="1"/>
  <c r="AV87" i="1"/>
  <c r="AU87" i="1"/>
  <c r="AV86" i="1"/>
  <c r="AU86" i="1"/>
  <c r="AT86" i="1"/>
  <c r="AV85" i="1"/>
  <c r="AU85" i="1"/>
  <c r="AT85" i="1"/>
  <c r="AV84" i="1"/>
  <c r="AU84" i="1"/>
  <c r="AT84" i="1"/>
  <c r="AV83" i="1"/>
  <c r="AU83" i="1"/>
  <c r="AT83" i="1"/>
  <c r="AV82" i="1"/>
  <c r="AU82" i="1"/>
  <c r="AT82" i="1"/>
  <c r="AV81" i="1"/>
  <c r="AU81" i="1"/>
  <c r="AV80" i="1"/>
  <c r="AU80" i="1"/>
  <c r="AV79" i="1"/>
  <c r="AU79" i="1"/>
  <c r="AV78" i="1"/>
  <c r="AU78" i="1"/>
  <c r="AT78" i="1"/>
  <c r="AV77" i="1"/>
  <c r="AU77" i="1"/>
  <c r="AT77" i="1"/>
  <c r="AV76" i="1"/>
  <c r="AU76" i="1"/>
  <c r="AT76" i="1"/>
  <c r="AV75" i="1"/>
  <c r="AU75" i="1"/>
  <c r="AT75" i="1"/>
  <c r="AV74" i="1"/>
  <c r="AU74" i="1"/>
  <c r="AT74" i="1"/>
  <c r="AV73" i="1"/>
  <c r="AU73" i="1"/>
  <c r="AV72" i="1"/>
  <c r="AU72" i="1"/>
  <c r="AV71" i="1"/>
  <c r="AU71" i="1"/>
  <c r="AV70" i="1"/>
  <c r="AU70" i="1"/>
  <c r="AV69" i="1"/>
  <c r="AU69" i="1"/>
  <c r="AT69" i="1"/>
  <c r="AV68" i="1"/>
  <c r="AU68" i="1"/>
  <c r="AT68" i="1"/>
  <c r="AV67" i="1"/>
  <c r="AU67" i="1"/>
  <c r="AV66" i="1"/>
  <c r="AU66" i="1"/>
  <c r="AT66" i="1"/>
  <c r="AV65" i="1"/>
  <c r="AU65" i="1"/>
  <c r="AV64" i="1"/>
  <c r="AU64" i="1"/>
  <c r="AV63" i="1"/>
  <c r="AU63" i="1"/>
  <c r="AT63" i="1"/>
  <c r="AV62" i="1"/>
  <c r="AU62" i="1"/>
  <c r="AT62" i="1"/>
  <c r="AV61" i="1"/>
  <c r="AU61" i="1"/>
  <c r="AV60" i="1"/>
  <c r="AU60" i="1"/>
  <c r="AT60" i="1"/>
  <c r="AV59" i="1"/>
  <c r="AU59" i="1"/>
  <c r="AV58" i="1"/>
  <c r="AU58" i="1"/>
  <c r="AT58" i="1"/>
  <c r="AV57" i="1"/>
  <c r="AU57" i="1"/>
  <c r="AT57" i="1"/>
  <c r="AV56" i="1"/>
  <c r="AU56" i="1"/>
  <c r="AV55" i="1"/>
  <c r="AU55" i="1"/>
  <c r="AV54" i="1"/>
  <c r="AU54" i="1"/>
  <c r="AT54" i="1"/>
  <c r="AV53" i="1"/>
  <c r="AU53" i="1"/>
  <c r="AV52" i="1"/>
  <c r="AU52" i="1"/>
  <c r="AV51" i="1"/>
  <c r="AU51" i="1"/>
  <c r="AT51" i="1"/>
  <c r="AV50" i="1"/>
  <c r="AU50" i="1"/>
  <c r="AT50" i="1"/>
  <c r="AV49" i="1"/>
  <c r="AU49" i="1"/>
  <c r="AV48" i="1"/>
  <c r="AU48" i="1"/>
  <c r="AV47" i="1"/>
  <c r="AU47" i="1"/>
  <c r="AT47" i="1"/>
  <c r="AV46" i="1"/>
  <c r="AU46" i="1"/>
  <c r="AV45" i="1"/>
  <c r="AU45" i="1"/>
  <c r="AV44" i="1"/>
  <c r="AU44" i="1"/>
  <c r="AV43" i="1"/>
  <c r="AU43" i="1"/>
  <c r="AV42" i="1"/>
  <c r="AU42" i="1"/>
  <c r="AT42" i="1"/>
  <c r="AV41" i="1"/>
  <c r="AU41" i="1"/>
  <c r="AT41" i="1"/>
  <c r="AV40" i="1"/>
  <c r="AU40" i="1"/>
  <c r="AV39" i="1"/>
  <c r="AU39" i="1"/>
  <c r="AT39" i="1"/>
  <c r="AV38" i="1"/>
  <c r="AU38" i="1"/>
  <c r="AV37" i="1"/>
  <c r="AU37" i="1"/>
  <c r="AV36" i="1"/>
  <c r="AU36" i="1"/>
  <c r="AV35" i="1"/>
  <c r="AU35" i="1"/>
  <c r="AT35" i="1"/>
  <c r="AV34" i="1"/>
  <c r="AU34" i="1"/>
  <c r="AT34" i="1"/>
  <c r="AV33" i="1"/>
  <c r="AU33" i="1"/>
  <c r="AV32" i="1"/>
  <c r="AU32" i="1"/>
  <c r="AV31" i="1"/>
  <c r="AU31" i="1"/>
  <c r="AV30" i="1"/>
  <c r="AU30" i="1"/>
  <c r="AT30" i="1"/>
  <c r="AV29" i="1"/>
  <c r="AU29" i="1"/>
  <c r="AV28" i="1"/>
  <c r="AU28" i="1"/>
  <c r="AT28" i="1"/>
  <c r="AV27" i="1"/>
  <c r="AU27" i="1"/>
  <c r="AT27" i="1"/>
  <c r="AV26" i="1"/>
  <c r="AU26" i="1"/>
  <c r="AV25" i="1"/>
  <c r="AU25" i="1"/>
  <c r="AT25" i="1"/>
  <c r="AV24" i="1"/>
  <c r="AU24" i="1"/>
  <c r="AT24" i="1"/>
  <c r="AV23" i="1"/>
  <c r="AU23" i="1"/>
  <c r="AV22" i="1"/>
  <c r="AU22" i="1"/>
  <c r="AV21" i="1"/>
  <c r="AU21" i="1"/>
  <c r="AT21" i="1"/>
  <c r="AV20" i="1"/>
  <c r="AU20" i="1"/>
  <c r="AT20" i="1"/>
  <c r="AV19" i="1"/>
  <c r="AU19" i="1"/>
  <c r="AT19" i="1"/>
  <c r="AV18" i="1"/>
  <c r="AU18" i="1"/>
  <c r="AT18" i="1"/>
  <c r="AV17" i="1"/>
  <c r="AU17" i="1"/>
  <c r="AV16" i="1"/>
  <c r="AU16" i="1"/>
  <c r="AT16" i="1"/>
  <c r="AV15" i="1"/>
  <c r="AU15" i="1"/>
  <c r="AT15" i="1"/>
  <c r="AV14" i="1"/>
  <c r="AU14" i="1"/>
  <c r="AV13" i="1"/>
  <c r="AU13" i="1"/>
  <c r="AT13" i="1"/>
  <c r="AV12" i="1"/>
  <c r="AU12" i="1"/>
  <c r="AT12" i="1"/>
  <c r="AV11" i="1"/>
  <c r="AU11" i="1"/>
  <c r="AT11" i="1"/>
  <c r="AV10" i="1"/>
  <c r="AU10" i="1"/>
  <c r="AV9" i="1"/>
  <c r="AU9" i="1"/>
  <c r="AV8" i="1"/>
  <c r="AU8" i="1"/>
  <c r="AT8" i="1"/>
  <c r="AV7" i="1"/>
  <c r="AU7" i="1"/>
  <c r="AV6" i="1"/>
  <c r="AU6" i="1"/>
  <c r="AV5" i="1"/>
  <c r="AU5" i="1"/>
  <c r="AV4" i="1"/>
  <c r="AU4" i="1"/>
  <c r="AV3" i="1"/>
  <c r="AU3" i="1"/>
  <c r="AT3" i="1"/>
  <c r="AV2" i="1"/>
  <c r="AU2" i="1"/>
  <c r="AT2" i="1"/>
</calcChain>
</file>

<file path=xl/sharedStrings.xml><?xml version="1.0" encoding="utf-8"?>
<sst xmlns="http://schemas.openxmlformats.org/spreadsheetml/2006/main" count="9410" uniqueCount="4172">
  <si>
    <t>Keep in Collection?</t>
  </si>
  <si>
    <t>Collection Code</t>
  </si>
  <si>
    <t>Location Code</t>
  </si>
  <si>
    <t>Display Call Number</t>
  </si>
  <si>
    <t>Display Call Number Normalized</t>
  </si>
  <si>
    <t>Title</t>
  </si>
  <si>
    <t>Enumeration</t>
  </si>
  <si>
    <t>Possible Multi-Volume Set</t>
  </si>
  <si>
    <t>Copy Number</t>
  </si>
  <si>
    <t>Possible Duplicate</t>
  </si>
  <si>
    <t>Multi-Edition Title</t>
  </si>
  <si>
    <t>Number of Related Ebooks</t>
  </si>
  <si>
    <t>Author</t>
  </si>
  <si>
    <t>Publisher</t>
  </si>
  <si>
    <t>Publication Year</t>
  </si>
  <si>
    <t>Edition</t>
  </si>
  <si>
    <t>Primary Language</t>
  </si>
  <si>
    <t>Place of Publication</t>
  </si>
  <si>
    <t>Series</t>
  </si>
  <si>
    <t>LC Subclass</t>
  </si>
  <si>
    <t>Recorded Uses - Item</t>
  </si>
  <si>
    <t>Recorded Uses - Title</t>
  </si>
  <si>
    <t>Last Charge Date - Item</t>
  </si>
  <si>
    <t>Last Charge Date - Title</t>
  </si>
  <si>
    <t>Last Add Date - Item</t>
  </si>
  <si>
    <t>Last Add Date - Title</t>
  </si>
  <si>
    <t>Global Holdings - Same Edition</t>
  </si>
  <si>
    <t>US Holdings - Same Edition</t>
  </si>
  <si>
    <t>US Holdings</t>
  </si>
  <si>
    <t>Nebraska Holdings - Same Edition</t>
  </si>
  <si>
    <t>Nebraska Holdings</t>
  </si>
  <si>
    <t>All Comparator Library Holdings - Same Edition</t>
  </si>
  <si>
    <t>All Comparator Library Holdings</t>
  </si>
  <si>
    <t>Affinity Libraries - Same Edition</t>
  </si>
  <si>
    <t>Affinity Libraries - Any Edition</t>
  </si>
  <si>
    <t>Big East - Same Edition</t>
  </si>
  <si>
    <t>Big East - Any Edition</t>
  </si>
  <si>
    <t>AJCU - Same Edition</t>
  </si>
  <si>
    <t>AJCU - Any Edition</t>
  </si>
  <si>
    <t>Nebraska Colleges &amp; Universities - Same Edition</t>
  </si>
  <si>
    <t>Nebraska Colleges &amp; Universities - Any Edition</t>
  </si>
  <si>
    <t>MALLCO - Same Edition</t>
  </si>
  <si>
    <t>MALLCO - Any Edition</t>
  </si>
  <si>
    <t>HathiTrust Public Domain</t>
  </si>
  <si>
    <t>HathiTrust In Copyright</t>
  </si>
  <si>
    <t>HathiTrust URL</t>
  </si>
  <si>
    <t>OPAC URL</t>
  </si>
  <si>
    <t>WorldCat URL</t>
  </si>
  <si>
    <t>OCLC Work ID</t>
  </si>
  <si>
    <t>WorldCat OCLC Number</t>
  </si>
  <si>
    <t>Bib Record Number</t>
  </si>
  <si>
    <t>Bib Control Number</t>
  </si>
  <si>
    <t>Item Control Number</t>
  </si>
  <si>
    <t>Item Type Code</t>
  </si>
  <si>
    <t>Item Status Code</t>
  </si>
  <si>
    <t>ISBN</t>
  </si>
  <si>
    <t>Barcode</t>
  </si>
  <si>
    <t>SCS Item ID</t>
  </si>
  <si>
    <t>CURAL</t>
  </si>
  <si>
    <t>SHELVES</t>
  </si>
  <si>
    <t>RA1057.55 .D637 1993</t>
  </si>
  <si>
    <t>0                      RA 1057550D  637         1993</t>
  </si>
  <si>
    <t>DNA fingerprinting : state of the science / edited by S.D.J. Pena ... [et al.].</t>
  </si>
  <si>
    <t>No</t>
  </si>
  <si>
    <t>1</t>
  </si>
  <si>
    <t>0</t>
  </si>
  <si>
    <t>Basel ; Boston : Birkhäuser Verlag, c1993.</t>
  </si>
  <si>
    <t>1993</t>
  </si>
  <si>
    <t>eng</t>
  </si>
  <si>
    <t xml:space="preserve">sz </t>
  </si>
  <si>
    <t>EXS ; 67</t>
  </si>
  <si>
    <t xml:space="preserve">RA </t>
  </si>
  <si>
    <t>2001-04-06</t>
  </si>
  <si>
    <t>1994-05-17</t>
  </si>
  <si>
    <t>Yes</t>
  </si>
  <si>
    <t>889673628:eng</t>
  </si>
  <si>
    <t>28184829</t>
  </si>
  <si>
    <t>991002192309702656</t>
  </si>
  <si>
    <t>2267343030002656</t>
  </si>
  <si>
    <t>BOOK</t>
  </si>
  <si>
    <t>9780817627812</t>
  </si>
  <si>
    <t>32285001897114</t>
  </si>
  <si>
    <t>893226561</t>
  </si>
  <si>
    <t>RA1063.3 .W36</t>
  </si>
  <si>
    <t>0                      RA 1063300W  36</t>
  </si>
  <si>
    <t>Brain death : ethical considerations / by Douglas N. Walton.</t>
  </si>
  <si>
    <t>Walton, Douglas N.</t>
  </si>
  <si>
    <t>West Lafayette, Ind. : Purdue University, 1980.</t>
  </si>
  <si>
    <t>1980</t>
  </si>
  <si>
    <t>inu</t>
  </si>
  <si>
    <t>Science and society ; v. 5</t>
  </si>
  <si>
    <t>2005-10-31</t>
  </si>
  <si>
    <t>1993-03-31</t>
  </si>
  <si>
    <t>906251010:eng</t>
  </si>
  <si>
    <t>6734793</t>
  </si>
  <si>
    <t>991001806409702656</t>
  </si>
  <si>
    <t>2268572260002656</t>
  </si>
  <si>
    <t>9780931682124</t>
  </si>
  <si>
    <t>32285001595387</t>
  </si>
  <si>
    <t>893529245</t>
  </si>
  <si>
    <t>RA1063.45 .S47 1986</t>
  </si>
  <si>
    <t>0                      RA 1063450S  47          1986</t>
  </si>
  <si>
    <t>A manual of forensic entomology / by Kenneth G.V. Smith.</t>
  </si>
  <si>
    <t>Smith, Kenneth G. V.</t>
  </si>
  <si>
    <t>Ithaca, N.Y. : Cornell University Press, 1986.</t>
  </si>
  <si>
    <t>1986</t>
  </si>
  <si>
    <t>nyu</t>
  </si>
  <si>
    <t>2005-01-26</t>
  </si>
  <si>
    <t>1993-01-21</t>
  </si>
  <si>
    <t>7841950:eng</t>
  </si>
  <si>
    <t>13792217</t>
  </si>
  <si>
    <t>991000870439702656</t>
  </si>
  <si>
    <t>2272732490002656</t>
  </si>
  <si>
    <t>9780801419270</t>
  </si>
  <si>
    <t>32285001447712</t>
  </si>
  <si>
    <t>893897293</t>
  </si>
  <si>
    <t>RA1085 .H37 1978</t>
  </si>
  <si>
    <t>0                      RA 1085000H  37          1978</t>
  </si>
  <si>
    <t>Fire from heaven : a study of spontaneous combustion in human beings / Michael Harrison.</t>
  </si>
  <si>
    <t>Harrison, Michael, 1907-1991</t>
  </si>
  <si>
    <t>New York : Methuen, 1978.</t>
  </si>
  <si>
    <t>1978</t>
  </si>
  <si>
    <t>2005-02-08</t>
  </si>
  <si>
    <t>1992-11-10</t>
  </si>
  <si>
    <t>3943948171:eng</t>
  </si>
  <si>
    <t>3627263</t>
  </si>
  <si>
    <t>991004480359702656</t>
  </si>
  <si>
    <t>2269317110002656</t>
  </si>
  <si>
    <t>9780458933303</t>
  </si>
  <si>
    <t>32285001383933</t>
  </si>
  <si>
    <t>893532437</t>
  </si>
  <si>
    <t>RA1122.5 .O18</t>
  </si>
  <si>
    <t>0                      RA 1122500O  18</t>
  </si>
  <si>
    <t>The battered child : recognition in primary care / Neil O'Doherty.</t>
  </si>
  <si>
    <t>O'Doherty, Neil.</t>
  </si>
  <si>
    <t>London : Baillière Tindall, 1982.</t>
  </si>
  <si>
    <t>1982</t>
  </si>
  <si>
    <t>xxk</t>
  </si>
  <si>
    <t>1996-04-27</t>
  </si>
  <si>
    <t>1991-12-09</t>
  </si>
  <si>
    <t>375543692:eng</t>
  </si>
  <si>
    <t>8764766</t>
  </si>
  <si>
    <t>991005250259702656</t>
  </si>
  <si>
    <t>2262479660002656</t>
  </si>
  <si>
    <t>9780702007347</t>
  </si>
  <si>
    <t>32285000872563</t>
  </si>
  <si>
    <t>893338806</t>
  </si>
  <si>
    <t>RA1122.8 .B73 1985</t>
  </si>
  <si>
    <t>0                      RA 1122800B  73          1985</t>
  </si>
  <si>
    <t>The Breaking of bodies and minds : torture, psychiatric abuse, and the health professions / edited by Eric Stover and Elena O. Nightingale.</t>
  </si>
  <si>
    <t>New York : Freeman, c1985.</t>
  </si>
  <si>
    <t>1985</t>
  </si>
  <si>
    <t>1996-05-13</t>
  </si>
  <si>
    <t>1991-08-01</t>
  </si>
  <si>
    <t>889423523:eng</t>
  </si>
  <si>
    <t>11841381</t>
  </si>
  <si>
    <t>991000601119702656</t>
  </si>
  <si>
    <t>2266175910002656</t>
  </si>
  <si>
    <t>9780716717331</t>
  </si>
  <si>
    <t>32285000663798</t>
  </si>
  <si>
    <t>893784371</t>
  </si>
  <si>
    <t>RA1141 .G74 1988</t>
  </si>
  <si>
    <t>0                      RA 1141000G  74          1988</t>
  </si>
  <si>
    <t>Rape : the evidential examination and management of the adult female victim / William M. Green.</t>
  </si>
  <si>
    <t>Green, William M.</t>
  </si>
  <si>
    <t>Lexington, Mass. : Lexington Books, c1988.</t>
  </si>
  <si>
    <t>1988</t>
  </si>
  <si>
    <t>mau</t>
  </si>
  <si>
    <t>1996-10-29</t>
  </si>
  <si>
    <t>1992-03-06</t>
  </si>
  <si>
    <t>196536782:eng</t>
  </si>
  <si>
    <t>18072033</t>
  </si>
  <si>
    <t>991001302749702656</t>
  </si>
  <si>
    <t>2267065660002656</t>
  </si>
  <si>
    <t>9780669194128</t>
  </si>
  <si>
    <t>32285000938943</t>
  </si>
  <si>
    <t>893797472</t>
  </si>
  <si>
    <t>RA1148 .P79 1986</t>
  </si>
  <si>
    <t>0                      RA 1148000P  79          1986</t>
  </si>
  <si>
    <t>Psychology in product liability and personal injury litigation / edited by Martin I. Kurke, Robert G. Meyer.</t>
  </si>
  <si>
    <t>Washington : Hemisphere Pub. Corp., c1986.</t>
  </si>
  <si>
    <t>dcu</t>
  </si>
  <si>
    <t>1993-11-02</t>
  </si>
  <si>
    <t>1993-03-17</t>
  </si>
  <si>
    <t>351593423:eng</t>
  </si>
  <si>
    <t>13003250</t>
  </si>
  <si>
    <t>991000766339702656</t>
  </si>
  <si>
    <t>2265957260002656</t>
  </si>
  <si>
    <t>9780891164678</t>
  </si>
  <si>
    <t>32285001588424</t>
  </si>
  <si>
    <t>893878334</t>
  </si>
  <si>
    <t>RA1148 .R64</t>
  </si>
  <si>
    <t>0                      RA 1148000R  64</t>
  </si>
  <si>
    <t>The Role of the forensic psychologist / edited by Gerald Cooke ; with a foreword by David L. Bazelon.</t>
  </si>
  <si>
    <t>Springfield, Ill. : Thomas, c1980.</t>
  </si>
  <si>
    <t>ilu</t>
  </si>
  <si>
    <t>2002-05-23</t>
  </si>
  <si>
    <t>472035:eng</t>
  </si>
  <si>
    <t>4638486</t>
  </si>
  <si>
    <t>991004694699702656</t>
  </si>
  <si>
    <t>2255795320002656</t>
  </si>
  <si>
    <t>9780398039059</t>
  </si>
  <si>
    <t>32285000872555</t>
  </si>
  <si>
    <t>893789007</t>
  </si>
  <si>
    <t>RA1148 .S5 1984</t>
  </si>
  <si>
    <t>0                      RA 1148000S  5           1984</t>
  </si>
  <si>
    <t>Psychological evaluation and expert testimony : a practical guide to forensic work / David L. Shapiro.</t>
  </si>
  <si>
    <t>Shapiro, David L., 1932-</t>
  </si>
  <si>
    <t>New York : Van Nostrand Reinhold, c1984.</t>
  </si>
  <si>
    <t>1984</t>
  </si>
  <si>
    <t>2008-12-04</t>
  </si>
  <si>
    <t>1992-12-11</t>
  </si>
  <si>
    <t>545144:eng</t>
  </si>
  <si>
    <t>9324582</t>
  </si>
  <si>
    <t>991000171749702656</t>
  </si>
  <si>
    <t>2257255010002656</t>
  </si>
  <si>
    <t>9780442281830</t>
  </si>
  <si>
    <t>32285001441251</t>
  </si>
  <si>
    <t>893351451</t>
  </si>
  <si>
    <t>RA1151 .R62</t>
  </si>
  <si>
    <t>0                      RA 1151000R  62</t>
  </si>
  <si>
    <t>Pursuit of agreement : psychiatry &amp; the law / by Jonas B. Robitscher.</t>
  </si>
  <si>
    <t>Robitscher, Jonas B.</t>
  </si>
  <si>
    <t>Philadelphia, Lippincott [1966]</t>
  </si>
  <si>
    <t>1966</t>
  </si>
  <si>
    <t>___</t>
  </si>
  <si>
    <t>2005-12-04</t>
  </si>
  <si>
    <t>303406763:eng</t>
  </si>
  <si>
    <t>579891</t>
  </si>
  <si>
    <t>991005348639702656</t>
  </si>
  <si>
    <t>2256107290002656</t>
  </si>
  <si>
    <t>32285001588432</t>
  </si>
  <si>
    <t>893338944</t>
  </si>
  <si>
    <t>RA1193 .C66 1984</t>
  </si>
  <si>
    <t>0                      RA 1193000C  66          1984</t>
  </si>
  <si>
    <t>Controversial chemicals : a citizen's guide / editors, P. Kruus and I. M. Valeriote.</t>
  </si>
  <si>
    <t>Montreal : Multiscience Publications, c1984.</t>
  </si>
  <si>
    <t>2nd ed., rev. and expanded.</t>
  </si>
  <si>
    <t>quc</t>
  </si>
  <si>
    <t>Canada science series</t>
  </si>
  <si>
    <t>1995-02-02</t>
  </si>
  <si>
    <t>1990-02-21</t>
  </si>
  <si>
    <t>923336991:eng</t>
  </si>
  <si>
    <t>11867265</t>
  </si>
  <si>
    <t>991000512149702656</t>
  </si>
  <si>
    <t>2256612820002656</t>
  </si>
  <si>
    <t>9780919868229</t>
  </si>
  <si>
    <t>32285000056589</t>
  </si>
  <si>
    <t>893255494</t>
  </si>
  <si>
    <t>RA1213 .O88 1991</t>
  </si>
  <si>
    <t>0                      RA 1213000O  88          1991</t>
  </si>
  <si>
    <t>The dose makes the poison : a plain-language guide to toxicology / M. Alice Ottoboni.</t>
  </si>
  <si>
    <t>Ottoboni, M. Alice.</t>
  </si>
  <si>
    <t>New York, N.Y. : Van Nostrand Reinhold, c1991.</t>
  </si>
  <si>
    <t>1991</t>
  </si>
  <si>
    <t>2nd ed.</t>
  </si>
  <si>
    <t>1996-11-21</t>
  </si>
  <si>
    <t>1992-06-02</t>
  </si>
  <si>
    <t>501778593:eng</t>
  </si>
  <si>
    <t>23141845</t>
  </si>
  <si>
    <t>991001841849702656</t>
  </si>
  <si>
    <t>2265609110002656</t>
  </si>
  <si>
    <t>9780442006600</t>
  </si>
  <si>
    <t>32285001125813</t>
  </si>
  <si>
    <t>893697081</t>
  </si>
  <si>
    <t>RA1220 .I58 1985</t>
  </si>
  <si>
    <t>0                      RA 1220000I  58          1985</t>
  </si>
  <si>
    <t>Biological reactive intermediates III : mechanisms of action in animal models and human disease / edited by James J. Kocsis ... [et al.].</t>
  </si>
  <si>
    <t>International Symposium on Biological Reactive Intermediates (3rd : 1985 : University of Maryland, College Park)</t>
  </si>
  <si>
    <t>New York : Plenum Press, c1986.</t>
  </si>
  <si>
    <t>Advances in experimental medicine and biology ; v. 197</t>
  </si>
  <si>
    <t>1994-02-17</t>
  </si>
  <si>
    <t>7372726:eng</t>
  </si>
  <si>
    <t>13327917</t>
  </si>
  <si>
    <t>991000808259702656</t>
  </si>
  <si>
    <t>2258848680002656</t>
  </si>
  <si>
    <t>9780306422645</t>
  </si>
  <si>
    <t>32285001588440</t>
  </si>
  <si>
    <t>893321365</t>
  </si>
  <si>
    <t>RA1224.3 .M88 1984</t>
  </si>
  <si>
    <t>0                      RA 1224300M  88          1984</t>
  </si>
  <si>
    <t>Mutation, cancer and malformation / edited by Ernest H.Y. Chu and Walderico M. Generoso.</t>
  </si>
  <si>
    <t>New York : Plenum Press, c1984.</t>
  </si>
  <si>
    <t>Environmental science research ; v. 31</t>
  </si>
  <si>
    <t>1993-04-04</t>
  </si>
  <si>
    <t>1992-11-07</t>
  </si>
  <si>
    <t>3848032:eng</t>
  </si>
  <si>
    <t>11114142</t>
  </si>
  <si>
    <t>991000492899702656</t>
  </si>
  <si>
    <t>2258828980002656</t>
  </si>
  <si>
    <t>9780306418204</t>
  </si>
  <si>
    <t>32285001383149</t>
  </si>
  <si>
    <t>893231149</t>
  </si>
  <si>
    <t>RA1231.M5 F74</t>
  </si>
  <si>
    <t>0                      RA 1231000M  5                  F  74</t>
  </si>
  <si>
    <t>Mercury in the environment : an epidemiological and toxicological appraisal / editors: Lars Friberg [and] Jaroslav Vostal.</t>
  </si>
  <si>
    <t>Friberg, Lars.</t>
  </si>
  <si>
    <t>Cleveland : CRC Press, [1972]</t>
  </si>
  <si>
    <t>1972</t>
  </si>
  <si>
    <t>ohu</t>
  </si>
  <si>
    <t>CRC uniscience series</t>
  </si>
  <si>
    <t>2002-09-28</t>
  </si>
  <si>
    <t>1995-05-01</t>
  </si>
  <si>
    <t>4928075716:eng</t>
  </si>
  <si>
    <t>481792</t>
  </si>
  <si>
    <t>991002840189702656</t>
  </si>
  <si>
    <t>2269370120002656</t>
  </si>
  <si>
    <t>32285002029741</t>
  </si>
  <si>
    <t>893352545</t>
  </si>
  <si>
    <t>RA1231.R2 A93</t>
  </si>
  <si>
    <t>0                      RA 1231000R  2                  A  93</t>
  </si>
  <si>
    <t>Ichiban : radiation dosimetry for the survivors of the bombings of Hiroshima and Nagasaki / John A Auxier.</t>
  </si>
  <si>
    <t>Auxier, John A., 1925-</t>
  </si>
  <si>
    <t>Oak Ridge, Tenn. : Technical Information Center, Energy Research and Development Administration ; Springfield, Va. : available from National Technical Information Service, U.S. Dept. of Commerce, 1977.</t>
  </si>
  <si>
    <t>1977</t>
  </si>
  <si>
    <t>tnu</t>
  </si>
  <si>
    <t>ERDA critical review series</t>
  </si>
  <si>
    <t>2002-04-15</t>
  </si>
  <si>
    <t>1992-11-03</t>
  </si>
  <si>
    <t>5611722909:eng</t>
  </si>
  <si>
    <t>2694933</t>
  </si>
  <si>
    <t>991004214789702656</t>
  </si>
  <si>
    <t>2264983850002656</t>
  </si>
  <si>
    <t>32285001381051</t>
  </si>
  <si>
    <t>893593420</t>
  </si>
  <si>
    <t>RA1231.R2 B7 1958</t>
  </si>
  <si>
    <t>0                      RA 1231000R  2                  B  7           1958</t>
  </si>
  <si>
    <t>Radiation protection, by Carl B. Braestrup and Harold O. Wyckoff.</t>
  </si>
  <si>
    <t>Braestrup, Carl B.</t>
  </si>
  <si>
    <t>Springfield, Ill., Thomas [1958]</t>
  </si>
  <si>
    <t>1958</t>
  </si>
  <si>
    <t xml:space="preserve">xx </t>
  </si>
  <si>
    <t>2007-01-08</t>
  </si>
  <si>
    <t>1997-08-08</t>
  </si>
  <si>
    <t>2339250:eng</t>
  </si>
  <si>
    <t>1438908</t>
  </si>
  <si>
    <t>991003756789702656</t>
  </si>
  <si>
    <t>2271372880002656</t>
  </si>
  <si>
    <t>32285003084075</t>
  </si>
  <si>
    <t>893693115</t>
  </si>
  <si>
    <t>RA1231.R2 Q4</t>
  </si>
  <si>
    <t>0                      RA 1231000R  2                  Q  4</t>
  </si>
  <si>
    <t>Safe handling of radioactive isotopes in medical practice.</t>
  </si>
  <si>
    <t>Quimby, Edith H. (Edith Hinkley), 1891-1982.</t>
  </si>
  <si>
    <t>New York : Macmillan, [1960]</t>
  </si>
  <si>
    <t>1960</t>
  </si>
  <si>
    <t>1999-10-04</t>
  </si>
  <si>
    <t>1990-03-13</t>
  </si>
  <si>
    <t>2416503:eng</t>
  </si>
  <si>
    <t>1534186</t>
  </si>
  <si>
    <t>991003809469702656</t>
  </si>
  <si>
    <t>2271421670002656</t>
  </si>
  <si>
    <t>32285000082478</t>
  </si>
  <si>
    <t>893868901</t>
  </si>
  <si>
    <t>RA1231.R2 U6</t>
  </si>
  <si>
    <t>0                      RA 1231000R  2                  U  6</t>
  </si>
  <si>
    <t>Radiation injury; effects, principles, and perspectives [by] Arthur C. Upton.</t>
  </si>
  <si>
    <t>Upton, Arthur C., 1923-</t>
  </si>
  <si>
    <t>Chicago, University of Chicago Press [1969]</t>
  </si>
  <si>
    <t>1969</t>
  </si>
  <si>
    <t>199107034:eng</t>
  </si>
  <si>
    <t>12821</t>
  </si>
  <si>
    <t>991000004889702656</t>
  </si>
  <si>
    <t>2264916700002656</t>
  </si>
  <si>
    <t>32285003084109</t>
  </si>
  <si>
    <t>893771284</t>
  </si>
  <si>
    <t>RA1231.R2 W36 1982</t>
  </si>
  <si>
    <t>0                      RA 1231000R  2                  W  36          1982</t>
  </si>
  <si>
    <t>Killing our own : the disaster of America's experience with atomic radiation / Harvey Wasserman &amp; Norman Solomon with Robert Alvarez &amp; Eleanor Walters.</t>
  </si>
  <si>
    <t>Wasserman, Harvey.</t>
  </si>
  <si>
    <t>New York : Dell, c1982.</t>
  </si>
  <si>
    <t>A Delta book</t>
  </si>
  <si>
    <t>1996-04-03</t>
  </si>
  <si>
    <t>1991-08-21</t>
  </si>
  <si>
    <t>456692:eng</t>
  </si>
  <si>
    <t>8603564</t>
  </si>
  <si>
    <t>991000030619702656</t>
  </si>
  <si>
    <t>2254915890002656</t>
  </si>
  <si>
    <t>32285000649896</t>
  </si>
  <si>
    <t>893865016</t>
  </si>
  <si>
    <t>RA1242.D48 A64 1984</t>
  </si>
  <si>
    <t>0                      RA 1242000D  48                 A  64          1984</t>
  </si>
  <si>
    <t>To do no harm : DES and the dilemmas of modern medicine / Roberta J. Apfel, Susan M. Fisher.</t>
  </si>
  <si>
    <t>Apfel, Roberta J., 1938-</t>
  </si>
  <si>
    <t>New Haven : Yale University Press, c1984.</t>
  </si>
  <si>
    <t>ctu</t>
  </si>
  <si>
    <t>1996-08-28</t>
  </si>
  <si>
    <t>836626693:eng</t>
  </si>
  <si>
    <t>10532459</t>
  </si>
  <si>
    <t>991000388089702656</t>
  </si>
  <si>
    <t>2267089400002656</t>
  </si>
  <si>
    <t>9780300031928</t>
  </si>
  <si>
    <t>32285001588473</t>
  </si>
  <si>
    <t>893796595</t>
  </si>
  <si>
    <t>RA1242.S53 R87</t>
  </si>
  <si>
    <t>0                      RA 1242000S  53                 R  87</t>
  </si>
  <si>
    <t>Snake venom poisoning / Findlay E. Russell.</t>
  </si>
  <si>
    <t>Russell, Findlay E.</t>
  </si>
  <si>
    <t>Philadelphia : Lippincott, c1980.</t>
  </si>
  <si>
    <t>pau</t>
  </si>
  <si>
    <t>2000-08-16</t>
  </si>
  <si>
    <t>18079061:eng</t>
  </si>
  <si>
    <t>5447647</t>
  </si>
  <si>
    <t>991004835549702656</t>
  </si>
  <si>
    <t>2259325160002656</t>
  </si>
  <si>
    <t>9780397504725</t>
  </si>
  <si>
    <t>32285001588499</t>
  </si>
  <si>
    <t>893532859</t>
  </si>
  <si>
    <t>RA1242.T44 D56</t>
  </si>
  <si>
    <t>0                      RA 1242000T  44                 D  56</t>
  </si>
  <si>
    <t>Dioxin, toxoocological and chemical aspects / edited by Flaminio Cattabeni, Aldo Cavallaro, Giovanni Galli.</t>
  </si>
  <si>
    <t>New York : SP Medical &amp; Scientific Books : distributed by Halsted Press, c1978.</t>
  </si>
  <si>
    <t>Monographs of the Giovanni Lorenzini Foundation ; v. 1</t>
  </si>
  <si>
    <t>1994-04-05</t>
  </si>
  <si>
    <t>1992-04-15</t>
  </si>
  <si>
    <t>982628617:eng</t>
  </si>
  <si>
    <t>3604373</t>
  </si>
  <si>
    <t>991004472329702656</t>
  </si>
  <si>
    <t>2269228060002656</t>
  </si>
  <si>
    <t>9780893350383</t>
  </si>
  <si>
    <t>32285001062800</t>
  </si>
  <si>
    <t>893519693</t>
  </si>
  <si>
    <t>RA1242.T6 E25 1978</t>
  </si>
  <si>
    <t>0                      RA 1242000T  6                  E  25          1978</t>
  </si>
  <si>
    <t>Cutting tobacco's toll / Erik Eckholm.</t>
  </si>
  <si>
    <t>Eckholm, Erik P.</t>
  </si>
  <si>
    <t>[Washington] : Worldwatch Institute, 1978.</t>
  </si>
  <si>
    <t>Worldwatch paper ; 18</t>
  </si>
  <si>
    <t>1995-03-27</t>
  </si>
  <si>
    <t>1992-12-09</t>
  </si>
  <si>
    <t>12686322:eng</t>
  </si>
  <si>
    <t>3862392</t>
  </si>
  <si>
    <t>991004533279702656</t>
  </si>
  <si>
    <t>2271022060002656</t>
  </si>
  <si>
    <t>9780916468170</t>
  </si>
  <si>
    <t>32285001414068</t>
  </si>
  <si>
    <t>893807188</t>
  </si>
  <si>
    <t>RA1242.T6 E58 1990</t>
  </si>
  <si>
    <t>0                      RA 1242000T  6                  E  58          1990</t>
  </si>
  <si>
    <t>Environmental tobacco smoke : proceedings of the International Symposium at McGill University, 1989 / Donald J. Ecobichon, Joseph M. Wu, editors and organizers of the symposium.</t>
  </si>
  <si>
    <t>Lexington, MA : Lexington Books, c1990.</t>
  </si>
  <si>
    <t>1990</t>
  </si>
  <si>
    <t>2000-11-29</t>
  </si>
  <si>
    <t>1990-03-08</t>
  </si>
  <si>
    <t>1994-10-04</t>
  </si>
  <si>
    <t>793331215:eng</t>
  </si>
  <si>
    <t>20800495</t>
  </si>
  <si>
    <t>991001643569702656</t>
  </si>
  <si>
    <t>2255556920002656</t>
  </si>
  <si>
    <t>9780669243659</t>
  </si>
  <si>
    <t>32285000043298</t>
  </si>
  <si>
    <t>893522707</t>
  </si>
  <si>
    <t>RA1242.T6 S6</t>
  </si>
  <si>
    <t>0                      RA 1242000T  6                  S  6</t>
  </si>
  <si>
    <t>Smoking, health, and behavior / edited by Edgar F. Borgatta and Robert R. Evans.</t>
  </si>
  <si>
    <t>Chicago : Aldine Pub. Co., [1968]</t>
  </si>
  <si>
    <t>1968</t>
  </si>
  <si>
    <t>2000-11-16</t>
  </si>
  <si>
    <t>1992-03-20</t>
  </si>
  <si>
    <t>53434745:eng</t>
  </si>
  <si>
    <t>259</t>
  </si>
  <si>
    <t>991005431189702656</t>
  </si>
  <si>
    <t>2272501090002656</t>
  </si>
  <si>
    <t>32285001025369</t>
  </si>
  <si>
    <t>893332959</t>
  </si>
  <si>
    <t>RA1258 .M55 1993</t>
  </si>
  <si>
    <t>0                      RA 1258000M  55          1993</t>
  </si>
  <si>
    <t>Environmental poisons in our food / J. Gordon Millichap.</t>
  </si>
  <si>
    <t>Millichap, J. Gordon.</t>
  </si>
  <si>
    <t>Chicago : PNB Publishers, c1993</t>
  </si>
  <si>
    <t>1995-03-13</t>
  </si>
  <si>
    <t>1993-07-02</t>
  </si>
  <si>
    <t>385032:eng</t>
  </si>
  <si>
    <t>28130425</t>
  </si>
  <si>
    <t>991002184529702656</t>
  </si>
  <si>
    <t>2254718770002656</t>
  </si>
  <si>
    <t>9780962911576</t>
  </si>
  <si>
    <t>32285001700623</t>
  </si>
  <si>
    <t>893238742</t>
  </si>
  <si>
    <t>RA1258 .S74 1990</t>
  </si>
  <si>
    <t>0                      RA 1258000S  74          1990</t>
  </si>
  <si>
    <t>Diet for a poisoned planet : how to choose safe foods for you and your family / David Steinman.</t>
  </si>
  <si>
    <t>Steinman, David.</t>
  </si>
  <si>
    <t>New York : Harmony Books, c1990.</t>
  </si>
  <si>
    <t>1st ed.</t>
  </si>
  <si>
    <t>1992-01-25</t>
  </si>
  <si>
    <t>1990-11-08</t>
  </si>
  <si>
    <t>22730710:eng</t>
  </si>
  <si>
    <t>20993102</t>
  </si>
  <si>
    <t>991001637879702656</t>
  </si>
  <si>
    <t>2267034650002656</t>
  </si>
  <si>
    <t>9780517575123</t>
  </si>
  <si>
    <t>32285000313618</t>
  </si>
  <si>
    <t>893615246</t>
  </si>
  <si>
    <t>RA393 .A44</t>
  </si>
  <si>
    <t>0                      RA 0393000A  44</t>
  </si>
  <si>
    <t>Health policy-making and administration in West Germany and the United States / Christa Altenstetter.</t>
  </si>
  <si>
    <t>Altenstetter, Christa.</t>
  </si>
  <si>
    <t>Beverly Hills, Calif. : Sage Publications, [1974]</t>
  </si>
  <si>
    <t>1974</t>
  </si>
  <si>
    <t>cau</t>
  </si>
  <si>
    <t>Sage professional papers in administrative and policy studies ; ser. no. 03-013</t>
  </si>
  <si>
    <t>2000-11-28</t>
  </si>
  <si>
    <t>1993-03-09</t>
  </si>
  <si>
    <t>2089058:eng</t>
  </si>
  <si>
    <t>1156503</t>
  </si>
  <si>
    <t>991003577039702656</t>
  </si>
  <si>
    <t>2262918100002656</t>
  </si>
  <si>
    <t>9780803902978</t>
  </si>
  <si>
    <t>32285001586378</t>
  </si>
  <si>
    <t>893611187</t>
  </si>
  <si>
    <t>RA393 .G6 1980</t>
  </si>
  <si>
    <t>0                      RA 0393000G  6           1980</t>
  </si>
  <si>
    <t>Health sector policy paper / [Fredrick Golladay, author ; Alexa Dru Deric, contributor ; Emmanuel D'Silva, editor.]</t>
  </si>
  <si>
    <t>Golladay, Fredrick L.</t>
  </si>
  <si>
    <t>Washington, D.C. : World Bank, 1980.</t>
  </si>
  <si>
    <t>2d ed.</t>
  </si>
  <si>
    <t>2000-07-05</t>
  </si>
  <si>
    <t>4757650827:eng</t>
  </si>
  <si>
    <t>11495645</t>
  </si>
  <si>
    <t>991004962879702656</t>
  </si>
  <si>
    <t>2264623170002656</t>
  </si>
  <si>
    <t>32285001586386</t>
  </si>
  <si>
    <t>893801540</t>
  </si>
  <si>
    <t>RA393 .H38 2000</t>
  </si>
  <si>
    <t>0                      RA 0393000H  38          2000</t>
  </si>
  <si>
    <t>Health care management : organization, design, and behavior / [edited by] Stephen M. Shortell, Arnold D. Kaluzny and associates.</t>
  </si>
  <si>
    <t>Albany, N.Y. : Delmar Publishers, c2000.</t>
  </si>
  <si>
    <t>2000</t>
  </si>
  <si>
    <t>4th ed.</t>
  </si>
  <si>
    <t>Delmar series in health services administration</t>
  </si>
  <si>
    <t>2008-09-28</t>
  </si>
  <si>
    <t>2000-03-20</t>
  </si>
  <si>
    <t>792401807:eng</t>
  </si>
  <si>
    <t>41419595</t>
  </si>
  <si>
    <t>991003028179702656</t>
  </si>
  <si>
    <t>2256577980002656</t>
  </si>
  <si>
    <t>9780766810723</t>
  </si>
  <si>
    <t>32285003672093</t>
  </si>
  <si>
    <t>893786890</t>
  </si>
  <si>
    <t>RA393 .L4 1984</t>
  </si>
  <si>
    <t>0                      RA 0393000L  4           1984</t>
  </si>
  <si>
    <t>Health care administration : a managerial perspective / Samuel Levey, N. Paul Loomba, with the assistance of Robert E. Brown.</t>
  </si>
  <si>
    <t>Levey, Samuel.</t>
  </si>
  <si>
    <t>Philadelphia : Lippincott, c1984.</t>
  </si>
  <si>
    <t>889763188:eng</t>
  </si>
  <si>
    <t>10277824</t>
  </si>
  <si>
    <t>991000346109702656</t>
  </si>
  <si>
    <t>2265239860002656</t>
  </si>
  <si>
    <t>9780397521005</t>
  </si>
  <si>
    <t>32285000872498</t>
  </si>
  <si>
    <t>893614100</t>
  </si>
  <si>
    <t>RA393 .L9</t>
  </si>
  <si>
    <t>0                      RA 0393000L  9</t>
  </si>
  <si>
    <t>Medicine and the state, by Matthew J. Lynch and Stanley S. Raphael.</t>
  </si>
  <si>
    <t>Lynch, Matthew J.</t>
  </si>
  <si>
    <t>Springfield, Ill., Thomas [1963]</t>
  </si>
  <si>
    <t>1963</t>
  </si>
  <si>
    <t>2001-10-31</t>
  </si>
  <si>
    <t>2343139:eng</t>
  </si>
  <si>
    <t>1440103</t>
  </si>
  <si>
    <t>991003757189702656</t>
  </si>
  <si>
    <t>2258099340002656</t>
  </si>
  <si>
    <t>32285003083275</t>
  </si>
  <si>
    <t>893252732</t>
  </si>
  <si>
    <t>RA393 .S2813 1984</t>
  </si>
  <si>
    <t>0                      RA 0393000S  2813        1984</t>
  </si>
  <si>
    <t>The end of an illusion : the future of health policy in Western industrialized nations / edited by Jean de Kervasdoué, John R. Kimberly, and Victor G. Rodwin.</t>
  </si>
  <si>
    <t>Santé rationnée? English.</t>
  </si>
  <si>
    <t>Berkeley : University of California Press, c1984.</t>
  </si>
  <si>
    <t>Comparative studies of health systems and medical care</t>
  </si>
  <si>
    <t>2003-06-24</t>
  </si>
  <si>
    <t>180116795:eng</t>
  </si>
  <si>
    <t>10121940</t>
  </si>
  <si>
    <t>991000315979702656</t>
  </si>
  <si>
    <t>2267131620002656</t>
  </si>
  <si>
    <t>9780520047266</t>
  </si>
  <si>
    <t>32285001414902</t>
  </si>
  <si>
    <t>893620374</t>
  </si>
  <si>
    <t>RA394 .E93 1993</t>
  </si>
  <si>
    <t>0                      RA 0394000E  93          1993</t>
  </si>
  <si>
    <t>Evaluating the medical care system : effectiveness, efficiency, and equity / Lu Ann Aday ... [et al.].</t>
  </si>
  <si>
    <t>Ann Arbor, Mich. : Health Administration Press, 1993.</t>
  </si>
  <si>
    <t>miu</t>
  </si>
  <si>
    <t>1995-03-20</t>
  </si>
  <si>
    <t>1994-05-11</t>
  </si>
  <si>
    <t>380625:eng</t>
  </si>
  <si>
    <t>27854373</t>
  </si>
  <si>
    <t>991002163789702656</t>
  </si>
  <si>
    <t>2264325330002656</t>
  </si>
  <si>
    <t>9780910701983</t>
  </si>
  <si>
    <t>32285001895654</t>
  </si>
  <si>
    <t>893866878</t>
  </si>
  <si>
    <t>RA394 .F67 1994</t>
  </si>
  <si>
    <t>0                      RA 0394000F  67          1994</t>
  </si>
  <si>
    <t>Plagues, products and politics : emergent public health hazards and national policymaking / Christopher H. Foreman, Jr.</t>
  </si>
  <si>
    <t>Foreman, Christopher H.</t>
  </si>
  <si>
    <t>Washington, D.C. : The Brookings Institution, 1994.</t>
  </si>
  <si>
    <t>1994</t>
  </si>
  <si>
    <t>1997-04-20</t>
  </si>
  <si>
    <t>1994-10-11</t>
  </si>
  <si>
    <t>32281621:eng</t>
  </si>
  <si>
    <t>30319603</t>
  </si>
  <si>
    <t>991002329929702656</t>
  </si>
  <si>
    <t>2268048150002656</t>
  </si>
  <si>
    <t>9780815728757</t>
  </si>
  <si>
    <t>32285001868321</t>
  </si>
  <si>
    <t>893609731</t>
  </si>
  <si>
    <t>RA394 .F76 1986</t>
  </si>
  <si>
    <t>0                      RA 0394000F  76          1986</t>
  </si>
  <si>
    <t>From research into policy : improving the link for health services / Marion Ein Lewin, editor.</t>
  </si>
  <si>
    <t>Washington, D.C. : American Enterprise Institute for Public Policy Research, c1986.</t>
  </si>
  <si>
    <t>AEI studies ; 445</t>
  </si>
  <si>
    <t>1995-02-19</t>
  </si>
  <si>
    <t>1993-02-09</t>
  </si>
  <si>
    <t>7883825:eng</t>
  </si>
  <si>
    <t>13793511</t>
  </si>
  <si>
    <t>991000872199702656</t>
  </si>
  <si>
    <t>2272207090002656</t>
  </si>
  <si>
    <t>9780844736051</t>
  </si>
  <si>
    <t>32285001495091</t>
  </si>
  <si>
    <t>893249763</t>
  </si>
  <si>
    <t>RA394 .S43 1995</t>
  </si>
  <si>
    <t>0                      RA 0394000S  43          1995</t>
  </si>
  <si>
    <t>Applied quantitative methods for health services management / by Lee F. Seidel, Robin D. Gorsky, and James B. Lewis.</t>
  </si>
  <si>
    <t>Seidel, Lee F.</t>
  </si>
  <si>
    <t>Baltimore : Health Professions Press, c1995.</t>
  </si>
  <si>
    <t>1995</t>
  </si>
  <si>
    <t>mdu</t>
  </si>
  <si>
    <t>2003-01-28</t>
  </si>
  <si>
    <t>3857881273:eng</t>
  </si>
  <si>
    <t>32016012</t>
  </si>
  <si>
    <t>991003969889702656</t>
  </si>
  <si>
    <t>2262223810002656</t>
  </si>
  <si>
    <t>9781878812247</t>
  </si>
  <si>
    <t>32285004695663</t>
  </si>
  <si>
    <t>893794329</t>
  </si>
  <si>
    <t>RA394.6 .H42 1981</t>
  </si>
  <si>
    <t>0                      RA 0394600H  42          1981</t>
  </si>
  <si>
    <t>Health policy making : fundamental issues in the United States, Canada, Great Britain, Australia / [selected] by Anne Crichton.</t>
  </si>
  <si>
    <t>Ann Arbor, Mich. : Health Administration Press, c1981.</t>
  </si>
  <si>
    <t>1981</t>
  </si>
  <si>
    <t>1995-04-24</t>
  </si>
  <si>
    <t>1992-04-27</t>
  </si>
  <si>
    <t>917811214:eng</t>
  </si>
  <si>
    <t>6533099</t>
  </si>
  <si>
    <t>991004999219702656</t>
  </si>
  <si>
    <t>2262474080002656</t>
  </si>
  <si>
    <t>9780914904441</t>
  </si>
  <si>
    <t>32285001072551</t>
  </si>
  <si>
    <t>893412188</t>
  </si>
  <si>
    <t>RA395.A3 A74 1999</t>
  </si>
  <si>
    <t>0                      RA 0395000A  3                  A  74          1999</t>
  </si>
  <si>
    <t>Empowering health care consumers through tax reform / edited by Grace-Marie Arnett.</t>
  </si>
  <si>
    <t>Ann Arbor : University of Michigan Press, 1999.</t>
  </si>
  <si>
    <t>1999</t>
  </si>
  <si>
    <t>2001-07-22</t>
  </si>
  <si>
    <t>2000-01-11</t>
  </si>
  <si>
    <t>26010432:eng</t>
  </si>
  <si>
    <t>41026486</t>
  </si>
  <si>
    <t>991005430229702656</t>
  </si>
  <si>
    <t>2257947770002656</t>
  </si>
  <si>
    <t>9780472067169</t>
  </si>
  <si>
    <t>32285003639720</t>
  </si>
  <si>
    <t>893796218</t>
  </si>
  <si>
    <t>RA395.A3 B38 1996</t>
  </si>
  <si>
    <t>0                      RA 0395000A  3                  B  38          1996</t>
  </si>
  <si>
    <t>Health care reform and the battle for the body politic / Dan E. Beauchamp.</t>
  </si>
  <si>
    <t>Beauchamp, Dan E.</t>
  </si>
  <si>
    <t>Philadelphia, Pa. : Temple University Press, 1996.</t>
  </si>
  <si>
    <t>1996</t>
  </si>
  <si>
    <t>2000-04-21</t>
  </si>
  <si>
    <t>1996-06-24</t>
  </si>
  <si>
    <t>37204909:eng</t>
  </si>
  <si>
    <t>32855149</t>
  </si>
  <si>
    <t>991002527089702656</t>
  </si>
  <si>
    <t>2269716950002656</t>
  </si>
  <si>
    <t>9781566394130</t>
  </si>
  <si>
    <t>32285002172319</t>
  </si>
  <si>
    <t>893523719</t>
  </si>
  <si>
    <t>RA395.A3 C322 1998</t>
  </si>
  <si>
    <t>0                      RA 0395000A  3                  C  322         1998</t>
  </si>
  <si>
    <t>False hopes : why America's quest for perfect health is a recipe for failure / Daniel Callahan.</t>
  </si>
  <si>
    <t>Callahan, Daniel, 1930-2019.</t>
  </si>
  <si>
    <t>New York : Simon &amp; Schuster, c1998.</t>
  </si>
  <si>
    <t>1998</t>
  </si>
  <si>
    <t>2002-08-14</t>
  </si>
  <si>
    <t>1998-06-24</t>
  </si>
  <si>
    <t>891259476:eng</t>
  </si>
  <si>
    <t>37615433</t>
  </si>
  <si>
    <t>991002854609702656</t>
  </si>
  <si>
    <t>2259927760002656</t>
  </si>
  <si>
    <t>9780684811093</t>
  </si>
  <si>
    <t>32285003423539</t>
  </si>
  <si>
    <t>893421877</t>
  </si>
  <si>
    <t>RA395.A3 E56</t>
  </si>
  <si>
    <t>0                      RA 0395000A  3                  E  56</t>
  </si>
  <si>
    <t>The sociology of health care : social, economic, and political perspectives / Darryl D. Enos, Paul Sultan.</t>
  </si>
  <si>
    <t>Enos, Darryl D.</t>
  </si>
  <si>
    <t>New York : Praeger, 1977.</t>
  </si>
  <si>
    <t>2002-03-28</t>
  </si>
  <si>
    <t>1992-04-02</t>
  </si>
  <si>
    <t>293000580:eng</t>
  </si>
  <si>
    <t>2542309</t>
  </si>
  <si>
    <t>991004157059702656</t>
  </si>
  <si>
    <t>2272005900002656</t>
  </si>
  <si>
    <t>9780275569709</t>
  </si>
  <si>
    <t>32285001033066</t>
  </si>
  <si>
    <t>893429725</t>
  </si>
  <si>
    <t>RA395.A3 F74 1980</t>
  </si>
  <si>
    <t>0                      RA 0395000A  3                  F  74          1980</t>
  </si>
  <si>
    <t>The American health care system, its genesis and trajectory / John Gordon Freymann ; with a foreword by John S. Millis.</t>
  </si>
  <si>
    <t>Freymann, John Gordon, 1922-</t>
  </si>
  <si>
    <t>Huntington, N.Y. : R. E. Krieger Pub. Co., 1980, c1974.</t>
  </si>
  <si>
    <t>1991-11-25</t>
  </si>
  <si>
    <t>1827582:eng</t>
  </si>
  <si>
    <t>6330957</t>
  </si>
  <si>
    <t>991004964599702656</t>
  </si>
  <si>
    <t>2271027600002656</t>
  </si>
  <si>
    <t>9780898742244</t>
  </si>
  <si>
    <t>32285000845460</t>
  </si>
  <si>
    <t>893501140</t>
  </si>
  <si>
    <t>RA395.A3 H39</t>
  </si>
  <si>
    <t>0                      RA 0395000A  3                  H  39</t>
  </si>
  <si>
    <t>Health care : an American crisis / edited by Lester A. Sobel ; contributing editors, Joseph Fickes, Russell Kahn ; indexer Grace M. Ferrara.</t>
  </si>
  <si>
    <t>New York : Facts on File, c1976.</t>
  </si>
  <si>
    <t>1976</t>
  </si>
  <si>
    <t>A Facts on File publication</t>
  </si>
  <si>
    <t>2001-11-18</t>
  </si>
  <si>
    <t>1991-10-17</t>
  </si>
  <si>
    <t>946227427:eng</t>
  </si>
  <si>
    <t>2756136</t>
  </si>
  <si>
    <t>991004233329702656</t>
  </si>
  <si>
    <t>2260584730002656</t>
  </si>
  <si>
    <t>32285000773803</t>
  </si>
  <si>
    <t>893593443</t>
  </si>
  <si>
    <t>RA395.A3 H392 1987</t>
  </si>
  <si>
    <t>0                      RA 0395000A  3                  H  392         1987</t>
  </si>
  <si>
    <t>Health care and its costs / Carl J. Schramm, editor.</t>
  </si>
  <si>
    <t>New York : Norton, c1987.</t>
  </si>
  <si>
    <t>1987</t>
  </si>
  <si>
    <t>2002-04-10</t>
  </si>
  <si>
    <t>1991-09-27</t>
  </si>
  <si>
    <t>375245184:eng</t>
  </si>
  <si>
    <t>15428965</t>
  </si>
  <si>
    <t>991001024739702656</t>
  </si>
  <si>
    <t>2264136960002656</t>
  </si>
  <si>
    <t>9780393956719</t>
  </si>
  <si>
    <t>32285000725472</t>
  </si>
  <si>
    <t>893884974</t>
  </si>
  <si>
    <t>RA395.A3 H42557 1996</t>
  </si>
  <si>
    <t>0                      RA 0395000A  3                  H  42557       1996</t>
  </si>
  <si>
    <t>Health policy, federalism, and the American states / Robert F. Rich and William D. White, editors.</t>
  </si>
  <si>
    <t>Washington, D.C. : Urban Institute Press ; Lanham, MD : Distributed in North America by University Press of America, c1996.</t>
  </si>
  <si>
    <t>2001-02-21</t>
  </si>
  <si>
    <t>1999-08-25</t>
  </si>
  <si>
    <t>368200236:eng</t>
  </si>
  <si>
    <t>35298569</t>
  </si>
  <si>
    <t>991002703869702656</t>
  </si>
  <si>
    <t>2260399260002656</t>
  </si>
  <si>
    <t>9780877666592</t>
  </si>
  <si>
    <t>32285003584363</t>
  </si>
  <si>
    <t>893798902</t>
  </si>
  <si>
    <t>RA395.A3 I4925 1983</t>
  </si>
  <si>
    <t>0                      RA 0395000A  3                  I  4925        1983</t>
  </si>
  <si>
    <t>In search of equity : health needs and the health care system / edited by Ronald Bayer and Arthur L. Caplan and Norman Daniels.</t>
  </si>
  <si>
    <t>New York : Plenum Press, c1983.</t>
  </si>
  <si>
    <t>1983</t>
  </si>
  <si>
    <t>The Hastings Center series in ethics</t>
  </si>
  <si>
    <t>2002-10-16</t>
  </si>
  <si>
    <t>1992-04-09</t>
  </si>
  <si>
    <t>836718431:eng</t>
  </si>
  <si>
    <t>9371079</t>
  </si>
  <si>
    <t>991000179329702656</t>
  </si>
  <si>
    <t>2267016080002656</t>
  </si>
  <si>
    <t>9780306412127</t>
  </si>
  <si>
    <t>32285001058253</t>
  </si>
  <si>
    <t>893345456</t>
  </si>
  <si>
    <t>RA395.A3 L49</t>
  </si>
  <si>
    <t>0                      RA 0395000A  3                  L  49</t>
  </si>
  <si>
    <t>A right to health : the problem of access to primary medical care / Charles E. Lewis, Rashi Fein, David Mechanic.</t>
  </si>
  <si>
    <t>Lewis, Charles E., 1928-</t>
  </si>
  <si>
    <t>New York : Wiley, c1976.</t>
  </si>
  <si>
    <t>Health, medicine, and society</t>
  </si>
  <si>
    <t>2007-04-18</t>
  </si>
  <si>
    <t>1990-03-07</t>
  </si>
  <si>
    <t>375551927:eng</t>
  </si>
  <si>
    <t>2225193</t>
  </si>
  <si>
    <t>991004056259702656</t>
  </si>
  <si>
    <t>2259110520002656</t>
  </si>
  <si>
    <t>9780471014942</t>
  </si>
  <si>
    <t>32285000080571</t>
  </si>
  <si>
    <t>893599360</t>
  </si>
  <si>
    <t>RA395.A3 M45 1992</t>
  </si>
  <si>
    <t>0                      RA 0395000A  3                  M  45          1992</t>
  </si>
  <si>
    <t>The health care crisis : containing costs, expanding coverage / [writers, Keith Melville, Tom Piazza].</t>
  </si>
  <si>
    <t>Melville, Keith.</t>
  </si>
  <si>
    <t>Dubuque, Iowa : Kendall/Hunt Pub. Co., c1992.</t>
  </si>
  <si>
    <t>1992</t>
  </si>
  <si>
    <t>iau</t>
  </si>
  <si>
    <t>National issues forums</t>
  </si>
  <si>
    <t>2000-04-30</t>
  </si>
  <si>
    <t>1997-05-04</t>
  </si>
  <si>
    <t>30454422:eng</t>
  </si>
  <si>
    <t>26521602</t>
  </si>
  <si>
    <t>991002070249702656</t>
  </si>
  <si>
    <t>2268661970002656</t>
  </si>
  <si>
    <t>9780840374325</t>
  </si>
  <si>
    <t>32285002543337</t>
  </si>
  <si>
    <t>893892092</t>
  </si>
  <si>
    <t>RA395.A3 N48 1993</t>
  </si>
  <si>
    <t>0                      RA 0395000A  3                  N  48          1993</t>
  </si>
  <si>
    <t>A New deal for American health care : how reform will reshape health care delivery and payment for a new century / by Richard M. Sorian and the editors of the Healthcare Information Center ; introduction by Robert J. Blendon.</t>
  </si>
  <si>
    <t>New York, [N.Y.] : Faulkner &amp; Gray ; Washington, DC : Healthcare Information Center, c1993.</t>
  </si>
  <si>
    <t>Future of American health care ; v. 3</t>
  </si>
  <si>
    <t>2010-04-22</t>
  </si>
  <si>
    <t>1994-07-20</t>
  </si>
  <si>
    <t>31354310:eng</t>
  </si>
  <si>
    <t>29563628</t>
  </si>
  <si>
    <t>991002279009702656</t>
  </si>
  <si>
    <t>2263554810002656</t>
  </si>
  <si>
    <t>32285001932242</t>
  </si>
  <si>
    <t>893408910</t>
  </si>
  <si>
    <t>RA395.A3 P298 1993</t>
  </si>
  <si>
    <t>0                      RA 0395000A  3                  P  298         1993</t>
  </si>
  <si>
    <t>Health status and health policy : quality of life in health care evaluation and resource allocation / Donald L. Patrick, Pennifer Erickson.</t>
  </si>
  <si>
    <t>Patrick, Donald L.</t>
  </si>
  <si>
    <t>New York : Oxford University Press, 1993.</t>
  </si>
  <si>
    <t>2006-09-22</t>
  </si>
  <si>
    <t>1994-05-26</t>
  </si>
  <si>
    <t>836875955:eng</t>
  </si>
  <si>
    <t>25372498</t>
  </si>
  <si>
    <t>991001799799702656</t>
  </si>
  <si>
    <t>2269053190002656</t>
  </si>
  <si>
    <t>9780195050271</t>
  </si>
  <si>
    <t>32285001899938</t>
  </si>
  <si>
    <t>893433148</t>
  </si>
  <si>
    <t>RA395.A3 R48 v.3, 1984</t>
  </si>
  <si>
    <t>0                      RA 0395000A  3                  R  48                                v.3, 1984</t>
  </si>
  <si>
    <t>The Control of costs and performance of medical services / editor, Julius A. Roth.</t>
  </si>
  <si>
    <t>V.3 1984</t>
  </si>
  <si>
    <t>Greenwich, Conn. : JAI Press, 1984.</t>
  </si>
  <si>
    <t>Research in the sociology of health care ; v. 3</t>
  </si>
  <si>
    <t>1996-09-26</t>
  </si>
  <si>
    <t>54640435:eng</t>
  </si>
  <si>
    <t>10700425</t>
  </si>
  <si>
    <t>991000409989702656</t>
  </si>
  <si>
    <t>2260812980002656</t>
  </si>
  <si>
    <t>9780892323104</t>
  </si>
  <si>
    <t>32285001586451</t>
  </si>
  <si>
    <t>893790476</t>
  </si>
  <si>
    <t>RA395.A3 R48 v.4, 1986</t>
  </si>
  <si>
    <t>0                      RA 0395000A  3                  R  48                                v.4, 1986</t>
  </si>
  <si>
    <t>The Adoption and social consequences of medical technologies / editors, Julius A. Roth, Sheryl Burt Ruzek.</t>
  </si>
  <si>
    <t>V.4 1986</t>
  </si>
  <si>
    <t>Greenwich, Conn. : JAI Press, 1986.</t>
  </si>
  <si>
    <t>Research in the sociology of health care ; v. 4</t>
  </si>
  <si>
    <t>1997-12-04</t>
  </si>
  <si>
    <t>366756138:eng</t>
  </si>
  <si>
    <t>16276063</t>
  </si>
  <si>
    <t>991000829399702656</t>
  </si>
  <si>
    <t>2259458800002656</t>
  </si>
  <si>
    <t>9780892324927</t>
  </si>
  <si>
    <t>32285001586469</t>
  </si>
  <si>
    <t>893333818</t>
  </si>
  <si>
    <t>RA395.A3 R86</t>
  </si>
  <si>
    <t>0                      RA 0395000A  3                  R  86</t>
  </si>
  <si>
    <t>Humanizing health care : alternative futures for medicine / Robert F. Rushmer.</t>
  </si>
  <si>
    <t>Rushmer, Robert F. (Robert Frazer), 1914-2001.</t>
  </si>
  <si>
    <t>Cambridge, Mass. : MIT Press, [1975]</t>
  </si>
  <si>
    <t>1975</t>
  </si>
  <si>
    <t>[1st ed.]</t>
  </si>
  <si>
    <t>2000-03-23</t>
  </si>
  <si>
    <t>1089543641:eng</t>
  </si>
  <si>
    <t>1177679</t>
  </si>
  <si>
    <t>991001753079702656</t>
  </si>
  <si>
    <t>2264584150002656</t>
  </si>
  <si>
    <t>9780262180757</t>
  </si>
  <si>
    <t>32285001050938</t>
  </si>
  <si>
    <t>893684614</t>
  </si>
  <si>
    <t>RA395.A3 R88</t>
  </si>
  <si>
    <t>0                      RA 0395000A  3                  R  88</t>
  </si>
  <si>
    <t>National priorities for health : past, present, and projected / Robert F. Rushmer.</t>
  </si>
  <si>
    <t>New York : Wiley, c1980.</t>
  </si>
  <si>
    <t>Wiley series in health services</t>
  </si>
  <si>
    <t>2009-05-05</t>
  </si>
  <si>
    <t>20356319:eng</t>
  </si>
  <si>
    <t>5798737</t>
  </si>
  <si>
    <t>991004877369702656</t>
  </si>
  <si>
    <t>2267528940002656</t>
  </si>
  <si>
    <t>9780471064725</t>
  </si>
  <si>
    <t>32285000085521</t>
  </si>
  <si>
    <t>893241936</t>
  </si>
  <si>
    <t>RA395.A3 S66 1992</t>
  </si>
  <si>
    <t>0                      RA 0395000A  3                  S  66          1992</t>
  </si>
  <si>
    <t>Paying for medicare : the politics of reform / David G. Smith.</t>
  </si>
  <si>
    <t>Smith, David G., 1926-</t>
  </si>
  <si>
    <t>New York : A. de Gruyter, c1992.</t>
  </si>
  <si>
    <t>Social institutions and social change</t>
  </si>
  <si>
    <t>2002-04-06</t>
  </si>
  <si>
    <t>1992-06-10</t>
  </si>
  <si>
    <t>368497579:eng</t>
  </si>
  <si>
    <t>24378262</t>
  </si>
  <si>
    <t>991001931219702656</t>
  </si>
  <si>
    <t>2266379480002656</t>
  </si>
  <si>
    <t>9780202303932</t>
  </si>
  <si>
    <t>32285001127355</t>
  </si>
  <si>
    <t>893503826</t>
  </si>
  <si>
    <t>RA395.A3 S75</t>
  </si>
  <si>
    <t>0                      RA 0395000A  3                  S  75</t>
  </si>
  <si>
    <t>Health and health care : policies in perspective / Anne R. Somers, Herman M. Somers.</t>
  </si>
  <si>
    <t>Somers, Anne Ramsay.</t>
  </si>
  <si>
    <t>Germantown, Md. : Aspen Systems Corp., 1977.</t>
  </si>
  <si>
    <t>1992-12-04</t>
  </si>
  <si>
    <t>8145625:eng</t>
  </si>
  <si>
    <t>3168384</t>
  </si>
  <si>
    <t>991001752969702656</t>
  </si>
  <si>
    <t>2263010710002656</t>
  </si>
  <si>
    <t>9780912862453</t>
  </si>
  <si>
    <t>32285003083291</t>
  </si>
  <si>
    <t>893414447</t>
  </si>
  <si>
    <t>RA395.A55 T7 1980</t>
  </si>
  <si>
    <t>0                      RA 0395000A  55                 T  7           1980</t>
  </si>
  <si>
    <t>Traditional health care delivery in contemporary Africa / edited by Priscilla R. Ulin and Marshall H. Segall ; contributors, Charles M. Good ... [et al.].</t>
  </si>
  <si>
    <t>Syracuse, N.Y. : Maxwell School of Citizenship and Public Affairs, Syracuse University, 1980.</t>
  </si>
  <si>
    <t>Foreign and comparative studies. African series ; 35</t>
  </si>
  <si>
    <t>2009-10-26</t>
  </si>
  <si>
    <t>1992-04-03</t>
  </si>
  <si>
    <t>426778364:eng</t>
  </si>
  <si>
    <t>7152204</t>
  </si>
  <si>
    <t>991005077899702656</t>
  </si>
  <si>
    <t>2267389060002656</t>
  </si>
  <si>
    <t>9780915984572</t>
  </si>
  <si>
    <t>32285001033215</t>
  </si>
  <si>
    <t>893776790</t>
  </si>
  <si>
    <t>RA395.A7 R38</t>
  </si>
  <si>
    <t>0                      RA 0395000A  7                  R  38</t>
  </si>
  <si>
    <t>Health and policymaking in the Arab Middle East / M. Susan Ueber Raymond.</t>
  </si>
  <si>
    <t>Raymond, M. Susan Ueber, 1949-</t>
  </si>
  <si>
    <t>Washington : Center for Contemporary Arab Studies, Georgetown University, 1978.</t>
  </si>
  <si>
    <t>CCAS studies in Arab development</t>
  </si>
  <si>
    <t>1994-04-20</t>
  </si>
  <si>
    <t>14756561:eng</t>
  </si>
  <si>
    <t>4491104</t>
  </si>
  <si>
    <t>991004645259702656</t>
  </si>
  <si>
    <t>2264037730002656</t>
  </si>
  <si>
    <t>32285001586485</t>
  </si>
  <si>
    <t>893442891</t>
  </si>
  <si>
    <t>RA395.C53 S35 1988</t>
  </si>
  <si>
    <t>0                      RA 0395000C  53                 S  35          1988</t>
  </si>
  <si>
    <t>Science and medicine in twentieth-century China : research and education / edited by John Z. Bowers, J. William Hess, Nathan Sivin.</t>
  </si>
  <si>
    <t>Ann Arbor : Center for Chinese Studies, the University of Michigan, 1988.</t>
  </si>
  <si>
    <t>Science, medicine, and technology in East Asia ; v. 3</t>
  </si>
  <si>
    <t>1998-03-28</t>
  </si>
  <si>
    <t>1995-01-10</t>
  </si>
  <si>
    <t>427062162:eng</t>
  </si>
  <si>
    <t>18962716</t>
  </si>
  <si>
    <t>991001419919702656</t>
  </si>
  <si>
    <t>2263940150002656</t>
  </si>
  <si>
    <t>9780892640775</t>
  </si>
  <si>
    <t>32285001991917</t>
  </si>
  <si>
    <t>893809065</t>
  </si>
  <si>
    <t>RA395.G6 E2</t>
  </si>
  <si>
    <t>0                      RA 0395000G  6                  E  2</t>
  </si>
  <si>
    <t>The English health service : it origins, structure, and achievements / foreword by James Howard Means.</t>
  </si>
  <si>
    <t>Eckstein, Harry.</t>
  </si>
  <si>
    <t>Cambridge : Harvard University Press, 1958.</t>
  </si>
  <si>
    <t>Harvard political studies</t>
  </si>
  <si>
    <t>2906251:eng</t>
  </si>
  <si>
    <t>364696</t>
  </si>
  <si>
    <t>991002506609702656</t>
  </si>
  <si>
    <t>2263046090002656</t>
  </si>
  <si>
    <t>32285001087880</t>
  </si>
  <si>
    <t>893262325</t>
  </si>
  <si>
    <t>RA395.G6 E54 1997</t>
  </si>
  <si>
    <t>0                      RA 0395000G  6                  E  54          1997</t>
  </si>
  <si>
    <t>Enhancing health services management : the role of decision support systems / edited by Steve Cropper and Paul Forte.</t>
  </si>
  <si>
    <t>Buckingham ; Philadelphia : Open University Press, 1997.</t>
  </si>
  <si>
    <t>1997</t>
  </si>
  <si>
    <t>enk</t>
  </si>
  <si>
    <t>Health services management</t>
  </si>
  <si>
    <t>1999-02-16</t>
  </si>
  <si>
    <t>1998-05-11</t>
  </si>
  <si>
    <t>368054006:eng</t>
  </si>
  <si>
    <t>36008612</t>
  </si>
  <si>
    <t>991002742219702656</t>
  </si>
  <si>
    <t>2258969630002656</t>
  </si>
  <si>
    <t>9780335196340</t>
  </si>
  <si>
    <t>32285003407425</t>
  </si>
  <si>
    <t>893409473</t>
  </si>
  <si>
    <t>RA395.G6 P3 1981</t>
  </si>
  <si>
    <t>0                      RA 0395000G  6                  P  3           1981</t>
  </si>
  <si>
    <t>The making of the National Health Service / by John E. Pater.</t>
  </si>
  <si>
    <t>Pater, John E.</t>
  </si>
  <si>
    <t>London : King Edward's Hospital Fund for London, c1981.</t>
  </si>
  <si>
    <t>King's Fund historical series ; 1</t>
  </si>
  <si>
    <t>1998-10-20</t>
  </si>
  <si>
    <t>5386846:eng</t>
  </si>
  <si>
    <t>13002765</t>
  </si>
  <si>
    <t>991005220639702656</t>
  </si>
  <si>
    <t>2266836720002656</t>
  </si>
  <si>
    <t>9780900889844</t>
  </si>
  <si>
    <t>32285001072544</t>
  </si>
  <si>
    <t>893688788</t>
  </si>
  <si>
    <t>RA395.S8 H44 1980</t>
  </si>
  <si>
    <t>0                      RA 0395000S  8                  H  44          1980</t>
  </si>
  <si>
    <t>The shaping of the Swedish health system / edited by Arnold J. Heidenheimer and Nils Elvander, with the assistance of Charly Hultén.</t>
  </si>
  <si>
    <t>Heidenheimer, Arnold J.</t>
  </si>
  <si>
    <t>New York : St. Martin's Press, 1980.</t>
  </si>
  <si>
    <t>351961243:eng</t>
  </si>
  <si>
    <t>6143050</t>
  </si>
  <si>
    <t>991004936069702656</t>
  </si>
  <si>
    <t>2259864160002656</t>
  </si>
  <si>
    <t>9780312716271</t>
  </si>
  <si>
    <t>32285000085547</t>
  </si>
  <si>
    <t>893424359</t>
  </si>
  <si>
    <t>RA396.A3 G73 1984</t>
  </si>
  <si>
    <t>0                      RA 0396000A  3                  G  73          1984</t>
  </si>
  <si>
    <t>Of foxes and hen houses : licensing and the health professions / Stanley J. Gross.</t>
  </si>
  <si>
    <t>Gross, Stanley J.</t>
  </si>
  <si>
    <t>Westport, Conn. : Quorum Books, 1984.</t>
  </si>
  <si>
    <t>1993-07-12</t>
  </si>
  <si>
    <t>1992-05-07</t>
  </si>
  <si>
    <t>836621033:eng</t>
  </si>
  <si>
    <t>9619935</t>
  </si>
  <si>
    <t>991000225979702656</t>
  </si>
  <si>
    <t>2255572220002656</t>
  </si>
  <si>
    <t>9780899300597</t>
  </si>
  <si>
    <t>32285001097152</t>
  </si>
  <si>
    <t>893407037</t>
  </si>
  <si>
    <t>RA398.A3 S63 1996</t>
  </si>
  <si>
    <t>0                      RA 0398000A  3                  S  63          1996</t>
  </si>
  <si>
    <t>Medicaid and the limits of state health reform / Michael S. Sparer.</t>
  </si>
  <si>
    <t>Sparer, Michael.</t>
  </si>
  <si>
    <t>Philadelphia : Temple University Press, 1996.</t>
  </si>
  <si>
    <t>1996-08-06</t>
  </si>
  <si>
    <t>38912162:eng</t>
  </si>
  <si>
    <t>33817647</t>
  </si>
  <si>
    <t>991002579759702656</t>
  </si>
  <si>
    <t>2267525080002656</t>
  </si>
  <si>
    <t>9781566394338</t>
  </si>
  <si>
    <t>32285002271004</t>
  </si>
  <si>
    <t>893867411</t>
  </si>
  <si>
    <t>RA399.A1 G735 2001</t>
  </si>
  <si>
    <t>0                      RA 0399000A  1                  G  735         2001</t>
  </si>
  <si>
    <t>The practice of health program evaluation / David Grembowski.</t>
  </si>
  <si>
    <t>Grembowski, David.</t>
  </si>
  <si>
    <t>Thousand Oaks, Calif. : Sage Publications, c2001.</t>
  </si>
  <si>
    <t>2001</t>
  </si>
  <si>
    <t>2005-03-14</t>
  </si>
  <si>
    <t>2729774:eng</t>
  </si>
  <si>
    <t>45556119</t>
  </si>
  <si>
    <t>991004479039702656</t>
  </si>
  <si>
    <t>2259387490002656</t>
  </si>
  <si>
    <t>9780761918462</t>
  </si>
  <si>
    <t>32285005040802</t>
  </si>
  <si>
    <t>893693992</t>
  </si>
  <si>
    <t>RA399.A1 K39 1995</t>
  </si>
  <si>
    <t>0                      RA 0399000A  1                  K  39          1995</t>
  </si>
  <si>
    <t>The epidemiology of quality / Vahé A. Kazandjian with Elizabeth L. Sternberg.</t>
  </si>
  <si>
    <t>Kazandjian, Vahé A.</t>
  </si>
  <si>
    <t>Gaithersburg, Md. : Aspen, 1995.</t>
  </si>
  <si>
    <t>2002-04-09</t>
  </si>
  <si>
    <t>2002-03-19</t>
  </si>
  <si>
    <t>33640090:eng</t>
  </si>
  <si>
    <t>31903423</t>
  </si>
  <si>
    <t>991003727279702656</t>
  </si>
  <si>
    <t>2268432750002656</t>
  </si>
  <si>
    <t>9780834205338</t>
  </si>
  <si>
    <t>32285004462569</t>
  </si>
  <si>
    <t>893887814</t>
  </si>
  <si>
    <t>RA399.A1 S74 1990</t>
  </si>
  <si>
    <t>0                      RA 0399000A  1                  S  74          1990</t>
  </si>
  <si>
    <t>Measuring and managing patient satisfaction / Steven R. Steiber and William J. Krowinski.</t>
  </si>
  <si>
    <t>Steiber, Steven R.</t>
  </si>
  <si>
    <t>Chicago, Ill. : American Hospital Pub., c1990.</t>
  </si>
  <si>
    <t>1993-10-16</t>
  </si>
  <si>
    <t>1991-05-16</t>
  </si>
  <si>
    <t>23956503:eng</t>
  </si>
  <si>
    <t>21949774</t>
  </si>
  <si>
    <t>991001733249702656</t>
  </si>
  <si>
    <t>2258548700002656</t>
  </si>
  <si>
    <t>9781556480522</t>
  </si>
  <si>
    <t>32285000573815</t>
  </si>
  <si>
    <t>893346734</t>
  </si>
  <si>
    <t>RA402.A1 L5</t>
  </si>
  <si>
    <t>0                      RA 0402000A  1                  L  5</t>
  </si>
  <si>
    <t>The development of a single convention on narcotic drugs : a historical survey for the international cooperation in solving the crucial problem of narcotic drugs / by Hsien Chou Liu.</t>
  </si>
  <si>
    <t>Liu, Hsien Chou.</t>
  </si>
  <si>
    <t>Bangkok : The Academy of New Society, 1979.</t>
  </si>
  <si>
    <t>1979</t>
  </si>
  <si>
    <t>2003-11-24</t>
  </si>
  <si>
    <t>1994-03-03</t>
  </si>
  <si>
    <t>20438811:eng</t>
  </si>
  <si>
    <t>5906241</t>
  </si>
  <si>
    <t>991004898339702656</t>
  </si>
  <si>
    <t>2272746810002656</t>
  </si>
  <si>
    <t>32285001851418</t>
  </si>
  <si>
    <t>893807602</t>
  </si>
  <si>
    <t>RA407 .F35 1990</t>
  </si>
  <si>
    <t>0                      RA 0407000F  35          1990</t>
  </si>
  <si>
    <t>The quality of life : the missing measurement in health care / Lesley Fallowfield.</t>
  </si>
  <si>
    <t>Fallowfield, Lesley.</t>
  </si>
  <si>
    <t>London : Souvenir, 1990.</t>
  </si>
  <si>
    <t>Human horizons series</t>
  </si>
  <si>
    <t>1999-02-21</t>
  </si>
  <si>
    <t>1993-04-13</t>
  </si>
  <si>
    <t>29380245:eng</t>
  </si>
  <si>
    <t>28674664</t>
  </si>
  <si>
    <t>991001739379702656</t>
  </si>
  <si>
    <t>2270012150002656</t>
  </si>
  <si>
    <t>9780285629523</t>
  </si>
  <si>
    <t>32285001445336</t>
  </si>
  <si>
    <t>893346740</t>
  </si>
  <si>
    <t>RA409 .D35 1983</t>
  </si>
  <si>
    <t>0                      RA 0409000D  35          1983</t>
  </si>
  <si>
    <t>Biostatistics : a foundation for analysis in the health sciences / Wayne W. Daniel.</t>
  </si>
  <si>
    <t>Daniel, Wayne W., 1929-</t>
  </si>
  <si>
    <t>New York : Wiley, 1983.</t>
  </si>
  <si>
    <t>3rd ed.</t>
  </si>
  <si>
    <t>Wiley series in probability and mathematical statistics, 0271-6356</t>
  </si>
  <si>
    <t>2001-08-10</t>
  </si>
  <si>
    <t>1991-12-06</t>
  </si>
  <si>
    <t>1823591:eng</t>
  </si>
  <si>
    <t>8590463</t>
  </si>
  <si>
    <t>991000028239702656</t>
  </si>
  <si>
    <t>2272079150002656</t>
  </si>
  <si>
    <t>9780471097532</t>
  </si>
  <si>
    <t>32285000837848</t>
  </si>
  <si>
    <t>893595190</t>
  </si>
  <si>
    <t>RA409 .M43 1986</t>
  </si>
  <si>
    <t>0                      RA 0409000M  43          1986</t>
  </si>
  <si>
    <t>Medical uses of statistics / edited by John C. Bailar III, Frederick Mosteller.</t>
  </si>
  <si>
    <t>Waltham, Mass. : NEJM Books, 1986.</t>
  </si>
  <si>
    <t>1995-06-03</t>
  </si>
  <si>
    <t>509890106:eng</t>
  </si>
  <si>
    <t>13270827</t>
  </si>
  <si>
    <t>991000804839702656</t>
  </si>
  <si>
    <t>2271780490002656</t>
  </si>
  <si>
    <t>9780910133166</t>
  </si>
  <si>
    <t>32285000043157</t>
  </si>
  <si>
    <t>893771975</t>
  </si>
  <si>
    <t>RA409 .W62 1987</t>
  </si>
  <si>
    <t>0                      RA 0409000W  62          1987</t>
  </si>
  <si>
    <t>Statistical methods for the analysis of biomedical data / Robert F. Woolson.</t>
  </si>
  <si>
    <t>Woolson, Robert F.</t>
  </si>
  <si>
    <t>New York : Wiley, 1987.</t>
  </si>
  <si>
    <t>Wiley series in probability and mathematical statistics. Applied probability and statistics, 0271-6356</t>
  </si>
  <si>
    <t>2001-02-02</t>
  </si>
  <si>
    <t>1992-11-13</t>
  </si>
  <si>
    <t>6394446:eng</t>
  </si>
  <si>
    <t>15283456</t>
  </si>
  <si>
    <t>991001011049702656</t>
  </si>
  <si>
    <t>2264326050002656</t>
  </si>
  <si>
    <t>9780471806158</t>
  </si>
  <si>
    <t>32285001384782</t>
  </si>
  <si>
    <t>893413878</t>
  </si>
  <si>
    <t>RA410 .S6</t>
  </si>
  <si>
    <t>0                      RA 0410000S  6</t>
  </si>
  <si>
    <t>Doctors, patients, and health insurance : the organization and financing of medical care / by Herman Miles Somers [and] Anne Ramsay Somers.</t>
  </si>
  <si>
    <t>Somers, Herman Miles, 1911-1991.</t>
  </si>
  <si>
    <t>Washington : Brookings Institution, [1961]</t>
  </si>
  <si>
    <t>1961</t>
  </si>
  <si>
    <t>1999-11-29</t>
  </si>
  <si>
    <t>1992-12-10</t>
  </si>
  <si>
    <t>288938131:eng</t>
  </si>
  <si>
    <t>634547</t>
  </si>
  <si>
    <t>991003082739702656</t>
  </si>
  <si>
    <t>2255484200002656</t>
  </si>
  <si>
    <t>32285001414886</t>
  </si>
  <si>
    <t>893227660</t>
  </si>
  <si>
    <t>RA410.5 .C65 1982</t>
  </si>
  <si>
    <t>0                      RA 0410500C  65          1982</t>
  </si>
  <si>
    <t>Health care marketing management : a case approach / Philip D. Cooper, Larry M. Robinson.</t>
  </si>
  <si>
    <t>Cooper, Philip D., 1942-</t>
  </si>
  <si>
    <t>Rockville, Md. : Aspen Systems Corp., 1982.</t>
  </si>
  <si>
    <t>2000-11-09</t>
  </si>
  <si>
    <t>2590927200:eng</t>
  </si>
  <si>
    <t>8282924</t>
  </si>
  <si>
    <t>991005226279702656</t>
  </si>
  <si>
    <t>2268757230002656</t>
  </si>
  <si>
    <t>9780894433948</t>
  </si>
  <si>
    <t>32285000056555</t>
  </si>
  <si>
    <t>893808035</t>
  </si>
  <si>
    <t>RA410.5 .D73 2003</t>
  </si>
  <si>
    <t>0                      RA 0410500D  73          2003</t>
  </si>
  <si>
    <t>What's your life worth? : health care rationing-- who lives? who dies? who decides? / David Dranove.</t>
  </si>
  <si>
    <t>Dranove, David.</t>
  </si>
  <si>
    <t>Upper Saddle River, NJ : FT Prentice Hall, c2003.</t>
  </si>
  <si>
    <t>2003</t>
  </si>
  <si>
    <t>nju</t>
  </si>
  <si>
    <t>2005-09-14</t>
  </si>
  <si>
    <t>2004-01-06</t>
  </si>
  <si>
    <t>800656250:eng</t>
  </si>
  <si>
    <t>51907191</t>
  </si>
  <si>
    <t>991004180509702656</t>
  </si>
  <si>
    <t>2255984540002656</t>
  </si>
  <si>
    <t>9780130671653</t>
  </si>
  <si>
    <t>32285004849575</t>
  </si>
  <si>
    <t>893532082</t>
  </si>
  <si>
    <t>RA410.5 .M329 1986</t>
  </si>
  <si>
    <t>0                      RA 0410500M  329         1986</t>
  </si>
  <si>
    <t>Managing health care marketing communications / Robin E. Scott MacStravic.</t>
  </si>
  <si>
    <t>MacStravic, Robin E. Scott.</t>
  </si>
  <si>
    <t>Rockville, Md. : Aspen Systems Corp., 1986.</t>
  </si>
  <si>
    <t>2004-10-24</t>
  </si>
  <si>
    <t>1990-03-01</t>
  </si>
  <si>
    <t>4909816:eng</t>
  </si>
  <si>
    <t>12162592</t>
  </si>
  <si>
    <t>991000650309702656</t>
  </si>
  <si>
    <t>2272200530002656</t>
  </si>
  <si>
    <t>9780871892317</t>
  </si>
  <si>
    <t>32285000075316</t>
  </si>
  <si>
    <t>893321225</t>
  </si>
  <si>
    <t>RA410.5 .N33</t>
  </si>
  <si>
    <t>0                      RA 0410500N  33</t>
  </si>
  <si>
    <t>Medicine under capitalism / Vicente Navarro.</t>
  </si>
  <si>
    <t>Navarro, Vicente.</t>
  </si>
  <si>
    <t>New York : Prodist, c1976.</t>
  </si>
  <si>
    <t>2001-08-29</t>
  </si>
  <si>
    <t>1990-06-06</t>
  </si>
  <si>
    <t>4955692:eng</t>
  </si>
  <si>
    <t>2388399</t>
  </si>
  <si>
    <t>991004108539702656</t>
  </si>
  <si>
    <t>2259248330002656</t>
  </si>
  <si>
    <t>9780882021164</t>
  </si>
  <si>
    <t>32285000176734</t>
  </si>
  <si>
    <t>893810358</t>
  </si>
  <si>
    <t>RA410.53 .A64</t>
  </si>
  <si>
    <t>0                      RA 0410530A  64</t>
  </si>
  <si>
    <t>Health care in the U. S. : equitable for whom? / Lu Ann Aday, Ronald Andersen, Gretchen V. Fleming ; foreword by David E. Rogers, Linda H. Aiken.</t>
  </si>
  <si>
    <t>Aday, Lu Ann.</t>
  </si>
  <si>
    <t>Beverly Hills, Calif. : Sage Publications, c1980.</t>
  </si>
  <si>
    <t>2001-09-18</t>
  </si>
  <si>
    <t>1991-10-23</t>
  </si>
  <si>
    <t>457104:eng</t>
  </si>
  <si>
    <t>6176125</t>
  </si>
  <si>
    <t>991004940089702656</t>
  </si>
  <si>
    <t>2258120520002656</t>
  </si>
  <si>
    <t>9780803913738</t>
  </si>
  <si>
    <t>32285000779461</t>
  </si>
  <si>
    <t>893526678</t>
  </si>
  <si>
    <t>RA410.53 .B55 1995</t>
  </si>
  <si>
    <t>0                      RA 0410530B  55          1995</t>
  </si>
  <si>
    <t>Putting health care on the national agenda / Arnold Birenbaum.</t>
  </si>
  <si>
    <t>Birenbaum, Arnold.</t>
  </si>
  <si>
    <t>Westport, Conn. : Praeger, 1995.</t>
  </si>
  <si>
    <t>Rev. and updated ed.</t>
  </si>
  <si>
    <t>2007-11-16</t>
  </si>
  <si>
    <t>1998-05-05</t>
  </si>
  <si>
    <t>2575167:eng</t>
  </si>
  <si>
    <t>31969418</t>
  </si>
  <si>
    <t>991002450749702656</t>
  </si>
  <si>
    <t>2260890020002656</t>
  </si>
  <si>
    <t>9780275951634</t>
  </si>
  <si>
    <t>32285003406013</t>
  </si>
  <si>
    <t>893892563</t>
  </si>
  <si>
    <t>RA410.53 .F82 1975</t>
  </si>
  <si>
    <t>0                      RA 0410530F  82          1975</t>
  </si>
  <si>
    <t>Who shall live? : health, economics, and social choice / [by] Victor R. Fuchs.</t>
  </si>
  <si>
    <t>Fuchs, Victor R.</t>
  </si>
  <si>
    <t>New York : Basic Books, [1975, c1974]</t>
  </si>
  <si>
    <t>1930142:eng</t>
  </si>
  <si>
    <t>1009852</t>
  </si>
  <si>
    <t>991003468699702656</t>
  </si>
  <si>
    <t>2263865630002656</t>
  </si>
  <si>
    <t>9780465091850</t>
  </si>
  <si>
    <t>32285000176726</t>
  </si>
  <si>
    <t>893511970</t>
  </si>
  <si>
    <t>RA410.53 .G56 1985</t>
  </si>
  <si>
    <t>0                      RA 0410530G  56          1985</t>
  </si>
  <si>
    <t>American medicine : the power shift / Eli Ginzberg.</t>
  </si>
  <si>
    <t>Ginzberg, Eli, 1911-2002.</t>
  </si>
  <si>
    <t>Totowa, N.J. : Rowman &amp; Allanheld, 1985.</t>
  </si>
  <si>
    <t>2001-04-11</t>
  </si>
  <si>
    <t>1992-04-26</t>
  </si>
  <si>
    <t>4504452:eng</t>
  </si>
  <si>
    <t>11970909</t>
  </si>
  <si>
    <t>991000619279702656</t>
  </si>
  <si>
    <t>2257138380002656</t>
  </si>
  <si>
    <t>9780847674398</t>
  </si>
  <si>
    <t>32285001087161</t>
  </si>
  <si>
    <t>893871829</t>
  </si>
  <si>
    <t>RA410.53 .G74 1991</t>
  </si>
  <si>
    <t>0                      RA 0410530G  74          1991</t>
  </si>
  <si>
    <t>Competition, regulation, and rationing in health care / Warren Greenberg.</t>
  </si>
  <si>
    <t>Greenberg, Warren, 1943-2015.</t>
  </si>
  <si>
    <t>Ann Arbor, Mich. : Health Administration Press, 1991.</t>
  </si>
  <si>
    <t>1995-04-07</t>
  </si>
  <si>
    <t>5989528:eng</t>
  </si>
  <si>
    <t>24542562</t>
  </si>
  <si>
    <t>991001942179702656</t>
  </si>
  <si>
    <t>2266134220002656</t>
  </si>
  <si>
    <t>9780910701778</t>
  </si>
  <si>
    <t>32285002017134</t>
  </si>
  <si>
    <t>893715862</t>
  </si>
  <si>
    <t>RA410.53 .H33 1989</t>
  </si>
  <si>
    <t>0                      RA 0410530H  33          1989</t>
  </si>
  <si>
    <t>Health care for an aging society : cost-conscious community care and self-care approaches / David Haber.</t>
  </si>
  <si>
    <t>Haber, David, 1944-</t>
  </si>
  <si>
    <t>New York : Hemisphere Pub. Corp., c1989.</t>
  </si>
  <si>
    <t>1989</t>
  </si>
  <si>
    <t>Series in death education, aging, and health care</t>
  </si>
  <si>
    <t>1992-03-27</t>
  </si>
  <si>
    <t>865283219:eng</t>
  </si>
  <si>
    <t>18908077</t>
  </si>
  <si>
    <t>991001411799702656</t>
  </si>
  <si>
    <t>2255730020002656</t>
  </si>
  <si>
    <t>9780891166832</t>
  </si>
  <si>
    <t>32285001045623</t>
  </si>
  <si>
    <t>893684306</t>
  </si>
  <si>
    <t>RA410.53 .H412 1977</t>
  </si>
  <si>
    <t>0                      RA 0410530H  412         1977</t>
  </si>
  <si>
    <t>Health and medical care in the U.S. : a critical analysis / edited by Vicente Navarro.</t>
  </si>
  <si>
    <t>Farmingdale, N.Y. : Baywood Pub. Co., c1977.</t>
  </si>
  <si>
    <t>Policy, politics, health, and medicine series</t>
  </si>
  <si>
    <t>2003-03-26</t>
  </si>
  <si>
    <t>902290671:eng</t>
  </si>
  <si>
    <t>7731121</t>
  </si>
  <si>
    <t>991003990749702656</t>
  </si>
  <si>
    <t>2263585450002656</t>
  </si>
  <si>
    <t>9780895030009</t>
  </si>
  <si>
    <t>32285004686589</t>
  </si>
  <si>
    <t>893445968</t>
  </si>
  <si>
    <t>RA410.53 .H42</t>
  </si>
  <si>
    <t>0                      RA 0410530H  42</t>
  </si>
  <si>
    <t>Health economics and health care : irreconcilable gap? / edited by Frank W. Musgrave.</t>
  </si>
  <si>
    <t>Washington : University Press of America, c1978.</t>
  </si>
  <si>
    <t>1992-04-22</t>
  </si>
  <si>
    <t>14871135:eng</t>
  </si>
  <si>
    <t>4577542</t>
  </si>
  <si>
    <t>991004682699702656</t>
  </si>
  <si>
    <t>2261874760002656</t>
  </si>
  <si>
    <t>9780819105462</t>
  </si>
  <si>
    <t>32285001063402</t>
  </si>
  <si>
    <t>893624965</t>
  </si>
  <si>
    <t>RA410.53 .I53 1985</t>
  </si>
  <si>
    <t>0                      RA 0410530I  53          1985</t>
  </si>
  <si>
    <t>Incentives vs. controls in health policy : broadening the debate / Jack A. Meyer, editor.</t>
  </si>
  <si>
    <t>Washington : American Enterprise Institute for Public Policy Research, c1985.</t>
  </si>
  <si>
    <t>Studies in health policy</t>
  </si>
  <si>
    <t>1993-12-03</t>
  </si>
  <si>
    <t>367321692:eng</t>
  </si>
  <si>
    <t>11757204</t>
  </si>
  <si>
    <t>991000586149702656</t>
  </si>
  <si>
    <t>2269996140002656</t>
  </si>
  <si>
    <t>9780844735733</t>
  </si>
  <si>
    <t>32285001449916</t>
  </si>
  <si>
    <t>893796800</t>
  </si>
  <si>
    <t>RA410.53 .K55 1994</t>
  </si>
  <si>
    <t>0                      RA 0410530K  55          1994</t>
  </si>
  <si>
    <t>Medicine's dilemmas : infinite needs versus finite resources / William L. Kissick.</t>
  </si>
  <si>
    <t>Kissick, William L.</t>
  </si>
  <si>
    <t>New Haven : Yale University Press, c1994.</t>
  </si>
  <si>
    <t>[A Yale fastback]</t>
  </si>
  <si>
    <t>1996-01-29</t>
  </si>
  <si>
    <t>1995-12-27</t>
  </si>
  <si>
    <t>836739708:eng</t>
  </si>
  <si>
    <t>29794040</t>
  </si>
  <si>
    <t>991002296429702656</t>
  </si>
  <si>
    <t>2257361640002656</t>
  </si>
  <si>
    <t>9780300059649</t>
  </si>
  <si>
    <t>32285002112208</t>
  </si>
  <si>
    <t>893517124</t>
  </si>
  <si>
    <t>RA410.53 .R446 1992</t>
  </si>
  <si>
    <t>0                      RA 0410530R  446         1992</t>
  </si>
  <si>
    <t>Reforming the system : containing health care costs in an era of universal coverage / editors, Robert J. Blendon, Tracey Stelzer Hyams.</t>
  </si>
  <si>
    <t>New York : Faulkner &amp; Gray ; Washington, DC : Healthcare Information Center, c1992.</t>
  </si>
  <si>
    <t>The Future of American health care ; v. 2</t>
  </si>
  <si>
    <t>2007-09-18</t>
  </si>
  <si>
    <t>1994-06-08</t>
  </si>
  <si>
    <t>917007969:eng</t>
  </si>
  <si>
    <t>27110474</t>
  </si>
  <si>
    <t>991002116319702656</t>
  </si>
  <si>
    <t>2264186500002656</t>
  </si>
  <si>
    <t>9781881393061</t>
  </si>
  <si>
    <t>32285001922672</t>
  </si>
  <si>
    <t>893609485</t>
  </si>
  <si>
    <t>RA410.53 .S7 1988</t>
  </si>
  <si>
    <t>0                      RA 0410530S  7           1988</t>
  </si>
  <si>
    <t>Stemming the rising costs of medical care : answers and antidotes.</t>
  </si>
  <si>
    <t>Battle Creek, Mich. : W.K. Kellogg Foundation, 1988.</t>
  </si>
  <si>
    <t>1991-12-10</t>
  </si>
  <si>
    <t>1780485753:eng</t>
  </si>
  <si>
    <t>17747965</t>
  </si>
  <si>
    <t>991001789639702656</t>
  </si>
  <si>
    <t>2264137450002656</t>
  </si>
  <si>
    <t>32285000886910</t>
  </si>
  <si>
    <t>893885548</t>
  </si>
  <si>
    <t>RA410.54.M4 K47 1986</t>
  </si>
  <si>
    <t>0                      RA 0410540M  4                  K  47          1986</t>
  </si>
  <si>
    <t>Medicaid and other experiments in state health policy / Rosemary Gibson Kern and Susan R. Windham, with Paula Griswold.</t>
  </si>
  <si>
    <t>Gibson, Rosemary, 1956-</t>
  </si>
  <si>
    <t>American Enterprise Institute studies in health policy</t>
  </si>
  <si>
    <t>2008-05-20</t>
  </si>
  <si>
    <t>5857312:eng</t>
  </si>
  <si>
    <t>12945734</t>
  </si>
  <si>
    <t>991000754129702656</t>
  </si>
  <si>
    <t>2272417060002656</t>
  </si>
  <si>
    <t>9780844735955</t>
  </si>
  <si>
    <t>32285001449882</t>
  </si>
  <si>
    <t>893589715</t>
  </si>
  <si>
    <t>RA410.55.E85 M38 1975</t>
  </si>
  <si>
    <t>0                      RA 0410550E  85                 M  38          1975</t>
  </si>
  <si>
    <t>Health care in the European community / Alan Maynard.</t>
  </si>
  <si>
    <t>Maynard, Alan.</t>
  </si>
  <si>
    <t>[Pittsburgh] : University of Pittsburgh Press, 1975.</t>
  </si>
  <si>
    <t>Contemporary community health series</t>
  </si>
  <si>
    <t>1998-04-10</t>
  </si>
  <si>
    <t>2204330:eng</t>
  </si>
  <si>
    <t>1323727</t>
  </si>
  <si>
    <t>991003693059702656</t>
  </si>
  <si>
    <t>2255205030002656</t>
  </si>
  <si>
    <t>9780822911197</t>
  </si>
  <si>
    <t>32285003083382</t>
  </si>
  <si>
    <t>893531493</t>
  </si>
  <si>
    <t>RA410.55.G7 P76 1991</t>
  </si>
  <si>
    <t>0                      RA 0410550G  7                  P  76          1991</t>
  </si>
  <si>
    <t>Providing health care : the economics of alternative systems of finance and delivery / edited by Alistair McGuire, Paul Fenn, and Ken Mayhew.</t>
  </si>
  <si>
    <t>Oxford ; New York : Oxford University Press, 1991.</t>
  </si>
  <si>
    <t>1996-04-17</t>
  </si>
  <si>
    <t>809836211:eng</t>
  </si>
  <si>
    <t>22859752</t>
  </si>
  <si>
    <t>991001817909702656</t>
  </si>
  <si>
    <t>2259240420002656</t>
  </si>
  <si>
    <t>9780198283225</t>
  </si>
  <si>
    <t>32285002153723</t>
  </si>
  <si>
    <t>893328397</t>
  </si>
  <si>
    <t>RA410.56 .K43 1988</t>
  </si>
  <si>
    <t>0                      RA 0410560K  43          1988</t>
  </si>
  <si>
    <t>Market research handbook for health care professionals / Paul H. Keckley.</t>
  </si>
  <si>
    <t>Keckley, Paul H.</t>
  </si>
  <si>
    <t>Chicago, Ill. : American Hospital Pub., c1988.</t>
  </si>
  <si>
    <t>2002-04-26</t>
  </si>
  <si>
    <t>16855184:eng</t>
  </si>
  <si>
    <t>17983473</t>
  </si>
  <si>
    <t>991001290799702656</t>
  </si>
  <si>
    <t>2258712980002656</t>
  </si>
  <si>
    <t>9781556480133</t>
  </si>
  <si>
    <t>32285000573807</t>
  </si>
  <si>
    <t>893439042</t>
  </si>
  <si>
    <t>RA410.7 .C48 1987</t>
  </si>
  <si>
    <t>0                      RA 0410700C  48          1987</t>
  </si>
  <si>
    <t>Rationing health care in America : perceptions and principles of justice / Larry R. Churchill.</t>
  </si>
  <si>
    <t>Churchill, Larry R., 1945-</t>
  </si>
  <si>
    <t>Notre Dame, Ind. : University of Notre Dame Press, c1987.</t>
  </si>
  <si>
    <t>1992-06-17</t>
  </si>
  <si>
    <t>10100179:eng</t>
  </si>
  <si>
    <t>15366648</t>
  </si>
  <si>
    <t>991001020359702656</t>
  </si>
  <si>
    <t>2259622680002656</t>
  </si>
  <si>
    <t>9780268016302</t>
  </si>
  <si>
    <t>32285001132215</t>
  </si>
  <si>
    <t>893784745</t>
  </si>
  <si>
    <t>RA410.7 .S47 1994</t>
  </si>
  <si>
    <t>0                      RA 0410700S  47          1994</t>
  </si>
  <si>
    <t>Cost and competition in American medicine : theory, policy, and institutions / Les Seplaki.</t>
  </si>
  <si>
    <t>Seplaki, Les.</t>
  </si>
  <si>
    <t>Lanham, Md. : University Press of America, c1994.</t>
  </si>
  <si>
    <t>2002-07-08</t>
  </si>
  <si>
    <t>1996-03-21</t>
  </si>
  <si>
    <t>1215528667:eng</t>
  </si>
  <si>
    <t>30808993</t>
  </si>
  <si>
    <t>991002369689702656</t>
  </si>
  <si>
    <t>2262071200002656</t>
  </si>
  <si>
    <t>9780819196392</t>
  </si>
  <si>
    <t>32285002145711</t>
  </si>
  <si>
    <t>893529890</t>
  </si>
  <si>
    <t>RA411 .I55 1976</t>
  </si>
  <si>
    <t>0                      RA 0411000I  55          1976</t>
  </si>
  <si>
    <t>International aspects of the provision of medical care / edited by P. W. Kent.</t>
  </si>
  <si>
    <t>Stocksfield, Eng. ; Boston : Oriel Press, 1976.</t>
  </si>
  <si>
    <t>2002-07-24</t>
  </si>
  <si>
    <t>1992-12-01</t>
  </si>
  <si>
    <t>54148621:eng</t>
  </si>
  <si>
    <t>2690995</t>
  </si>
  <si>
    <t>991004213479702656</t>
  </si>
  <si>
    <t>2271079950002656</t>
  </si>
  <si>
    <t>9780853621607</t>
  </si>
  <si>
    <t>32285001410744</t>
  </si>
  <si>
    <t>893423517</t>
  </si>
  <si>
    <t>RA412 .S33</t>
  </si>
  <si>
    <t>0                      RA 0412000S  33</t>
  </si>
  <si>
    <t>Financing medical care : an appraisal of foreign programs. Current commentaries on medical care systems in seven foreign countries written by economists, actuaries, political analysts, physicians, professors of medicine, and statesmen / by Colm Brogan [and others]</t>
  </si>
  <si>
    <t>Schoeck, Helmut editor.</t>
  </si>
  <si>
    <t>Caldwell, Idaho : Caxton Printers, 1962.</t>
  </si>
  <si>
    <t>1962</t>
  </si>
  <si>
    <t>idu</t>
  </si>
  <si>
    <t>1994-04-18</t>
  </si>
  <si>
    <t>1991-09-18</t>
  </si>
  <si>
    <t>2864098386:eng</t>
  </si>
  <si>
    <t>633733</t>
  </si>
  <si>
    <t>991003081679702656</t>
  </si>
  <si>
    <t>2256973280002656</t>
  </si>
  <si>
    <t>32285000737865</t>
  </si>
  <si>
    <t>893535341</t>
  </si>
  <si>
    <t>RA412.3 .M444 1999</t>
  </si>
  <si>
    <t>0                      RA 0412300M  444         1999</t>
  </si>
  <si>
    <t>Medicare reform : issues and answers / edited by Andrew J. Rettenmaier, Thomas R. Saving.</t>
  </si>
  <si>
    <t>Chicago : University of Chicago Press, c1999.</t>
  </si>
  <si>
    <t>A volume in the Bush School series in the economics of public policy ; v. 1</t>
  </si>
  <si>
    <t>2002-12-01</t>
  </si>
  <si>
    <t>2000-09-13</t>
  </si>
  <si>
    <t>836964314:eng</t>
  </si>
  <si>
    <t>41090640</t>
  </si>
  <si>
    <t>991003244009702656</t>
  </si>
  <si>
    <t>2265865830002656</t>
  </si>
  <si>
    <t>9780226710136</t>
  </si>
  <si>
    <t>32285003761961</t>
  </si>
  <si>
    <t>893711185</t>
  </si>
  <si>
    <t>RA412.4 .F43 2003</t>
  </si>
  <si>
    <t>0                      RA 0412400F  43          2003</t>
  </si>
  <si>
    <t>Federalism &amp; health policy / edited by John Holahan, Alan Weil &amp; Joshua M. Wiener.</t>
  </si>
  <si>
    <t>Washington, D.C. : Urban Institute Press, c2003.</t>
  </si>
  <si>
    <t>2008-02-07</t>
  </si>
  <si>
    <t>2005-04-12</t>
  </si>
  <si>
    <t>345812221:eng</t>
  </si>
  <si>
    <t>52301800</t>
  </si>
  <si>
    <t>991004481309702656</t>
  </si>
  <si>
    <t>2264201880002656</t>
  </si>
  <si>
    <t>9780877667162</t>
  </si>
  <si>
    <t>32285005049720</t>
  </si>
  <si>
    <t>893343881</t>
  </si>
  <si>
    <t>RA412.5.E852 K37 1976b</t>
  </si>
  <si>
    <t>0                      RA 0412500E  852                K  37          1976b</t>
  </si>
  <si>
    <t>Health care in the Soviet Union and Eastern Europe / [by] Michael Kaser.</t>
  </si>
  <si>
    <t>Kaser, Michael Charles.</t>
  </si>
  <si>
    <t>London : Croom Helm, 1976.</t>
  </si>
  <si>
    <t>1992-03-17</t>
  </si>
  <si>
    <t>4187378:eng</t>
  </si>
  <si>
    <t>2983303</t>
  </si>
  <si>
    <t>991004305519702656</t>
  </si>
  <si>
    <t>2261367330002656</t>
  </si>
  <si>
    <t>9780856641930</t>
  </si>
  <si>
    <t>32285001012466</t>
  </si>
  <si>
    <t>893800837</t>
  </si>
  <si>
    <t>RA412.5.G7 L5</t>
  </si>
  <si>
    <t>0                      RA 0412500G  7                  L  5</t>
  </si>
  <si>
    <t>Socialized medicine in England and Wales : the national health service, 1948-1961.</t>
  </si>
  <si>
    <t>Lindsey, Almont, 1906-1993.</t>
  </si>
  <si>
    <t>Chapel Hill : University of North Carolina Press, [1962]</t>
  </si>
  <si>
    <t>ncu</t>
  </si>
  <si>
    <t>1994-04-28</t>
  </si>
  <si>
    <t>1994-03-29</t>
  </si>
  <si>
    <t>431672586:eng</t>
  </si>
  <si>
    <t>630174</t>
  </si>
  <si>
    <t>991003077379702656</t>
  </si>
  <si>
    <t>2262416370002656</t>
  </si>
  <si>
    <t>32285001872307</t>
  </si>
  <si>
    <t>893348312</t>
  </si>
  <si>
    <t>RA413 .D4</t>
  </si>
  <si>
    <t>0                      RA 0413000D  4</t>
  </si>
  <si>
    <t>Why keep them alive? / by Paul De Kruif, in collaboration with Rhea De Kruif.</t>
  </si>
  <si>
    <t>De Kruif, Paul, 1890-1971.</t>
  </si>
  <si>
    <t>New York, Harcourt, Brace and company [c1936]</t>
  </si>
  <si>
    <t>1936</t>
  </si>
  <si>
    <t>2006-01-09</t>
  </si>
  <si>
    <t>2000-02-02</t>
  </si>
  <si>
    <t>2389136:eng</t>
  </si>
  <si>
    <t>1557449</t>
  </si>
  <si>
    <t>991003820279702656</t>
  </si>
  <si>
    <t>2268660930002656</t>
  </si>
  <si>
    <t>32285003658662</t>
  </si>
  <si>
    <t>893894197</t>
  </si>
  <si>
    <t>RA413 .S7</t>
  </si>
  <si>
    <t>0                      RA 0413000S  7</t>
  </si>
  <si>
    <t>HMOs from the management perspective / Ruth H. Stack.</t>
  </si>
  <si>
    <t>Stack, Ruth H.</t>
  </si>
  <si>
    <t>New York : AMACOM, c1979.</t>
  </si>
  <si>
    <t>An AMA management briefing</t>
  </si>
  <si>
    <t>18414060:eng</t>
  </si>
  <si>
    <t>5563961</t>
  </si>
  <si>
    <t>991004845059702656</t>
  </si>
  <si>
    <t>2268022280002656</t>
  </si>
  <si>
    <t>9780814422380</t>
  </si>
  <si>
    <t>32285001022481</t>
  </si>
  <si>
    <t>893706905</t>
  </si>
  <si>
    <t>RA413.5.U5 B76 1983</t>
  </si>
  <si>
    <t>0                      RA 0413500U  5                  B  76          1983</t>
  </si>
  <si>
    <t>Politics and health care organization : HMOs as federal policy / Lawrence D. Brown.</t>
  </si>
  <si>
    <t>Brown, Lawrence D. (Lawrence David), 1947-</t>
  </si>
  <si>
    <t>Washington, D.C. : Brookings Institution, c1983.</t>
  </si>
  <si>
    <t>1998-11-12</t>
  </si>
  <si>
    <t>308898844:eng</t>
  </si>
  <si>
    <t>8688353</t>
  </si>
  <si>
    <t>991000051229702656</t>
  </si>
  <si>
    <t>2272542280002656</t>
  </si>
  <si>
    <t>9780815711575</t>
  </si>
  <si>
    <t>32285000058577</t>
  </si>
  <si>
    <t>893534021</t>
  </si>
  <si>
    <t>RA413.5.U6 G7 1991</t>
  </si>
  <si>
    <t>0                      RA 0413500U  6                  G  7           1991</t>
  </si>
  <si>
    <t>Implementing managed health care / by Wendy B. Gray.</t>
  </si>
  <si>
    <t>Gray, Wendy B.</t>
  </si>
  <si>
    <t>New York, NY : Conference Board, c1991.</t>
  </si>
  <si>
    <t>Conference Board research report ; no. 968</t>
  </si>
  <si>
    <t>2001-06-14</t>
  </si>
  <si>
    <t>1991-06-06</t>
  </si>
  <si>
    <t>25167323:eng</t>
  </si>
  <si>
    <t>23822437</t>
  </si>
  <si>
    <t>991001889249702656</t>
  </si>
  <si>
    <t>2267946100002656</t>
  </si>
  <si>
    <t>9780823704156</t>
  </si>
  <si>
    <t>32285000644608</t>
  </si>
  <si>
    <t>893420708</t>
  </si>
  <si>
    <t>RA418 .A65</t>
  </si>
  <si>
    <t>0                      RA 0418000A  65</t>
  </si>
  <si>
    <t>Sociological studies of health and sickness : a source book for the health professions / edited by Dorrian Apple. --</t>
  </si>
  <si>
    <t>Apple, Dorrian, editor.</t>
  </si>
  <si>
    <t>New York : McGraw-Hill, Blakiston Division, 1960.</t>
  </si>
  <si>
    <t>2004-03-30</t>
  </si>
  <si>
    <t>1786371:eng</t>
  </si>
  <si>
    <t>691333</t>
  </si>
  <si>
    <t>991005155829702656</t>
  </si>
  <si>
    <t>2260074510002656</t>
  </si>
  <si>
    <t>32285001586667</t>
  </si>
  <si>
    <t>893424649</t>
  </si>
  <si>
    <t>RA418 .C59 1993</t>
  </si>
  <si>
    <t>0                      RA 0418000C  59          1993</t>
  </si>
  <si>
    <t>The Changing medical profession : an international perspective / edited by Frederic W. Hafferty, John B. McKinlay.</t>
  </si>
  <si>
    <t>2003-11-08</t>
  </si>
  <si>
    <t>837066779:eng</t>
  </si>
  <si>
    <t>27227974</t>
  </si>
  <si>
    <t>991002126219702656</t>
  </si>
  <si>
    <t>2265651540002656</t>
  </si>
  <si>
    <t>9780195075922</t>
  </si>
  <si>
    <t>32285001899433</t>
  </si>
  <si>
    <t>893873130</t>
  </si>
  <si>
    <t>RA418 .C664 1989</t>
  </si>
  <si>
    <t>0                      RA 0418000C  664         1989</t>
  </si>
  <si>
    <t>Health and the rise of civilization / Mark Nathan Cohen.</t>
  </si>
  <si>
    <t>Cohen, Mark Nathan.</t>
  </si>
  <si>
    <t>New Haven : Yale University Press, c1989.</t>
  </si>
  <si>
    <t>2001-05-03</t>
  </si>
  <si>
    <t>1990-07-16</t>
  </si>
  <si>
    <t>14411216:eng</t>
  </si>
  <si>
    <t>19222495</t>
  </si>
  <si>
    <t>991001439579702656</t>
  </si>
  <si>
    <t>2259427570002656</t>
  </si>
  <si>
    <t>9780300040067</t>
  </si>
  <si>
    <t>32285000208495</t>
  </si>
  <si>
    <t>893621391</t>
  </si>
  <si>
    <t>RA418 .K86 1991</t>
  </si>
  <si>
    <t>0                      RA 0418000K  86          1991</t>
  </si>
  <si>
    <t>The sociology of medicine and illness / Richard A. Kurtz, H. Paul Chalfant.</t>
  </si>
  <si>
    <t>Kurtz, Richard A.</t>
  </si>
  <si>
    <t>Boston : Allyn and Bacon, c1991.</t>
  </si>
  <si>
    <t>2000-07-26</t>
  </si>
  <si>
    <t>20415641:eng</t>
  </si>
  <si>
    <t>22420139</t>
  </si>
  <si>
    <t>991003219539702656</t>
  </si>
  <si>
    <t>2272245880002656</t>
  </si>
  <si>
    <t>9780205128136</t>
  </si>
  <si>
    <t>32285003687901</t>
  </si>
  <si>
    <t>893434771</t>
  </si>
  <si>
    <t>RA418 .S85</t>
  </si>
  <si>
    <t>0                      RA 0418000S  85</t>
  </si>
  <si>
    <t>Sociology and the field of public health / prepared for the American Sociological Association.</t>
  </si>
  <si>
    <t>Suchman, Edward Allen.</t>
  </si>
  <si>
    <t>New York : Russell Sage Foundation, 1963.</t>
  </si>
  <si>
    <t>1995-05-02</t>
  </si>
  <si>
    <t>1993-02-12</t>
  </si>
  <si>
    <t>1708337:eng</t>
  </si>
  <si>
    <t>822568</t>
  </si>
  <si>
    <t>991003299629702656</t>
  </si>
  <si>
    <t>2257784730002656</t>
  </si>
  <si>
    <t>32285001502177</t>
  </si>
  <si>
    <t>893686419</t>
  </si>
  <si>
    <t>RA418 .T56 1992</t>
  </si>
  <si>
    <t>0                      RA 0418000T  56          1992</t>
  </si>
  <si>
    <t>Time, health, and medicine / edited by Ronald Frankenburg.</t>
  </si>
  <si>
    <t>London ; Newbury Park : Sage Publications, 1992.</t>
  </si>
  <si>
    <t>2007-04-02</t>
  </si>
  <si>
    <t>138711302:eng</t>
  </si>
  <si>
    <t>26464227</t>
  </si>
  <si>
    <t>991005052329702656</t>
  </si>
  <si>
    <t>2260153990002656</t>
  </si>
  <si>
    <t>9780803986787</t>
  </si>
  <si>
    <t>32285005284616</t>
  </si>
  <si>
    <t>893513954</t>
  </si>
  <si>
    <t>RA418.3.D48 S63 1996</t>
  </si>
  <si>
    <t>0                      RA 0418300D  48                 S  63          1996</t>
  </si>
  <si>
    <t>Society, health, and disease : transcultural perspectives / Janardan Subedi, Eugene B. Gallagher.</t>
  </si>
  <si>
    <t>Philadelphia : Prentice Hall, 1996.</t>
  </si>
  <si>
    <t>2003-11-03</t>
  </si>
  <si>
    <t>1995-09-18</t>
  </si>
  <si>
    <t>837028245:eng</t>
  </si>
  <si>
    <t>32052910</t>
  </si>
  <si>
    <t>991002460839702656</t>
  </si>
  <si>
    <t>2267197930002656</t>
  </si>
  <si>
    <t>9780136690948</t>
  </si>
  <si>
    <t>32285002094521</t>
  </si>
  <si>
    <t>893329109</t>
  </si>
  <si>
    <t>RA418.3.G95 S63 1986</t>
  </si>
  <si>
    <t>0                      RA 0418300G  95                 S  63          1986</t>
  </si>
  <si>
    <t>Society and health in Guyana : the sociology of health care in a developing nation / Marcel Fredericks ... [et al.].</t>
  </si>
  <si>
    <t>Durham, N.C. : Carolina Academic Press, c1986.</t>
  </si>
  <si>
    <t>2007-09-04</t>
  </si>
  <si>
    <t>7875346:eng</t>
  </si>
  <si>
    <t>13793254</t>
  </si>
  <si>
    <t>991000871649702656</t>
  </si>
  <si>
    <t>2272021970002656</t>
  </si>
  <si>
    <t>9780890892954</t>
  </si>
  <si>
    <t>32285001586824</t>
  </si>
  <si>
    <t>893231493</t>
  </si>
  <si>
    <t>RA418.3.I8 S6 1990</t>
  </si>
  <si>
    <t>0                      RA 0418300I  8                  S  6           1990</t>
  </si>
  <si>
    <t>The Sociology of health and health care in Israel / editor, Aaron Antonovsky.</t>
  </si>
  <si>
    <t>New Brunswick, U.S.A. : Transaction Publishers, c1990.</t>
  </si>
  <si>
    <t>nkc</t>
  </si>
  <si>
    <t>Studies of Israeli society ; v. 5</t>
  </si>
  <si>
    <t>2001-10-11</t>
  </si>
  <si>
    <t>2001-06-12</t>
  </si>
  <si>
    <t>24231333:eng</t>
  </si>
  <si>
    <t>22814984</t>
  </si>
  <si>
    <t>991003553589702656</t>
  </si>
  <si>
    <t>2263126590002656</t>
  </si>
  <si>
    <t>9780887383083</t>
  </si>
  <si>
    <t>32285004326707</t>
  </si>
  <si>
    <t>893441420</t>
  </si>
  <si>
    <t>RA418.3.U6 G56 1990</t>
  </si>
  <si>
    <t>0                      RA 0418300U  6                  G  56          1990</t>
  </si>
  <si>
    <t>The medical triangle : physicians, politicians, and the public / Eli Ginzberg.</t>
  </si>
  <si>
    <t>Cambridge, Mass. : Harvard University Press, 1990.</t>
  </si>
  <si>
    <t>1994-04-15</t>
  </si>
  <si>
    <t>1990-06-21</t>
  </si>
  <si>
    <t>836735554:eng</t>
  </si>
  <si>
    <t>20492239</t>
  </si>
  <si>
    <t>991001582749702656</t>
  </si>
  <si>
    <t>2270258210002656</t>
  </si>
  <si>
    <t>9780674563254</t>
  </si>
  <si>
    <t>32285000179290</t>
  </si>
  <si>
    <t>893590453</t>
  </si>
  <si>
    <t>RA418.3.U6 N57</t>
  </si>
  <si>
    <t>0                      RA 0418300U  6                  N  57</t>
  </si>
  <si>
    <t>Sex, diet, and debility in Jacksonian America : Sylvester Graham and health reform / Stephen Nissenbaum.</t>
  </si>
  <si>
    <t>Nissenbaum, Stephen.</t>
  </si>
  <si>
    <t>Westport, Conn. : Greenwood Press, 1980.</t>
  </si>
  <si>
    <t>Contributions in medical history, 0147-1058 ; no. 4</t>
  </si>
  <si>
    <t>2003-09-29</t>
  </si>
  <si>
    <t>2598939:eng</t>
  </si>
  <si>
    <t>5353727</t>
  </si>
  <si>
    <t>991004826099702656</t>
  </si>
  <si>
    <t>2257456210002656</t>
  </si>
  <si>
    <t>9780313214158</t>
  </si>
  <si>
    <t>32285001586840</t>
  </si>
  <si>
    <t>893905095</t>
  </si>
  <si>
    <t>RA418.3.U6 S64 1995</t>
  </si>
  <si>
    <t>0                      RA 0418300U  6                  S  64          1995</t>
  </si>
  <si>
    <t>Society and health / Benjamin C. Amick III ... [et al.].</t>
  </si>
  <si>
    <t>New York : Oxford University Press, 1995.</t>
  </si>
  <si>
    <t>2003-09-01</t>
  </si>
  <si>
    <t>2000-01-12</t>
  </si>
  <si>
    <t>349900073:eng</t>
  </si>
  <si>
    <t>32698501</t>
  </si>
  <si>
    <t>991002514189702656</t>
  </si>
  <si>
    <t>2264561370002656</t>
  </si>
  <si>
    <t>9780195085068</t>
  </si>
  <si>
    <t>32285003640736</t>
  </si>
  <si>
    <t>893616216</t>
  </si>
  <si>
    <t>RA418.3.U6 W5 1982</t>
  </si>
  <si>
    <t>0                      RA 0418300U  6                  W  5           1982</t>
  </si>
  <si>
    <t>Crusaders for fitness : the history of American health reformers / James C. Whorton.</t>
  </si>
  <si>
    <t>Whorton, James C., 1942-</t>
  </si>
  <si>
    <t>Princeton, N.J. : Princeton University Press, c1982.</t>
  </si>
  <si>
    <t>1997-07-08</t>
  </si>
  <si>
    <t>1993-03-10</t>
  </si>
  <si>
    <t>441357:eng</t>
  </si>
  <si>
    <t>8430463</t>
  </si>
  <si>
    <t>991005242149702656</t>
  </si>
  <si>
    <t>2261300220002656</t>
  </si>
  <si>
    <t>9780691046945</t>
  </si>
  <si>
    <t>32285001586857</t>
  </si>
  <si>
    <t>893902353</t>
  </si>
  <si>
    <t>RA418.5.F3 F76 1992</t>
  </si>
  <si>
    <t>0                      RA 0418500F  3                  F  76          1992</t>
  </si>
  <si>
    <t>From despair to hope : family and drug addiction / The Pontifical Council for the Family.</t>
  </si>
  <si>
    <t>Vatican City : Libreria Editrice Vaticana ; [Washington, D.C. : United States Catholic Conference], 1992.</t>
  </si>
  <si>
    <t>Publication / Office for Publishing and Promotion Services, United States Catholic Conference ; no. 552-6.</t>
  </si>
  <si>
    <t>1995-11-26</t>
  </si>
  <si>
    <t>26270178:eng</t>
  </si>
  <si>
    <t>27784676</t>
  </si>
  <si>
    <t>991002156299702656</t>
  </si>
  <si>
    <t>2263509240002656</t>
  </si>
  <si>
    <t>32285001614774</t>
  </si>
  <si>
    <t>893609526</t>
  </si>
  <si>
    <t>RA418.5.M4 B49 2000</t>
  </si>
  <si>
    <t>0                      RA 0418500M  4                  B  49          2000</t>
  </si>
  <si>
    <t>Beyond managed care : how consumers and technology are changing the future of health care / Dean C. Coddington ... [et al.].</t>
  </si>
  <si>
    <t>San Francisco : Jossey-Bass, c2000.</t>
  </si>
  <si>
    <t>Jossey-Bass health care series</t>
  </si>
  <si>
    <t>2003-02-23</t>
  </si>
  <si>
    <t>2000-12-12</t>
  </si>
  <si>
    <t>981817118:eng</t>
  </si>
  <si>
    <t>44750595</t>
  </si>
  <si>
    <t>991003320109702656</t>
  </si>
  <si>
    <t>2261847730002656</t>
  </si>
  <si>
    <t>9780787953836</t>
  </si>
  <si>
    <t>32285004276001</t>
  </si>
  <si>
    <t>893780855</t>
  </si>
  <si>
    <t>RA418.5.M4 E44</t>
  </si>
  <si>
    <t>0                      RA 0418500M  4                  E  44</t>
  </si>
  <si>
    <t>The bio-medical fix : human dimensions of bio-medical technologies / David L. Ellison. --</t>
  </si>
  <si>
    <t>Ellison, David L., 1934-</t>
  </si>
  <si>
    <t>Westport, Conn. : Greenwood Press, 1978.</t>
  </si>
  <si>
    <t>1999-03-25</t>
  </si>
  <si>
    <t>143584527:eng</t>
  </si>
  <si>
    <t>3650673</t>
  </si>
  <si>
    <t>991005264239702656</t>
  </si>
  <si>
    <t>2261465840002656</t>
  </si>
  <si>
    <t>9780313200380</t>
  </si>
  <si>
    <t>32285001586865</t>
  </si>
  <si>
    <t>893795888</t>
  </si>
  <si>
    <t>RA418.5.P6 D37 1983</t>
  </si>
  <si>
    <t>0                      RA 0418500P  6                  D  37          1983</t>
  </si>
  <si>
    <t>Health care for the urban poor : directions for policy / Edith M. Davis, Michael L. Millman, and associates, Patricia Maloney Alt ... [et al.] ; foreword by Eli Ginzberg.</t>
  </si>
  <si>
    <t>Davis, Edith M.</t>
  </si>
  <si>
    <t>Totowa, N.J. : Rowman &amp; Allanheld, 1983.</t>
  </si>
  <si>
    <t>Conservation of human resources series ; 21</t>
  </si>
  <si>
    <t>2008-12-08</t>
  </si>
  <si>
    <t>512862:eng</t>
  </si>
  <si>
    <t>8495157</t>
  </si>
  <si>
    <t>991005252549702656</t>
  </si>
  <si>
    <t>2260636010002656</t>
  </si>
  <si>
    <t>9780865980884</t>
  </si>
  <si>
    <t>32285000845452</t>
  </si>
  <si>
    <t>893613394</t>
  </si>
  <si>
    <t>RA418.5.P6 D38</t>
  </si>
  <si>
    <t>0                      RA 0418500P  6                  D  38</t>
  </si>
  <si>
    <t>Health and the war on poverty : a ten-year appraisal / Karen Davis and Cathy Schoen.</t>
  </si>
  <si>
    <t>Davis, Karen, 1942-</t>
  </si>
  <si>
    <t>Washington : Brookings Institution, [1978]</t>
  </si>
  <si>
    <t>Studies in social economics</t>
  </si>
  <si>
    <t>1997-02-15</t>
  </si>
  <si>
    <t>1992-04-30</t>
  </si>
  <si>
    <t>899746269:eng</t>
  </si>
  <si>
    <t>4005130</t>
  </si>
  <si>
    <t>991004568159702656</t>
  </si>
  <si>
    <t>2264849510002656</t>
  </si>
  <si>
    <t>9780815717584</t>
  </si>
  <si>
    <t>32285001096717</t>
  </si>
  <si>
    <t>893694088</t>
  </si>
  <si>
    <t>RA418.5.P6 L84</t>
  </si>
  <si>
    <t>0                      RA 0418500P  6                  L  84</t>
  </si>
  <si>
    <t>Poverty and health : economic causes and consequences of health problems / Harold S. Luft.</t>
  </si>
  <si>
    <t>Luft, Harold S.</t>
  </si>
  <si>
    <t>Cambridge, Mass. : Ballinger Pub. Co., c1978.</t>
  </si>
  <si>
    <t>1992-04-16</t>
  </si>
  <si>
    <t>424285535:eng</t>
  </si>
  <si>
    <t>3609680</t>
  </si>
  <si>
    <t>991004477029702656</t>
  </si>
  <si>
    <t>2271776230002656</t>
  </si>
  <si>
    <t>9780884105152</t>
  </si>
  <si>
    <t>32285001070035</t>
  </si>
  <si>
    <t>893700291</t>
  </si>
  <si>
    <t>RA424.5.M43 M437 2004</t>
  </si>
  <si>
    <t>0                      RA 0424500M  43                 M  437         2004</t>
  </si>
  <si>
    <t>The red letters : my father's enchanted period / Ved Mehta.</t>
  </si>
  <si>
    <t>Mehta, Ved, 1934-</t>
  </si>
  <si>
    <t>New York : Nation Books ; [Berkeley, Calif.] : Distributed by Publishers Group West, c2004.</t>
  </si>
  <si>
    <t>2004</t>
  </si>
  <si>
    <t>Continents of exile</t>
  </si>
  <si>
    <t>2004-11-15</t>
  </si>
  <si>
    <t>999326:eng</t>
  </si>
  <si>
    <t>56509149</t>
  </si>
  <si>
    <t>991004405229702656</t>
  </si>
  <si>
    <t>2270709140002656</t>
  </si>
  <si>
    <t>9781560256281</t>
  </si>
  <si>
    <t>32285005010177</t>
  </si>
  <si>
    <t>893628142</t>
  </si>
  <si>
    <t>RA425 .B7726 1999</t>
  </si>
  <si>
    <t>0                      RA 0425000B  7726        1999</t>
  </si>
  <si>
    <t>Community-based prevention : programs that work / Ross C. Brownson, Elizabeth A. Baker, Lloyd F. Novick.</t>
  </si>
  <si>
    <t>Brownson, Ross C.</t>
  </si>
  <si>
    <t>Gaithersburg, Md. : Aspen Publishers, 1999.</t>
  </si>
  <si>
    <t>2003-10-12</t>
  </si>
  <si>
    <t>2002-03-05</t>
  </si>
  <si>
    <t>20583318:eng</t>
  </si>
  <si>
    <t>39860095</t>
  </si>
  <si>
    <t>991003727209702656</t>
  </si>
  <si>
    <t>2258428450002656</t>
  </si>
  <si>
    <t>9780834212411</t>
  </si>
  <si>
    <t>32285004459417</t>
  </si>
  <si>
    <t>893787671</t>
  </si>
  <si>
    <t>RA425 .B774</t>
  </si>
  <si>
    <t>0                      RA 0425000B  774</t>
  </si>
  <si>
    <t>Health &amp; the developing world.</t>
  </si>
  <si>
    <t>Bryant, John H., 1925-2017.</t>
  </si>
  <si>
    <t>Ithaca [N.Y.] Cornell University Press [1969]</t>
  </si>
  <si>
    <t>1218234:eng</t>
  </si>
  <si>
    <t>48680</t>
  </si>
  <si>
    <t>991000114349702656</t>
  </si>
  <si>
    <t>2263149760002656</t>
  </si>
  <si>
    <t>9780801405334</t>
  </si>
  <si>
    <t>32285003083473</t>
  </si>
  <si>
    <t>893320814</t>
  </si>
  <si>
    <t>RA425 .S165 1987</t>
  </si>
  <si>
    <t>0                      RA 0425000S  165         1987</t>
  </si>
  <si>
    <t>The health of nations : true causes of sickness and well-being / Leonard A. Sagan.</t>
  </si>
  <si>
    <t>Sagan, Leonard A.</t>
  </si>
  <si>
    <t>New York : Basic Books, c1987.</t>
  </si>
  <si>
    <t>2006-10-25</t>
  </si>
  <si>
    <t>13486628:eng</t>
  </si>
  <si>
    <t>16717092</t>
  </si>
  <si>
    <t>991001137019702656</t>
  </si>
  <si>
    <t>2256991310002656</t>
  </si>
  <si>
    <t>9780465028931</t>
  </si>
  <si>
    <t>32285000075324</t>
  </si>
  <si>
    <t>893897556</t>
  </si>
  <si>
    <t>RA427 .C59 1996</t>
  </si>
  <si>
    <t>0                      RA 0427000C  59          1996</t>
  </si>
  <si>
    <t>Collaborating to improve community health : workbook and guide to best practices in creating healthier communities and populations / Kathryn Johnson, Wynne Grossman, Anne Cassidy, editors ; foreword by Tyler Norris.</t>
  </si>
  <si>
    <t>San Francisco : Jossey-Bass Publishers, c1996.</t>
  </si>
  <si>
    <t>Leadership center publication series</t>
  </si>
  <si>
    <t>2003-01-24</t>
  </si>
  <si>
    <t>2001-01-10</t>
  </si>
  <si>
    <t>603544:eng</t>
  </si>
  <si>
    <t>37011358</t>
  </si>
  <si>
    <t>991003320169702656</t>
  </si>
  <si>
    <t>2268220400002656</t>
  </si>
  <si>
    <t>9780787910792</t>
  </si>
  <si>
    <t>32285004282389</t>
  </si>
  <si>
    <t>893774622</t>
  </si>
  <si>
    <t>RA427 .N376 1977</t>
  </si>
  <si>
    <t>0                      RA 0427000N  376         1977</t>
  </si>
  <si>
    <t>Marketing and preventive health care : interdisciplinary and interorganizational perspectives / edited by Philip D. Cooper, William J. Kehoe, Patrick E. Murphy. --</t>
  </si>
  <si>
    <t>National Workshop on Preventive Health Care and Marketing (1st : 1977 : Charlottesville, Va.)</t>
  </si>
  <si>
    <t>Chicago : American Marketing Association, c1978.</t>
  </si>
  <si>
    <t>Proceeding series - American Marketing Association</t>
  </si>
  <si>
    <t>2001-09-19</t>
  </si>
  <si>
    <t>889873004:eng</t>
  </si>
  <si>
    <t>3516361</t>
  </si>
  <si>
    <t>991004451829702656</t>
  </si>
  <si>
    <t>2272382870002656</t>
  </si>
  <si>
    <t>9780877571056</t>
  </si>
  <si>
    <t>32285001586899</t>
  </si>
  <si>
    <t>893895022</t>
  </si>
  <si>
    <t>RA427 .R87 1986</t>
  </si>
  <si>
    <t>0                      RA 0427000R  87          1986</t>
  </si>
  <si>
    <t>Is prevention better than cure? / Louise B. Russell.</t>
  </si>
  <si>
    <t>Russell, Louise B.</t>
  </si>
  <si>
    <t>Washington, D.C. : Brookings Institution, c1986.</t>
  </si>
  <si>
    <t>2003-11-11</t>
  </si>
  <si>
    <t>4932754:eng</t>
  </si>
  <si>
    <t>12557363</t>
  </si>
  <si>
    <t>991001758299702656</t>
  </si>
  <si>
    <t>2255466570002656</t>
  </si>
  <si>
    <t>9780815776314</t>
  </si>
  <si>
    <t>32285001586907</t>
  </si>
  <si>
    <t>893779038</t>
  </si>
  <si>
    <t>RA427 .W49 1994</t>
  </si>
  <si>
    <t>0                      RA 0427000W  49          1994</t>
  </si>
  <si>
    <t>Why are some people healthy and others not? : the determinants of health of populations / Robert G. Evans, Morris L. Barer, and Theodore R. Marmor, editors.</t>
  </si>
  <si>
    <t>New York : A. de Gruyter, c1994.</t>
  </si>
  <si>
    <t>2003-03-23</t>
  </si>
  <si>
    <t>2008-01-08</t>
  </si>
  <si>
    <t>1995-04-05</t>
  </si>
  <si>
    <t>891906309:eng</t>
  </si>
  <si>
    <t>30319256</t>
  </si>
  <si>
    <t>991001795719702656</t>
  </si>
  <si>
    <t>2267963100002656</t>
  </si>
  <si>
    <t>9780202304892</t>
  </si>
  <si>
    <t>32285002016441</t>
  </si>
  <si>
    <t>893529241</t>
  </si>
  <si>
    <t>RA427.3 .R56 1993</t>
  </si>
  <si>
    <t>0                      RA 0427300R  56          1993</t>
  </si>
  <si>
    <t>Risk / edited by Edward J. Burger, Jr.</t>
  </si>
  <si>
    <t>Ann Arbor : University of Michigan Press, 1993.</t>
  </si>
  <si>
    <t>2005-11-08</t>
  </si>
  <si>
    <t>1993-09-08</t>
  </si>
  <si>
    <t>55703964:eng</t>
  </si>
  <si>
    <t>28023746</t>
  </si>
  <si>
    <t>991002176779702656</t>
  </si>
  <si>
    <t>2268386700002656</t>
  </si>
  <si>
    <t>9780472082223</t>
  </si>
  <si>
    <t>32285001765071</t>
  </si>
  <si>
    <t>893238732</t>
  </si>
  <si>
    <t>RA427.8 .B74 1997</t>
  </si>
  <si>
    <t>0                      RA 0427800B  74          1997</t>
  </si>
  <si>
    <t>Managing health promotion programs : leadership skills for the 21st century / Donald J. Breckon.</t>
  </si>
  <si>
    <t>Breckon, Donald J.</t>
  </si>
  <si>
    <t>Gaithersburg, Md. : Aspen Publishers, 1997.</t>
  </si>
  <si>
    <t>2002-08-27</t>
  </si>
  <si>
    <t>837037181:eng</t>
  </si>
  <si>
    <t>35925014</t>
  </si>
  <si>
    <t>991003850799702656</t>
  </si>
  <si>
    <t>2266129830002656</t>
  </si>
  <si>
    <t>9780834207394</t>
  </si>
  <si>
    <t>32285004645114</t>
  </si>
  <si>
    <t>893687030</t>
  </si>
  <si>
    <t>RA427.8 .H494 1990</t>
  </si>
  <si>
    <t>0                      RA 0427800H  494         1990</t>
  </si>
  <si>
    <t>Health promotion at the community level / Neil Bracht, editor.</t>
  </si>
  <si>
    <t>Newbury Park, Calif. : Sage Publications, c1990.</t>
  </si>
  <si>
    <t>Sage sourcebooks for the human services series ; 15</t>
  </si>
  <si>
    <t>2000-02-16</t>
  </si>
  <si>
    <t>2001-12-30</t>
  </si>
  <si>
    <t>1994-05-06</t>
  </si>
  <si>
    <t>3768833330:eng</t>
  </si>
  <si>
    <t>21763176</t>
  </si>
  <si>
    <t>991001796059702656</t>
  </si>
  <si>
    <t>2255698410002656</t>
  </si>
  <si>
    <t>9780803938588</t>
  </si>
  <si>
    <t>32285001879369</t>
  </si>
  <si>
    <t>893866488</t>
  </si>
  <si>
    <t>RA427.8 .I47 1986</t>
  </si>
  <si>
    <t>0                      RA 0427800I  47          1986</t>
  </si>
  <si>
    <t>Implementing health/fitness programs / Robert W. Patton ... [et al.].</t>
  </si>
  <si>
    <t>Champaign, Ill. : Human Kinetics Publ., Inc., c1986.</t>
  </si>
  <si>
    <t>1992-04-01</t>
  </si>
  <si>
    <t>54714890:eng</t>
  </si>
  <si>
    <t>12051177</t>
  </si>
  <si>
    <t>991000629049702656</t>
  </si>
  <si>
    <t>2268765330002656</t>
  </si>
  <si>
    <t>9780534051150</t>
  </si>
  <si>
    <t>32285001047603</t>
  </si>
  <si>
    <t>893714755</t>
  </si>
  <si>
    <t>RA440.5 .D55 1987</t>
  </si>
  <si>
    <t>0                      RA 0440500D  55          1987</t>
  </si>
  <si>
    <t>Program planning for health education and health promotion / Mark B. Dignan, Patricia A. Carr.</t>
  </si>
  <si>
    <t>Dignan, Mark B.</t>
  </si>
  <si>
    <t>Philadelphia : Lea &amp; Febiger, 1987.</t>
  </si>
  <si>
    <t>1992-03-26</t>
  </si>
  <si>
    <t>24121323:eng</t>
  </si>
  <si>
    <t>15283194</t>
  </si>
  <si>
    <t>991001010869702656</t>
  </si>
  <si>
    <t>2264585380002656</t>
  </si>
  <si>
    <t>9780812110913</t>
  </si>
  <si>
    <t>32285001006534</t>
  </si>
  <si>
    <t>893407744</t>
  </si>
  <si>
    <t>RA441.5 .A57 1990</t>
  </si>
  <si>
    <t>0                      RA 0441500A  57          1990</t>
  </si>
  <si>
    <t>Anthropology and primary health care / edited by Jeannine Coreil and J. Dennis Mull.</t>
  </si>
  <si>
    <t>Boulder : Westview Press, 1990.</t>
  </si>
  <si>
    <t>cou</t>
  </si>
  <si>
    <t>2007-03-28</t>
  </si>
  <si>
    <t>350927034:eng</t>
  </si>
  <si>
    <t>22206704</t>
  </si>
  <si>
    <t>991005054789702656</t>
  </si>
  <si>
    <t>2255578230002656</t>
  </si>
  <si>
    <t>9780813381381</t>
  </si>
  <si>
    <t>32285005284053</t>
  </si>
  <si>
    <t>893242126</t>
  </si>
  <si>
    <t>RA441.5 .D46 1985</t>
  </si>
  <si>
    <t>0                      RA 0441500D  46          1985</t>
  </si>
  <si>
    <t>The Demand for primary health services in the Third World / John S. Akin ... [et al.].</t>
  </si>
  <si>
    <t>Totowa, NJ : Rowman &amp; Allanheld, 1985.</t>
  </si>
  <si>
    <t>2001-12-03</t>
  </si>
  <si>
    <t>1992-09-10</t>
  </si>
  <si>
    <t>354413213:eng</t>
  </si>
  <si>
    <t>11187809</t>
  </si>
  <si>
    <t>991000503339702656</t>
  </si>
  <si>
    <t>2263171260002656</t>
  </si>
  <si>
    <t>9780847673551</t>
  </si>
  <si>
    <t>32285001300127</t>
  </si>
  <si>
    <t>893321095</t>
  </si>
  <si>
    <t>RA442 .A37 1988</t>
  </si>
  <si>
    <t>0                      RA 0442000A  37          1988</t>
  </si>
  <si>
    <t>The African exchange : toward a biological history of Black people / Kenneth F. Kiple, editor.</t>
  </si>
  <si>
    <t>Durham [N.C.] : Duke University Press, 1987, c1988.</t>
  </si>
  <si>
    <t>1996-09-16</t>
  </si>
  <si>
    <t>1993-03-11</t>
  </si>
  <si>
    <t>371883362:eng</t>
  </si>
  <si>
    <t>16923191</t>
  </si>
  <si>
    <t>991001165869702656</t>
  </si>
  <si>
    <t>2269817950002656</t>
  </si>
  <si>
    <t>9780822307310</t>
  </si>
  <si>
    <t>32285001587061</t>
  </si>
  <si>
    <t>893237921</t>
  </si>
  <si>
    <t>RA445 .C67 1985</t>
  </si>
  <si>
    <t>0                      RA 0445000C  67          1985</t>
  </si>
  <si>
    <t>The U.S. health care system : a look to the 1990s / Cornell University Medical College Conference on Health Policy, March 7-8, 1985, New York City ; Eli Ginzberg, editor.</t>
  </si>
  <si>
    <t>Cornell University Medical College Conference on Health Policy (1st : 1985 : New York, N.Y.)</t>
  </si>
  <si>
    <t>Conservation of human resources series ; 26</t>
  </si>
  <si>
    <t>5020867:eng</t>
  </si>
  <si>
    <t>12418985</t>
  </si>
  <si>
    <t>991000683319702656</t>
  </si>
  <si>
    <t>2262474790002656</t>
  </si>
  <si>
    <t>9780847674688</t>
  </si>
  <si>
    <t>32285001414878</t>
  </si>
  <si>
    <t>893865584</t>
  </si>
  <si>
    <t>RA445 .H3364 2000</t>
  </si>
  <si>
    <t>0                      RA 0445000H  3364        2000</t>
  </si>
  <si>
    <t>Health and health care 2010 : the forecast, the challenge / [contributors, Roy Amara ... [et al.]].</t>
  </si>
  <si>
    <t>San Francisco : Jossey-Bass, 2000.</t>
  </si>
  <si>
    <t>2000-12-20</t>
  </si>
  <si>
    <t>2001-11-15</t>
  </si>
  <si>
    <t>865763008:eng</t>
  </si>
  <si>
    <t>42980220</t>
  </si>
  <si>
    <t>991001702479702656</t>
  </si>
  <si>
    <t>2260452970002656</t>
  </si>
  <si>
    <t>9780787953485</t>
  </si>
  <si>
    <t>32285004278288</t>
  </si>
  <si>
    <t>893772814</t>
  </si>
  <si>
    <t>RA445 .M36 2000</t>
  </si>
  <si>
    <t>0                      RA 0445000M  36          2000</t>
  </si>
  <si>
    <t>Local public health practice : trends &amp; models / Glen P. Mays, C. Arden Miller, Paul K. Halverson.</t>
  </si>
  <si>
    <t>Mays, Glen P.</t>
  </si>
  <si>
    <t>Washington, DC : American Public Health Association, c2000.</t>
  </si>
  <si>
    <t>2001-07-17</t>
  </si>
  <si>
    <t>33513156:eng</t>
  </si>
  <si>
    <t>44078978</t>
  </si>
  <si>
    <t>991003540429702656</t>
  </si>
  <si>
    <t>2268800730002656</t>
  </si>
  <si>
    <t>9780875532431</t>
  </si>
  <si>
    <t>32285004333315</t>
  </si>
  <si>
    <t>893887571</t>
  </si>
  <si>
    <t>RA445 .M37 1989</t>
  </si>
  <si>
    <t>0                      RA 0445000M  37          1989</t>
  </si>
  <si>
    <t>Painful choices : research and essays on health care / David Mechanic.</t>
  </si>
  <si>
    <t>Mechanic, David, 1936-</t>
  </si>
  <si>
    <t>New Brunswick, U.S.A. : Transaction Publishers, c1989.</t>
  </si>
  <si>
    <t>1996-12-02</t>
  </si>
  <si>
    <t>1990-06-13</t>
  </si>
  <si>
    <t>152293992:eng</t>
  </si>
  <si>
    <t>18351540</t>
  </si>
  <si>
    <t>991001335819702656</t>
  </si>
  <si>
    <t>2265804030002656</t>
  </si>
  <si>
    <t>9780887382581</t>
  </si>
  <si>
    <t>32285000176650</t>
  </si>
  <si>
    <t>893590205</t>
  </si>
  <si>
    <t>RA445 .N36 1994</t>
  </si>
  <si>
    <t>0                      RA 0445000N  36          1994</t>
  </si>
  <si>
    <t>The Nation's health / edited by Philip R. Lee, Carroll L. Estes ; Nancy Ramsay, associate editor.</t>
  </si>
  <si>
    <t>Boston : Jones and Bartlett, c1994.</t>
  </si>
  <si>
    <t>The Jones and Bartlett series in health sciences</t>
  </si>
  <si>
    <t>1998-06-15</t>
  </si>
  <si>
    <t>502773115:eng</t>
  </si>
  <si>
    <t>29220656</t>
  </si>
  <si>
    <t>991002255229702656</t>
  </si>
  <si>
    <t>2272465080002656</t>
  </si>
  <si>
    <t>9780867208405</t>
  </si>
  <si>
    <t>32285003420428</t>
  </si>
  <si>
    <t>893316578</t>
  </si>
  <si>
    <t>RA445 .S46 1991</t>
  </si>
  <si>
    <t>0                      RA 0445000S  46          1991</t>
  </si>
  <si>
    <t>Curing U.S. health care ills / by Bert Seidman.</t>
  </si>
  <si>
    <t>Seidman, Bert.</t>
  </si>
  <si>
    <t>Washington, D.C. : National Planning Association, c1991.</t>
  </si>
  <si>
    <t>NAR report ; no. 6</t>
  </si>
  <si>
    <t>1997-08-07</t>
  </si>
  <si>
    <t>1991-10-10</t>
  </si>
  <si>
    <t>5610612442:eng</t>
  </si>
  <si>
    <t>24394803</t>
  </si>
  <si>
    <t>991001932729702656</t>
  </si>
  <si>
    <t>2258448140002656</t>
  </si>
  <si>
    <t>9780890681084</t>
  </si>
  <si>
    <t>32285000744887</t>
  </si>
  <si>
    <t>893340848</t>
  </si>
  <si>
    <t>RA445 .S686 1999</t>
  </si>
  <si>
    <t>0                      RA 0445000S  686         1999</t>
  </si>
  <si>
    <t>Special populations in the community : advances in reducing health disparities / editors, Juliann G. Sebastian, Angeline Bushy.</t>
  </si>
  <si>
    <t>Gaithersburg, MD : Aspen Publishers, 1999.</t>
  </si>
  <si>
    <t>2001-03-26</t>
  </si>
  <si>
    <t>2000-09-12</t>
  </si>
  <si>
    <t>1780114348:eng</t>
  </si>
  <si>
    <t>41319959</t>
  </si>
  <si>
    <t>991003239079702656</t>
  </si>
  <si>
    <t>2267597360002656</t>
  </si>
  <si>
    <t>9780834213647</t>
  </si>
  <si>
    <t>32285003761573</t>
  </si>
  <si>
    <t>893899754</t>
  </si>
  <si>
    <t>RA445 .S95 1987</t>
  </si>
  <si>
    <t>0                      RA 0445000S  95          1987</t>
  </si>
  <si>
    <t>Swing beds : assessing flexible health care in rural communities : papers / by Joshua M. Wiener ... [et al.] presented at a conference at the Brookings Institution, February 24, 1986 ; edited by Joshua M. Wiener.</t>
  </si>
  <si>
    <t>Washington, D.C. : Brookings Institution, c1987.</t>
  </si>
  <si>
    <t>Brookings dialogues on public policy</t>
  </si>
  <si>
    <t>1995-12-03</t>
  </si>
  <si>
    <t>3901141956:eng</t>
  </si>
  <si>
    <t>15288369</t>
  </si>
  <si>
    <t>991001012589702656</t>
  </si>
  <si>
    <t>2263192840002656</t>
  </si>
  <si>
    <t>9780815792833</t>
  </si>
  <si>
    <t>32285001587095</t>
  </si>
  <si>
    <t>893702655</t>
  </si>
  <si>
    <t>RA448.5.H38 B87 1993</t>
  </si>
  <si>
    <t>0                      RA 0448500H  38                 B  87          1993</t>
  </si>
  <si>
    <t>The gifts of civilization : germs and genocide in Hawaiʻi / O.A. Bushnell.</t>
  </si>
  <si>
    <t>Bushnell, O. A., 1913-2002.</t>
  </si>
  <si>
    <t>Honolulu : University of Hawaii Press, c1993.</t>
  </si>
  <si>
    <t>hiu</t>
  </si>
  <si>
    <t>2002-09-21</t>
  </si>
  <si>
    <t>1994-03-11</t>
  </si>
  <si>
    <t>356557:eng</t>
  </si>
  <si>
    <t>27267250</t>
  </si>
  <si>
    <t>991002130399702656</t>
  </si>
  <si>
    <t>2268823500002656</t>
  </si>
  <si>
    <t>9780824814571</t>
  </si>
  <si>
    <t>32285001861599</t>
  </si>
  <si>
    <t>893609503</t>
  </si>
  <si>
    <t>RA448.5.I5 L89 2001</t>
  </si>
  <si>
    <t>0                      RA 0448500I  5                  L  89          2001</t>
  </si>
  <si>
    <t>Medicine that walks : disease, medicine, and Canadian Plains native people, 1880-1940 / Maureen K. Lux.</t>
  </si>
  <si>
    <t>Lux, Maureen K. (Maureen Katherine), 1956-</t>
  </si>
  <si>
    <t>Toronto ; Buffalo : University of Toronto Press, c2001.</t>
  </si>
  <si>
    <t>onc</t>
  </si>
  <si>
    <t>2009-11-24</t>
  </si>
  <si>
    <t>35810334:eng</t>
  </si>
  <si>
    <t>46616036</t>
  </si>
  <si>
    <t>991003893349702656</t>
  </si>
  <si>
    <t>2269653870002656</t>
  </si>
  <si>
    <t>9780802047281</t>
  </si>
  <si>
    <t>32285004655071</t>
  </si>
  <si>
    <t>893259061</t>
  </si>
  <si>
    <t>RA448.5.M4 R66</t>
  </si>
  <si>
    <t>0                      RA 0448500M  4                  R  66</t>
  </si>
  <si>
    <t>Disease beliefs in Mexican-American communities / Linda C. Rose.</t>
  </si>
  <si>
    <t>Rose, Linda C.</t>
  </si>
  <si>
    <t>San Francisco : R &amp; E Research Associates, 1978.</t>
  </si>
  <si>
    <t>1999-02-03</t>
  </si>
  <si>
    <t>541903:eng</t>
  </si>
  <si>
    <t>4732406</t>
  </si>
  <si>
    <t>991004708289702656</t>
  </si>
  <si>
    <t>2258324190002656</t>
  </si>
  <si>
    <t>9780882475196</t>
  </si>
  <si>
    <t>32285001587137</t>
  </si>
  <si>
    <t>893229734</t>
  </si>
  <si>
    <t>RA448.5.N4 B56 1988</t>
  </si>
  <si>
    <t>0                      RA 0448500N  4                  B  56          1988</t>
  </si>
  <si>
    <t>The Black American elderly : research on physical and psychosocial health / James S. Jackson, editor ; Patricia Newton ... [et al.], associate editors.</t>
  </si>
  <si>
    <t>New York : Springer Pub. Co., c1988.</t>
  </si>
  <si>
    <t>2000-11-12</t>
  </si>
  <si>
    <t>1991-10-24</t>
  </si>
  <si>
    <t>443091292:eng</t>
  </si>
  <si>
    <t>17774299</t>
  </si>
  <si>
    <t>991001262319702656</t>
  </si>
  <si>
    <t>2272525750002656</t>
  </si>
  <si>
    <t>9780826158109</t>
  </si>
  <si>
    <t>32285000727544</t>
  </si>
  <si>
    <t>893784975</t>
  </si>
  <si>
    <t>RA448.B83 K56</t>
  </si>
  <si>
    <t>0                      RA 0448000B  83                 K  56</t>
  </si>
  <si>
    <t>Health and community : a rural American study / Norman Klein. --</t>
  </si>
  <si>
    <t>Klein, Norman, 1942-</t>
  </si>
  <si>
    <t>Dubuque, Iowa : Kendall/Hunt Pub. Co., c1976.</t>
  </si>
  <si>
    <t>1993-11-23</t>
  </si>
  <si>
    <t>5014447:eng</t>
  </si>
  <si>
    <t>2345878</t>
  </si>
  <si>
    <t>991004091639702656</t>
  </si>
  <si>
    <t>2262042050002656</t>
  </si>
  <si>
    <t>9780840314017</t>
  </si>
  <si>
    <t>32285001587103</t>
  </si>
  <si>
    <t>893519234</t>
  </si>
  <si>
    <t>RA450.5 S46 1993</t>
  </si>
  <si>
    <t>0                      RA 0450500S  46          1993</t>
  </si>
  <si>
    <t>Medicina tradicional 500 años después : historia y consecuencias actuales : II Seminario Latinoamericano sobre la Teoría y la Práctica en la Aplicación de la Medicina Tradicional en Sistemas Formales de Salud / eds. Carles Roesrch...[et al].</t>
  </si>
  <si>
    <t>Seminario Latinoamericano sobre la Teoría y la Práctica en la Aplicación de la Medicina Tradicional en Sistemas Formales de Salud (2nd : 1992 : Santo Domingo, Dominican Republic)</t>
  </si>
  <si>
    <t>Santo Domingo : Instituto Medicina Dominicana, c1993.</t>
  </si>
  <si>
    <t>spa</t>
  </si>
  <si>
    <t xml:space="preserve">dr </t>
  </si>
  <si>
    <t>2010-09-07</t>
  </si>
  <si>
    <t>1995-08-22</t>
  </si>
  <si>
    <t>1162684860:spa</t>
  </si>
  <si>
    <t>30674061</t>
  </si>
  <si>
    <t>991002358849702656</t>
  </si>
  <si>
    <t>2262681050002656</t>
  </si>
  <si>
    <t>32285002079290</t>
  </si>
  <si>
    <t>893792366</t>
  </si>
  <si>
    <t>RA454.D65 D47 1995</t>
  </si>
  <si>
    <t>0                      RA 0454000D  65                 D  47          1995</t>
  </si>
  <si>
    <t>Desarrollo de recursos humanos en salud : la experiencia Dominicana / compilado por Rosa María Borrell y Wilfredo Lozano.</t>
  </si>
  <si>
    <t>Santo Domingo, República Dominicana : FLACSO, Facultad Latinoamericana de Ciencias Sociales, República Dominicana : Organización Panamericana de la Salud (OPS) : Organización Mundial de la Salud (OMS) : Programa de Adiestramiento en Salud de Centroamérica y Panamá (PASCAP), c1995.</t>
  </si>
  <si>
    <t>1997-03-11</t>
  </si>
  <si>
    <t>1996-11-20</t>
  </si>
  <si>
    <t>53432389:spa</t>
  </si>
  <si>
    <t>35573046</t>
  </si>
  <si>
    <t>991002712769702656</t>
  </si>
  <si>
    <t>2259519200002656</t>
  </si>
  <si>
    <t>9788460092513</t>
  </si>
  <si>
    <t>32285002374501</t>
  </si>
  <si>
    <t>893335631</t>
  </si>
  <si>
    <t>RA455 .K56 1984</t>
  </si>
  <si>
    <t>0                      RA 0455000K  56          1984</t>
  </si>
  <si>
    <t>The Caribbean slave : a biological history / Kenneth F. Kiple.</t>
  </si>
  <si>
    <t>Kiple, Kenneth F., 1939-2016.</t>
  </si>
  <si>
    <t>Cambridge [Cambridgeshire] ; New York : Cambridge University Press, 1984.</t>
  </si>
  <si>
    <t>Studies in environment and history</t>
  </si>
  <si>
    <t>795347269:eng</t>
  </si>
  <si>
    <t>11113612</t>
  </si>
  <si>
    <t>991000492189702656</t>
  </si>
  <si>
    <t>2256344710002656</t>
  </si>
  <si>
    <t>9780521268745</t>
  </si>
  <si>
    <t>32285001105534</t>
  </si>
  <si>
    <t>893771676</t>
  </si>
  <si>
    <t>RA456.D65 R67 1984</t>
  </si>
  <si>
    <t>0                      RA 0456000D  65                 R  67          1984</t>
  </si>
  <si>
    <t>Estructura del consumo, nutrición y pobreza en la República Dominicana, 1984 / Gumersindo del Rosario M.</t>
  </si>
  <si>
    <t>Rosario Mota, Gumersindo del.</t>
  </si>
  <si>
    <t>[Dominican Republic : s.n., 1984]</t>
  </si>
  <si>
    <t>2000-11-06</t>
  </si>
  <si>
    <t>2000-10-31</t>
  </si>
  <si>
    <t>34568978:spa</t>
  </si>
  <si>
    <t>45055452</t>
  </si>
  <si>
    <t>991003336049702656</t>
  </si>
  <si>
    <t>2269483320002656</t>
  </si>
  <si>
    <t>32285004270558</t>
  </si>
  <si>
    <t>893805684</t>
  </si>
  <si>
    <t>RA456.S25 D57</t>
  </si>
  <si>
    <t>0                      RA 0456000S  25                 D  57</t>
  </si>
  <si>
    <t>Disease and economic development; the impact of parasitic diseases in St. Lucia [by] Burton A. Weisbrod [and others. --</t>
  </si>
  <si>
    <t>Madison] University of Wisconsin Press [1973]</t>
  </si>
  <si>
    <t>1973</t>
  </si>
  <si>
    <t>wiu</t>
  </si>
  <si>
    <t>2009-02-24</t>
  </si>
  <si>
    <t>1991-10-18</t>
  </si>
  <si>
    <t>1721301:eng</t>
  </si>
  <si>
    <t>579203</t>
  </si>
  <si>
    <t>991003013109702656</t>
  </si>
  <si>
    <t>2255816870002656</t>
  </si>
  <si>
    <t>9780299063405</t>
  </si>
  <si>
    <t>32285000776517</t>
  </si>
  <si>
    <t>893904211</t>
  </si>
  <si>
    <t>RA488.L7 A84 1988</t>
  </si>
  <si>
    <t>0                      RA 0488000L  7                  A  84          1988</t>
  </si>
  <si>
    <t>The new public health : the Liverpool experience / John Ashton and Howard Seymour.</t>
  </si>
  <si>
    <t>Ashton, John, 1947-</t>
  </si>
  <si>
    <t>Milton Keynes [England] ; Philadelphia : Open University Press, 1988 (1996 printing).</t>
  </si>
  <si>
    <t>2003-05-29</t>
  </si>
  <si>
    <t>1998-05-18</t>
  </si>
  <si>
    <t>292303943:eng</t>
  </si>
  <si>
    <t>17981553</t>
  </si>
  <si>
    <t>991001288629702656</t>
  </si>
  <si>
    <t>2257278560002656</t>
  </si>
  <si>
    <t>9780335155552</t>
  </si>
  <si>
    <t>32285003409413</t>
  </si>
  <si>
    <t>893715343</t>
  </si>
  <si>
    <t>RA499 .C57 1982</t>
  </si>
  <si>
    <t>0                      RA 0499000C  57          1982</t>
  </si>
  <si>
    <t>Death is a social disease : public health and political economy in early industrial France / William Coleman.</t>
  </si>
  <si>
    <t>Coleman, William, 1934-</t>
  </si>
  <si>
    <t>Madison, Wis. : University of Wisconsin Press, 1982.</t>
  </si>
  <si>
    <t>1995-03-08</t>
  </si>
  <si>
    <t>1990-03-20</t>
  </si>
  <si>
    <t>863758640:eng</t>
  </si>
  <si>
    <t>8176668</t>
  </si>
  <si>
    <t>991005214619702656</t>
  </si>
  <si>
    <t>2259563290002656</t>
  </si>
  <si>
    <t>9780299089504</t>
  </si>
  <si>
    <t>32285000088715</t>
  </si>
  <si>
    <t>893344853</t>
  </si>
  <si>
    <t>RA529 .B67 1983</t>
  </si>
  <si>
    <t>0                      RA 0529000B  67          1983</t>
  </si>
  <si>
    <t>Studies in social dynamics of primary health care / Ashish Bose, P.B. Desai.</t>
  </si>
  <si>
    <t>Bose, Ashish.</t>
  </si>
  <si>
    <t>Delhi : Hindustan Publishing Corporation (India), 1983.</t>
  </si>
  <si>
    <t xml:space="preserve">ii </t>
  </si>
  <si>
    <t>Studies in economic development and planning ; 29</t>
  </si>
  <si>
    <t>1998-11-30</t>
  </si>
  <si>
    <t>1990-02-20</t>
  </si>
  <si>
    <t>3008333:eng</t>
  </si>
  <si>
    <t>10364039</t>
  </si>
  <si>
    <t>991000360739702656</t>
  </si>
  <si>
    <t>2270090840002656</t>
  </si>
  <si>
    <t>32285000057447</t>
  </si>
  <si>
    <t>893601680</t>
  </si>
  <si>
    <t>RA552.K46 B43 1981</t>
  </si>
  <si>
    <t>0                      RA 0552000K  46                 B  43          1981</t>
  </si>
  <si>
    <t>Medicine, tradition, and development in Kenya and Tanzania 1920-1970 / by Ann Beck.</t>
  </si>
  <si>
    <t>Beck, Ann.</t>
  </si>
  <si>
    <t>Waltham, Mass. : Crossroads Press, c1981.</t>
  </si>
  <si>
    <t>1999-02-01</t>
  </si>
  <si>
    <t>562204:eng</t>
  </si>
  <si>
    <t>8069799</t>
  </si>
  <si>
    <t>991005200399702656</t>
  </si>
  <si>
    <t>2258852200002656</t>
  </si>
  <si>
    <t>9780918456441</t>
  </si>
  <si>
    <t>32285001587186</t>
  </si>
  <si>
    <t>893807985</t>
  </si>
  <si>
    <t>RA553 .B63 1982</t>
  </si>
  <si>
    <t>0                      RA 0553000B  63          1982</t>
  </si>
  <si>
    <t>Body, land, and spirit : health and healing in Aboriginal society / edited by Janice Reid.</t>
  </si>
  <si>
    <t>St. Lucia ; New York : University of Queensland Press, c1982.</t>
  </si>
  <si>
    <t xml:space="preserve">at </t>
  </si>
  <si>
    <t>Studies in society and culture series</t>
  </si>
  <si>
    <t>1999-09-13</t>
  </si>
  <si>
    <t>1990-02-08</t>
  </si>
  <si>
    <t>836921791:eng</t>
  </si>
  <si>
    <t>8032700</t>
  </si>
  <si>
    <t>991005193769702656</t>
  </si>
  <si>
    <t>2269138250002656</t>
  </si>
  <si>
    <t>9780702216596</t>
  </si>
  <si>
    <t>32285000034131</t>
  </si>
  <si>
    <t>893514211</t>
  </si>
  <si>
    <t>RA564.8 .B76 1985</t>
  </si>
  <si>
    <t>0                      RA 0564800B  76          1985</t>
  </si>
  <si>
    <t>Mental and physical health practices of older people : a guide for health professionals / Elaine M. Brody with the assistance of Morton H. Kleban and William E. Oriol ; foreword by Barry D. Lebowitz.</t>
  </si>
  <si>
    <t>Brody, Elaine M.</t>
  </si>
  <si>
    <t>New York : Springer Pub. Co., c1985.</t>
  </si>
  <si>
    <t>2004-05-03</t>
  </si>
  <si>
    <t>1992-02-07</t>
  </si>
  <si>
    <t>428760321:eng</t>
  </si>
  <si>
    <t>11233831</t>
  </si>
  <si>
    <t>991000508599702656</t>
  </si>
  <si>
    <t>2258059170002656</t>
  </si>
  <si>
    <t>9780826148704</t>
  </si>
  <si>
    <t>32285000943067</t>
  </si>
  <si>
    <t>893327341</t>
  </si>
  <si>
    <t>RA564.8 .L67 1987</t>
  </si>
  <si>
    <t>0                      RA 0564800L  67          1987</t>
  </si>
  <si>
    <t>Long term health care : providing a spectrum of services to the aged / Philip W. Brickner ... [et al.].</t>
  </si>
  <si>
    <t>2004-04-18</t>
  </si>
  <si>
    <t>13487181:eng</t>
  </si>
  <si>
    <t>16717109</t>
  </si>
  <si>
    <t>991001137059702656</t>
  </si>
  <si>
    <t>2256649240002656</t>
  </si>
  <si>
    <t>9780465042203</t>
  </si>
  <si>
    <t>32285001087179</t>
  </si>
  <si>
    <t>893596226</t>
  </si>
  <si>
    <t>RA564.8 .P43</t>
  </si>
  <si>
    <t>0                      RA 0564800P  43</t>
  </si>
  <si>
    <t>Health care and the elderly / C. Carl Pegels.</t>
  </si>
  <si>
    <t>Pegels, C. Carl.</t>
  </si>
  <si>
    <t>Rockville, Md. : Aspen Systems Corp., 1981.</t>
  </si>
  <si>
    <t>2008-12-03</t>
  </si>
  <si>
    <t>551535:eng</t>
  </si>
  <si>
    <t>6813054</t>
  </si>
  <si>
    <t>991005042949702656</t>
  </si>
  <si>
    <t>2268284050002656</t>
  </si>
  <si>
    <t>9780894433337</t>
  </si>
  <si>
    <t>32285000837863</t>
  </si>
  <si>
    <t>893536325</t>
  </si>
  <si>
    <t>RA564.8 .S53 1987</t>
  </si>
  <si>
    <t>0                      RA 0564800S  53          1987</t>
  </si>
  <si>
    <t>Should medical care be rationed by age? / edited by Timothy M. Smeeding, with Margaret P. Battin, Leslie P. Francis, Bruce M. Landesman.</t>
  </si>
  <si>
    <t>Totowa, N.J. : Rowman &amp; Littlefield, c1987.</t>
  </si>
  <si>
    <t>1992-12-20</t>
  </si>
  <si>
    <t>7880649:eng</t>
  </si>
  <si>
    <t>13793423</t>
  </si>
  <si>
    <t>991000871929702656</t>
  </si>
  <si>
    <t>2272234200002656</t>
  </si>
  <si>
    <t>9780847675210</t>
  </si>
  <si>
    <t>32285001470136</t>
  </si>
  <si>
    <t>893872082</t>
  </si>
  <si>
    <t>RA564.8 .T43 1987</t>
  </si>
  <si>
    <t>0                      RA 0564800T  43          1987</t>
  </si>
  <si>
    <t>Health promotion programs : achieving high-level wellness in the later years / Michael L. Teague.</t>
  </si>
  <si>
    <t>Teague, Michael L., 1946-</t>
  </si>
  <si>
    <t>Indianapolis : Benchmark Press, 1987.</t>
  </si>
  <si>
    <t>1991-11-13</t>
  </si>
  <si>
    <t>3855590455:eng</t>
  </si>
  <si>
    <t>15560525</t>
  </si>
  <si>
    <t>991001039099702656</t>
  </si>
  <si>
    <t>2257053210002656</t>
  </si>
  <si>
    <t>9780936157085</t>
  </si>
  <si>
    <t>32285000823616</t>
  </si>
  <si>
    <t>893413903</t>
  </si>
  <si>
    <t>RA564.8 .W44</t>
  </si>
  <si>
    <t>0                      RA 0564800W  44</t>
  </si>
  <si>
    <t>Adult day care : community work with the elderly / Philip G. Weiler, Eloise Rathbone-McCuan, with contributions by Annette Castle &amp; Larry Pickard.</t>
  </si>
  <si>
    <t>Weiler, Philip G.</t>
  </si>
  <si>
    <t>New York : Springer Pub. Co., c1978.</t>
  </si>
  <si>
    <t>Springer series on adulthood and aging ; v. 1</t>
  </si>
  <si>
    <t>1997-03-19</t>
  </si>
  <si>
    <t>1992-03-24</t>
  </si>
  <si>
    <t>424292066:eng</t>
  </si>
  <si>
    <t>3414259</t>
  </si>
  <si>
    <t>991001782939702656</t>
  </si>
  <si>
    <t>2259713320002656</t>
  </si>
  <si>
    <t>9780826122704</t>
  </si>
  <si>
    <t>32285001004182</t>
  </si>
  <si>
    <t>893244411</t>
  </si>
  <si>
    <t>RA564.85 .W6543 1988</t>
  </si>
  <si>
    <t>0                      RA 0564850W  6543        1988</t>
  </si>
  <si>
    <t>Women and health : cross-cultural perspectives / [edited by] Patricia Whelehan and contributors.</t>
  </si>
  <si>
    <t>Granby, Mass. : Bergin &amp; Garvey Publishers, 1988.</t>
  </si>
  <si>
    <t>1996-02-20</t>
  </si>
  <si>
    <t>889730884:eng</t>
  </si>
  <si>
    <t>17508716</t>
  </si>
  <si>
    <t>991001226949702656</t>
  </si>
  <si>
    <t>2272435560002656</t>
  </si>
  <si>
    <t>9780897891387</t>
  </si>
  <si>
    <t>32285001587236</t>
  </si>
  <si>
    <t>893684170</t>
  </si>
  <si>
    <t>RA564.85 .W683 1994</t>
  </si>
  <si>
    <t>0                      RA 0564850W  683         1994</t>
  </si>
  <si>
    <t>Women's health, politics, and power : essays on sex/gender, medicine, and public health / editors, Elizabeth Fee and Nancy Krieger.</t>
  </si>
  <si>
    <t>Amityville, N.Y. : Baywood Pub. Co., c1994.</t>
  </si>
  <si>
    <t>2000-02-12</t>
  </si>
  <si>
    <t>811617142:eng</t>
  </si>
  <si>
    <t>29702339</t>
  </si>
  <si>
    <t>991001744919702656</t>
  </si>
  <si>
    <t>2261353630002656</t>
  </si>
  <si>
    <t>9780895031204</t>
  </si>
  <si>
    <t>32285003640942</t>
  </si>
  <si>
    <t>893439382</t>
  </si>
  <si>
    <t>RA565 .H38 1976b</t>
  </si>
  <si>
    <t>0                      RA 0565000H  38          1976b</t>
  </si>
  <si>
    <t>Health and the environment / general editors, John Lenihan and William W. Fletcher.</t>
  </si>
  <si>
    <t>New York : Academic Press, 1976.</t>
  </si>
  <si>
    <t>Environment and man ; v. 3</t>
  </si>
  <si>
    <t>2010-02-25</t>
  </si>
  <si>
    <t>1992-11-20</t>
  </si>
  <si>
    <t>918672282:eng</t>
  </si>
  <si>
    <t>2493883</t>
  </si>
  <si>
    <t>991004139799702656</t>
  </si>
  <si>
    <t>2256525310002656</t>
  </si>
  <si>
    <t>9780124435032</t>
  </si>
  <si>
    <t>32285001407062</t>
  </si>
  <si>
    <t>893500162</t>
  </si>
  <si>
    <t>RA565 .K67 1980</t>
  </si>
  <si>
    <t>0                      RA 0565000K  67          1980</t>
  </si>
  <si>
    <t>Handbook of environmental health and safety : principles and practices / Herman Koren.</t>
  </si>
  <si>
    <t>Koren, Herman.</t>
  </si>
  <si>
    <t>New York : Pergamon Press, c1980.</t>
  </si>
  <si>
    <t>1994-03-27</t>
  </si>
  <si>
    <t>4161484497:eng</t>
  </si>
  <si>
    <t>6408277</t>
  </si>
  <si>
    <t>991004977509702656</t>
  </si>
  <si>
    <t>2268022340002656</t>
  </si>
  <si>
    <t>9780080239002</t>
  </si>
  <si>
    <t>32285001587251</t>
  </si>
  <si>
    <t>893870313</t>
  </si>
  <si>
    <t>RA565 .S3</t>
  </si>
  <si>
    <t>0                      RA 0565000S  3</t>
  </si>
  <si>
    <t>Environmental sanitation.</t>
  </si>
  <si>
    <t>Salvato, Joseph A.</t>
  </si>
  <si>
    <t>New York : Wiley, [1958]</t>
  </si>
  <si>
    <t>2005-10-24</t>
  </si>
  <si>
    <t>1990-02-27</t>
  </si>
  <si>
    <t>2260825114:eng</t>
  </si>
  <si>
    <t>1286041</t>
  </si>
  <si>
    <t>991003669329702656</t>
  </si>
  <si>
    <t>2268200010002656</t>
  </si>
  <si>
    <t>32285000061720</t>
  </si>
  <si>
    <t>893348980</t>
  </si>
  <si>
    <t>RA566 .B57</t>
  </si>
  <si>
    <t>0                      RA 0566000B  57</t>
  </si>
  <si>
    <t>Biochemical effects of environmental pollutants / edited by S. D. Lee, with the assistance of Bruce Peirano.</t>
  </si>
  <si>
    <t>Ann Arbor, Mich. : Ann Arbor Science Publishers, c1977.</t>
  </si>
  <si>
    <t>1996-04-11</t>
  </si>
  <si>
    <t>9624255:eng</t>
  </si>
  <si>
    <t>3247341</t>
  </si>
  <si>
    <t>991004387659702656</t>
  </si>
  <si>
    <t>2270888100002656</t>
  </si>
  <si>
    <t>9780250401437</t>
  </si>
  <si>
    <t>32285001587285</t>
  </si>
  <si>
    <t>893888643</t>
  </si>
  <si>
    <t>RA566 .C55</t>
  </si>
  <si>
    <t>0                      RA 0566000C  55</t>
  </si>
  <si>
    <t>The Chemical environment / general editors, John Lenihan and William W. Fletcher.</t>
  </si>
  <si>
    <t>New York : Academic Press, 1977.</t>
  </si>
  <si>
    <t>Environment and man ; v. 6</t>
  </si>
  <si>
    <t>2002-09-13</t>
  </si>
  <si>
    <t>14585789:eng</t>
  </si>
  <si>
    <t>4234862</t>
  </si>
  <si>
    <t>991004613829702656</t>
  </si>
  <si>
    <t>2261292270002656</t>
  </si>
  <si>
    <t>9780124435063</t>
  </si>
  <si>
    <t>32285000837889</t>
  </si>
  <si>
    <t>893869913</t>
  </si>
  <si>
    <t>RA566.26 .T685 1994</t>
  </si>
  <si>
    <t>0                      RA 0566260T  685         1994</t>
  </si>
  <si>
    <t>Toxicology of chemical mixtures : case studies, mechanisms, and novel approaches / edited by Raymond S. H. Yang.</t>
  </si>
  <si>
    <t>San Diego : Academic Press, c1994.</t>
  </si>
  <si>
    <t>2003-11-06</t>
  </si>
  <si>
    <t>1994-08-15</t>
  </si>
  <si>
    <t>796904054:eng</t>
  </si>
  <si>
    <t>29361384</t>
  </si>
  <si>
    <t>991002264739702656</t>
  </si>
  <si>
    <t>2256580350002656</t>
  </si>
  <si>
    <t>9780127683508</t>
  </si>
  <si>
    <t>32285001943017</t>
  </si>
  <si>
    <t>893238847</t>
  </si>
  <si>
    <t>RA566.3 .E58</t>
  </si>
  <si>
    <t>0                      RA 0566300E  58</t>
  </si>
  <si>
    <t>Environment and health.</t>
  </si>
  <si>
    <t>Washington, D.C. : Congressional Quarterly Inc., c1981.</t>
  </si>
  <si>
    <t>2005-10-03</t>
  </si>
  <si>
    <t>1992-06-23</t>
  </si>
  <si>
    <t>54460616:eng</t>
  </si>
  <si>
    <t>7813872</t>
  </si>
  <si>
    <t>991005164369702656</t>
  </si>
  <si>
    <t>2255860680002656</t>
  </si>
  <si>
    <t>9780871872241</t>
  </si>
  <si>
    <t>32285001133791</t>
  </si>
  <si>
    <t>893353735</t>
  </si>
  <si>
    <t>RA566.3 .Q36 1982</t>
  </si>
  <si>
    <t>0                      RA 0566300Q  36          1982</t>
  </si>
  <si>
    <t>Quantitative risk assessment in regulation / Lester B. Lave, editor.</t>
  </si>
  <si>
    <t>Washington, D.C. : Brookings Institution, c1982.</t>
  </si>
  <si>
    <t>Studies in the regulation of economic activity</t>
  </si>
  <si>
    <t>2000-08-23</t>
  </si>
  <si>
    <t>1992-09-04</t>
  </si>
  <si>
    <t>42742430:eng</t>
  </si>
  <si>
    <t>8976063</t>
  </si>
  <si>
    <t>991005399109702656</t>
  </si>
  <si>
    <t>2256469170002656</t>
  </si>
  <si>
    <t>9780815751632</t>
  </si>
  <si>
    <t>32285001220978</t>
  </si>
  <si>
    <t>893802244</t>
  </si>
  <si>
    <t>RA569 .B43</t>
  </si>
  <si>
    <t>0                      RA 0569000B  43</t>
  </si>
  <si>
    <t>The health hazards of NOT going nuclear / by Petr Beckmann.</t>
  </si>
  <si>
    <t>Beckmann, Petr.</t>
  </si>
  <si>
    <t>Boulder, Colo. : Golem Press, 1976.</t>
  </si>
  <si>
    <t>2010-01-13</t>
  </si>
  <si>
    <t>1992-01-30</t>
  </si>
  <si>
    <t>481071:eng</t>
  </si>
  <si>
    <t>2317970</t>
  </si>
  <si>
    <t>991004075479702656</t>
  </si>
  <si>
    <t>2264211100002656</t>
  </si>
  <si>
    <t>9780911762167</t>
  </si>
  <si>
    <t>32285000931955</t>
  </si>
  <si>
    <t>893343435</t>
  </si>
  <si>
    <t>RA569 .C38 1989</t>
  </si>
  <si>
    <t>0                      RA 0569000C  38          1989</t>
  </si>
  <si>
    <t>Multiple exposures : chronicles of radiation age / Catherine Caufield.</t>
  </si>
  <si>
    <t>Caufield, Catherine.</t>
  </si>
  <si>
    <t>New York : Harper &amp; Row, c1989.</t>
  </si>
  <si>
    <t>1st U.S. ed.</t>
  </si>
  <si>
    <t>2002-09-20</t>
  </si>
  <si>
    <t>18781575:eng</t>
  </si>
  <si>
    <t>19353829</t>
  </si>
  <si>
    <t>991001454719702656</t>
  </si>
  <si>
    <t>2269025420002656</t>
  </si>
  <si>
    <t>9780060159009</t>
  </si>
  <si>
    <t>32285001587301</t>
  </si>
  <si>
    <t>893516206</t>
  </si>
  <si>
    <t>RA569 .M37 1986</t>
  </si>
  <si>
    <t>0                      RA 0569000M  37          1986</t>
  </si>
  <si>
    <t>An introduction to radiation protection / Alan Martin and Samuel A. Harbison.</t>
  </si>
  <si>
    <t>Martin, Alan D. (Alan Douglas)</t>
  </si>
  <si>
    <t>London ; New York : Chapman and Hall, 1986.</t>
  </si>
  <si>
    <t>2007-09-28</t>
  </si>
  <si>
    <t>1702120:eng</t>
  </si>
  <si>
    <t>13123518</t>
  </si>
  <si>
    <t>991000784999702656</t>
  </si>
  <si>
    <t>2256697960002656</t>
  </si>
  <si>
    <t>9780412278006</t>
  </si>
  <si>
    <t>32285001587343</t>
  </si>
  <si>
    <t>893444457</t>
  </si>
  <si>
    <t>RA569 .R4 1967a</t>
  </si>
  <si>
    <t>0                      RA 0569000R  4           1967a</t>
  </si>
  <si>
    <t>Health physics; principles of radiation protection [by] D. J. Rees.</t>
  </si>
  <si>
    <t>Rees, D. J. (David John)</t>
  </si>
  <si>
    <t>Cambrige, Mass., M.I.T. Press [1967]</t>
  </si>
  <si>
    <t>1967</t>
  </si>
  <si>
    <t>1900822:eng</t>
  </si>
  <si>
    <t>1463312</t>
  </si>
  <si>
    <t>991004202279702656</t>
  </si>
  <si>
    <t>2256275240002656</t>
  </si>
  <si>
    <t>32285003083564</t>
  </si>
  <si>
    <t>893229052</t>
  </si>
  <si>
    <t>RA569.3 .S74 1984</t>
  </si>
  <si>
    <t>0                      RA 0569300S  74          1984</t>
  </si>
  <si>
    <t>The microwave debate / Nicholas H. Steneck.</t>
  </si>
  <si>
    <t>Steneck, Nicholas H. (Nicholas Hans), 1940-</t>
  </si>
  <si>
    <t>Cambridge, Mass. : MIT Press, c1984.</t>
  </si>
  <si>
    <t>1998-07-21</t>
  </si>
  <si>
    <t>3434071:eng</t>
  </si>
  <si>
    <t>10725487</t>
  </si>
  <si>
    <t>991000417379702656</t>
  </si>
  <si>
    <t>2263656370002656</t>
  </si>
  <si>
    <t>9780262192309</t>
  </si>
  <si>
    <t>32285001587350</t>
  </si>
  <si>
    <t>893589418</t>
  </si>
  <si>
    <t>RA576 .L28</t>
  </si>
  <si>
    <t>0                      RA 0576000L  28</t>
  </si>
  <si>
    <t>Air pollution and human health / Lester B. Lave, Eugene P. Seskin, with the assistance of Michael J. Chappie.</t>
  </si>
  <si>
    <t>Lave, Lester B.</t>
  </si>
  <si>
    <t>Baltimore : Published for Resources for the Future by the Johns Hopkins University Press, c1977.</t>
  </si>
  <si>
    <t>2009-03-29</t>
  </si>
  <si>
    <t>11135728:eng</t>
  </si>
  <si>
    <t>3580869</t>
  </si>
  <si>
    <t>991004467849702656</t>
  </si>
  <si>
    <t>2263139340002656</t>
  </si>
  <si>
    <t>9780801816536</t>
  </si>
  <si>
    <t>32285003083606</t>
  </si>
  <si>
    <t>893599868</t>
  </si>
  <si>
    <t>RA576 .L5</t>
  </si>
  <si>
    <t>0                      RA 0576000L  5</t>
  </si>
  <si>
    <t>With every breath you take; the poisons of air pollution, how they are injuring our health, and what we must do about them, by Howard R. Lewis. Pref. by Reginald H. Smart. Foreword by Morris B. Jacobs.</t>
  </si>
  <si>
    <t>Lewis, Howard R.</t>
  </si>
  <si>
    <t>New York, Crown Publishers [1965]</t>
  </si>
  <si>
    <t>1965</t>
  </si>
  <si>
    <t>235307291:eng</t>
  </si>
  <si>
    <t>404497</t>
  </si>
  <si>
    <t>991002698269702656</t>
  </si>
  <si>
    <t>2259966220002656</t>
  </si>
  <si>
    <t>32285003083614</t>
  </si>
  <si>
    <t>893809625</t>
  </si>
  <si>
    <t>RA576 .M4 1964</t>
  </si>
  <si>
    <t>0                      RA 0576000M  4           1964</t>
  </si>
  <si>
    <t>Atmospheric pollution; its origins and prevention, by A.R. Meetham.</t>
  </si>
  <si>
    <t>Meetham, A. R.</t>
  </si>
  <si>
    <t>Oxford, New York, Pergamon Press, 1964.</t>
  </si>
  <si>
    <t>1964</t>
  </si>
  <si>
    <t>3d rev. ed. [by] D.W. Bottom [and] S. Cayton.</t>
  </si>
  <si>
    <t>2001-10-17</t>
  </si>
  <si>
    <t>8394721:eng</t>
  </si>
  <si>
    <t>1003412</t>
  </si>
  <si>
    <t>991003461609702656</t>
  </si>
  <si>
    <t>2255940860002656</t>
  </si>
  <si>
    <t>32285003083622</t>
  </si>
  <si>
    <t>893868426</t>
  </si>
  <si>
    <t>RA576 .N29 1978</t>
  </si>
  <si>
    <t>0                      RA 0576000N  29          1978</t>
  </si>
  <si>
    <t>Air pollution primer / Rena Corman.</t>
  </si>
  <si>
    <t>Corman, Rena.</t>
  </si>
  <si>
    <t>[s.l.] : American Lung Association, c1978.</t>
  </si>
  <si>
    <t>1998-11-04</t>
  </si>
  <si>
    <t>1910062067:eng</t>
  </si>
  <si>
    <t>4966906</t>
  </si>
  <si>
    <t>991004756269702656</t>
  </si>
  <si>
    <t>2257844110002656</t>
  </si>
  <si>
    <t>32285003485496</t>
  </si>
  <si>
    <t>893901718</t>
  </si>
  <si>
    <t>RA591 .S83 1990</t>
  </si>
  <si>
    <t>0                      RA 0591000S  83          1990</t>
  </si>
  <si>
    <t>Drinking water hazards : how to know if there are toxic chemicals in your water and what to do if there are / by John Cary Stewart.</t>
  </si>
  <si>
    <t>Stewart, John Cary, 1958-</t>
  </si>
  <si>
    <t>Hiram, Ohio : Envirographics, c1990.</t>
  </si>
  <si>
    <t>2001-06-28</t>
  </si>
  <si>
    <t>1999-09-07</t>
  </si>
  <si>
    <t>1011043984:eng</t>
  </si>
  <si>
    <t>16581958</t>
  </si>
  <si>
    <t>991001122079702656</t>
  </si>
  <si>
    <t>2258438000002656</t>
  </si>
  <si>
    <t>9780943163154</t>
  </si>
  <si>
    <t>32285003264693</t>
  </si>
  <si>
    <t>893715196</t>
  </si>
  <si>
    <t>RA592.A1 H43 1989</t>
  </si>
  <si>
    <t>0                      RA 0592000A  1                  H  43          1989</t>
  </si>
  <si>
    <t>Health effects of drinking water treatment technologies / Drinking Water Health Effects Task Force.</t>
  </si>
  <si>
    <t>Chelsea, MI : Lewis Publishers, [1989]</t>
  </si>
  <si>
    <t>1991-02-23</t>
  </si>
  <si>
    <t>392600362:eng</t>
  </si>
  <si>
    <t>19519996</t>
  </si>
  <si>
    <t>991001469639702656</t>
  </si>
  <si>
    <t>2263526270002656</t>
  </si>
  <si>
    <t>9780873712231</t>
  </si>
  <si>
    <t>32285000491729</t>
  </si>
  <si>
    <t>893408156</t>
  </si>
  <si>
    <t>RA592.A1 L48 1996</t>
  </si>
  <si>
    <t>0                      RA 0592000A  1                  L  48          1996</t>
  </si>
  <si>
    <t>The Sierra Club guide to safe drinking water / by Scott Alan Lewis ; afterword by Carl Pope.</t>
  </si>
  <si>
    <t>Lewis, Scott, 1959-</t>
  </si>
  <si>
    <t>San Francisco : Sierra Club Books, c1996.</t>
  </si>
  <si>
    <t>2006-11-03</t>
  </si>
  <si>
    <t>1996-06-19</t>
  </si>
  <si>
    <t>37613325:eng</t>
  </si>
  <si>
    <t>33166427</t>
  </si>
  <si>
    <t>991002553039702656</t>
  </si>
  <si>
    <t>2256114340002656</t>
  </si>
  <si>
    <t>9780871563552</t>
  </si>
  <si>
    <t>32285002194545</t>
  </si>
  <si>
    <t>893226982</t>
  </si>
  <si>
    <t>RA639.5 .C57 1976</t>
  </si>
  <si>
    <t>0                      RA 0639500C  57          1976</t>
  </si>
  <si>
    <t>Insects and history / J. L. Cloudsley-Thompson.</t>
  </si>
  <si>
    <t>Cloudsley-Thompson, J. L.</t>
  </si>
  <si>
    <t>New York : St. Martin's Press, 1976.</t>
  </si>
  <si>
    <t>2008-11-21</t>
  </si>
  <si>
    <t>6246910:eng</t>
  </si>
  <si>
    <t>2749759</t>
  </si>
  <si>
    <t>991004232039702656</t>
  </si>
  <si>
    <t>2255254820002656</t>
  </si>
  <si>
    <t>32285003083630</t>
  </si>
  <si>
    <t>893628047</t>
  </si>
  <si>
    <t>RA639.5 .J35 1969</t>
  </si>
  <si>
    <t>0                      RA 0639500J  35          1969</t>
  </si>
  <si>
    <t>Herms's Medical entomology [by] Maurice T. James [and] Robert F. Harwood.</t>
  </si>
  <si>
    <t>Herms, William B. (William Brodbeck), 1876-1949.</t>
  </si>
  <si>
    <t>[New York] Macmillan [1969]</t>
  </si>
  <si>
    <t>6th ed.</t>
  </si>
  <si>
    <t>2010-02-27</t>
  </si>
  <si>
    <t>3856483671:eng</t>
  </si>
  <si>
    <t>22726</t>
  </si>
  <si>
    <t>991000049929702656</t>
  </si>
  <si>
    <t>2268264720002656</t>
  </si>
  <si>
    <t>32285003083648</t>
  </si>
  <si>
    <t>893502182</t>
  </si>
  <si>
    <t>RA641.A7 F87 1982</t>
  </si>
  <si>
    <t>0                      RA 0641000A  7                  F  87          1982</t>
  </si>
  <si>
    <t>Manual of medical entomology / Deane P. Furman and E. Paul Catts.</t>
  </si>
  <si>
    <t>Furman, Deane Philip, 1915-</t>
  </si>
  <si>
    <t>Cambridge [Cambridgeshire] ; New York : Cambridge University Press, c1982.</t>
  </si>
  <si>
    <t>2005-01-22</t>
  </si>
  <si>
    <t>506224:eng</t>
  </si>
  <si>
    <t>7578082</t>
  </si>
  <si>
    <t>991005137229702656</t>
  </si>
  <si>
    <t>2264930070002656</t>
  </si>
  <si>
    <t>9780521233354</t>
  </si>
  <si>
    <t>32285001587368</t>
  </si>
  <si>
    <t>893688649</t>
  </si>
  <si>
    <t>RA643 .A56 1992</t>
  </si>
  <si>
    <t>0                      RA 0643000A  56          1992</t>
  </si>
  <si>
    <t>Infectious diseases of humans : dynamics and control / Roy M. Anderson and Robert M. May.</t>
  </si>
  <si>
    <t>Anderson, Roy M.</t>
  </si>
  <si>
    <t>Oxford ; New York : Oxford University Press, 1992.</t>
  </si>
  <si>
    <t>Paperback ed. 1992.</t>
  </si>
  <si>
    <t>Oxford science publications</t>
  </si>
  <si>
    <t>2000-07-18</t>
  </si>
  <si>
    <t>1997-04-09</t>
  </si>
  <si>
    <t>24586172:eng</t>
  </si>
  <si>
    <t>29790688</t>
  </si>
  <si>
    <t>991002295479702656</t>
  </si>
  <si>
    <t>2269114580002656</t>
  </si>
  <si>
    <t>9780198540403</t>
  </si>
  <si>
    <t>32285002495645</t>
  </si>
  <si>
    <t>893867037</t>
  </si>
  <si>
    <t>RA643 .C44 1982</t>
  </si>
  <si>
    <t>0                      RA 0643000C  44          1982</t>
  </si>
  <si>
    <t>Magic shots : a human and scientific account of the long and continuing struggle to eradicate infectious diseases by vaccination / Allan Chase.</t>
  </si>
  <si>
    <t>Chase, Allan, 1913-1993.</t>
  </si>
  <si>
    <t>New York : Morrow, 1982.</t>
  </si>
  <si>
    <t>1994-11-02</t>
  </si>
  <si>
    <t>1992-04-08</t>
  </si>
  <si>
    <t>428284997:eng</t>
  </si>
  <si>
    <t>8628371</t>
  </si>
  <si>
    <t>991000037529702656</t>
  </si>
  <si>
    <t>2264176070002656</t>
  </si>
  <si>
    <t>9780688007874</t>
  </si>
  <si>
    <t>32285001065910</t>
  </si>
  <si>
    <t>893902879</t>
  </si>
  <si>
    <t>RA643 .R93 1997</t>
  </si>
  <si>
    <t>0                      RA 0643000R  93          1997</t>
  </si>
  <si>
    <t>Virus X : tracking the new killer plagues : out of the present and into the future / Frank Ryan.</t>
  </si>
  <si>
    <t>Ryan, Frank, 1944-</t>
  </si>
  <si>
    <t>Boston : Little, Brown, c1997.</t>
  </si>
  <si>
    <t>1999-02-26</t>
  </si>
  <si>
    <t>1997-02-06</t>
  </si>
  <si>
    <t>61730908:eng</t>
  </si>
  <si>
    <t>35110227</t>
  </si>
  <si>
    <t>991002687479702656</t>
  </si>
  <si>
    <t>2269864080002656</t>
  </si>
  <si>
    <t>9780316763837</t>
  </si>
  <si>
    <t>32285002414547</t>
  </si>
  <si>
    <t>893867563</t>
  </si>
  <si>
    <t>RA644.A25 B39 1989</t>
  </si>
  <si>
    <t>0                      RA 0644000A  25                 B  39          1989</t>
  </si>
  <si>
    <t>Private acts, social consequences : AIDS and the politics of public health / Ronald Bayer.</t>
  </si>
  <si>
    <t>Bayer, Ronald.</t>
  </si>
  <si>
    <t>New York : Free Press ; London : Collier Macmillan, c1989.</t>
  </si>
  <si>
    <t>2004-11-28</t>
  </si>
  <si>
    <t>1990-04-23</t>
  </si>
  <si>
    <t>16509699:eng</t>
  </si>
  <si>
    <t>18162483</t>
  </si>
  <si>
    <t>991001312229702656</t>
  </si>
  <si>
    <t>2260073030002656</t>
  </si>
  <si>
    <t>9780029019610</t>
  </si>
  <si>
    <t>32285000124841</t>
  </si>
  <si>
    <t>893715362</t>
  </si>
  <si>
    <t>RA644.A25 C6 1992</t>
  </si>
  <si>
    <t>0                      RA 0644000A  25                 C  6           1992</t>
  </si>
  <si>
    <t>Confronting AIDS in the developing world : a report to Congress on the USAID program for prevention and control of HIV infection, August 1992.</t>
  </si>
  <si>
    <t>Washington, D.C. : USAID, 1992.</t>
  </si>
  <si>
    <t>2007-04-15</t>
  </si>
  <si>
    <t>1993-10-27</t>
  </si>
  <si>
    <t>29791874:eng</t>
  </si>
  <si>
    <t>26985884</t>
  </si>
  <si>
    <t>991002103109702656</t>
  </si>
  <si>
    <t>2254984400002656</t>
  </si>
  <si>
    <t>32285001800894</t>
  </si>
  <si>
    <t>893709871</t>
  </si>
  <si>
    <t>RA644.A25 F45 1994</t>
  </si>
  <si>
    <t>0                      RA 0644000A  25                 F  45          1994</t>
  </si>
  <si>
    <t>Queer and loathing : rants and raves of a raging AIDS clone / David B. Feinberg.</t>
  </si>
  <si>
    <t>Feinberg, David B., 1956-1994.</t>
  </si>
  <si>
    <t>New York, NY : Viking, 1994.</t>
  </si>
  <si>
    <t>2001-08-23</t>
  </si>
  <si>
    <t>2001-08-22</t>
  </si>
  <si>
    <t>836756175:eng</t>
  </si>
  <si>
    <t>30026952</t>
  </si>
  <si>
    <t>991003607819702656</t>
  </si>
  <si>
    <t>2262516740002656</t>
  </si>
  <si>
    <t>9780670857661</t>
  </si>
  <si>
    <t>32285004379573</t>
  </si>
  <si>
    <t>893318168</t>
  </si>
  <si>
    <t>RA644.A25 F86 1990</t>
  </si>
  <si>
    <t>0                      RA 0644000A  25                 F  86          1990</t>
  </si>
  <si>
    <t>The myth of heterosexual AIDS / Michael Fumento.</t>
  </si>
  <si>
    <t>Fumento, Michael.</t>
  </si>
  <si>
    <t>New York : Basic Books, c1990.</t>
  </si>
  <si>
    <t>1995-11-10</t>
  </si>
  <si>
    <t>1990-04-20</t>
  </si>
  <si>
    <t>22268333:eng</t>
  </si>
  <si>
    <t>20320037</t>
  </si>
  <si>
    <t>991001564879702656</t>
  </si>
  <si>
    <t>2262016310002656</t>
  </si>
  <si>
    <t>9780465098033</t>
  </si>
  <si>
    <t>32285000104454</t>
  </si>
  <si>
    <t>893432927</t>
  </si>
  <si>
    <t>RA644.A25 I49 1997</t>
  </si>
  <si>
    <t>0                      RA 0644000A  25                 I  49          1997</t>
  </si>
  <si>
    <t>In changing times : gay men and lesbians encounter HIV/AIDS / edited by Martin P. Levine, Peter M. Nardi, John H. Gagnon.</t>
  </si>
  <si>
    <t>Chicago : University of Chicago Press, c1997.</t>
  </si>
  <si>
    <t>2004-03-19</t>
  </si>
  <si>
    <t>837060858:eng</t>
  </si>
  <si>
    <t>36219375</t>
  </si>
  <si>
    <t>991002760919702656</t>
  </si>
  <si>
    <t>2260976260002656</t>
  </si>
  <si>
    <t>9780226278568</t>
  </si>
  <si>
    <t>32285003409363</t>
  </si>
  <si>
    <t>893341812</t>
  </si>
  <si>
    <t>RA644.H32 H37 1999</t>
  </si>
  <si>
    <t>0                      RA 0644000H  32                 H  37          1999</t>
  </si>
  <si>
    <t>Of mice, men, and microbes : hantavirus / David R. Harper, Andrea S. Meyer.</t>
  </si>
  <si>
    <t>Harper, David R. (David Richard)</t>
  </si>
  <si>
    <t>San Diego : Academic Press, c1999.</t>
  </si>
  <si>
    <t>2000-10-12</t>
  </si>
  <si>
    <t>1999-09-29</t>
  </si>
  <si>
    <t>792619931:eng</t>
  </si>
  <si>
    <t>41960103</t>
  </si>
  <si>
    <t>991003038519702656</t>
  </si>
  <si>
    <t>2257829430002656</t>
  </si>
  <si>
    <t>9780123264602</t>
  </si>
  <si>
    <t>32285003591590</t>
  </si>
  <si>
    <t>893704847</t>
  </si>
  <si>
    <t>RA644.I6 N48 1983</t>
  </si>
  <si>
    <t>0                      RA 0644000I  6                  N  48          1983</t>
  </si>
  <si>
    <t>The epidemic that never was : policy-making and the swine flu scare / Richard E. Neustadt and Harvey V. Fineberg ; foreword by David A. Hamburg.</t>
  </si>
  <si>
    <t>Neustadt, Richard E.</t>
  </si>
  <si>
    <t>New York : Vintage Books, 1983, c1982.</t>
  </si>
  <si>
    <t>2001-10-22</t>
  </si>
  <si>
    <t>1993-08-23</t>
  </si>
  <si>
    <t>312450064:eng</t>
  </si>
  <si>
    <t>8493118</t>
  </si>
  <si>
    <t>991005250819702656</t>
  </si>
  <si>
    <t>2261664170002656</t>
  </si>
  <si>
    <t>9780394711478</t>
  </si>
  <si>
    <t>32285001760775</t>
  </si>
  <si>
    <t>893242439</t>
  </si>
  <si>
    <t>RA644.T69 L96 1992</t>
  </si>
  <si>
    <t>0                      RA 0644000T  69                 L  96          1992</t>
  </si>
  <si>
    <t>The colonial disease : a social history of sleeping sickness in northern Zaire, 1900-1940 / Maryinez Lyons.</t>
  </si>
  <si>
    <t>Lyons, Maryinez.</t>
  </si>
  <si>
    <t>Cambridge ; New York : Cambridge University Press, 1992.</t>
  </si>
  <si>
    <t>Cambridge history of medicine</t>
  </si>
  <si>
    <t>2009-04-02</t>
  </si>
  <si>
    <t>1992-06-22</t>
  </si>
  <si>
    <t>808724364:eng</t>
  </si>
  <si>
    <t>23015040</t>
  </si>
  <si>
    <t>991001831429702656</t>
  </si>
  <si>
    <t>2262498120002656</t>
  </si>
  <si>
    <t>9780521403504</t>
  </si>
  <si>
    <t>32285001155240</t>
  </si>
  <si>
    <t>893891870</t>
  </si>
  <si>
    <t>RA645.C3 F54 2005</t>
  </si>
  <si>
    <t>0                      RA 0645000C  3                  F  54          2005</t>
  </si>
  <si>
    <t>Understanding the mammography controversy : science, politics, and breast cancer screening / Madelon L. Finkel.</t>
  </si>
  <si>
    <t>Finkel, Madelon Lubin, 1949-</t>
  </si>
  <si>
    <t>Westport, Conn. : Praeger, 2005.</t>
  </si>
  <si>
    <t>2005</t>
  </si>
  <si>
    <t>2005-11-11</t>
  </si>
  <si>
    <t>2005-08-09</t>
  </si>
  <si>
    <t>521785:eng</t>
  </si>
  <si>
    <t>57123765</t>
  </si>
  <si>
    <t>991004614699702656</t>
  </si>
  <si>
    <t>2269211470002656</t>
  </si>
  <si>
    <t>9780275981884</t>
  </si>
  <si>
    <t>32285005080204</t>
  </si>
  <si>
    <t>893901435</t>
  </si>
  <si>
    <t>RA645.H4 B78</t>
  </si>
  <si>
    <t>0                      RA 0645000H  4                  B  78</t>
  </si>
  <si>
    <t>The Roseto Story : an anatomy of health / by John G. Bruhn and Stewart Wolf ; photos by Remsen Wolff.</t>
  </si>
  <si>
    <t>Bruhn, John G., 1934-</t>
  </si>
  <si>
    <t>Norman : University of Oklahoma, c1979.</t>
  </si>
  <si>
    <t>oku</t>
  </si>
  <si>
    <t>1995-02-14</t>
  </si>
  <si>
    <t>14766529:eng</t>
  </si>
  <si>
    <t>4835344</t>
  </si>
  <si>
    <t>991001790789702656</t>
  </si>
  <si>
    <t>2268159810002656</t>
  </si>
  <si>
    <t>9780806114910</t>
  </si>
  <si>
    <t>32285001587442</t>
  </si>
  <si>
    <t>893891844</t>
  </si>
  <si>
    <t>RA645.H4 W65 1993</t>
  </si>
  <si>
    <t>0                      RA 0645000H  4                  W  65          1993</t>
  </si>
  <si>
    <t>The power of clan : the influence of human relationships on heart disease / Stewart Wolf, John G. Bruhn ; with the collaboration of Brenda P. Egolf, Judith N. Lasker, Billy U. Philips ; photographs by Remsen Wolff.</t>
  </si>
  <si>
    <t>Wolf, Stewart, 1914-2005.</t>
  </si>
  <si>
    <t>New Brunswick, N.J. U.S.A.. : Transaction Publishers, 1993.</t>
  </si>
  <si>
    <t>1996-11-11</t>
  </si>
  <si>
    <t>1992-10-27</t>
  </si>
  <si>
    <t>26918340:eng</t>
  </si>
  <si>
    <t>24871600</t>
  </si>
  <si>
    <t>991001963139702656</t>
  </si>
  <si>
    <t>2262699280002656</t>
  </si>
  <si>
    <t>9781560000433</t>
  </si>
  <si>
    <t>32285001319713</t>
  </si>
  <si>
    <t>893773066</t>
  </si>
  <si>
    <t>RA645.N87 M35</t>
  </si>
  <si>
    <t>0                      RA 0645000N  87                 M  35</t>
  </si>
  <si>
    <t>Malnutrition, behavior, and social organization / edited by Lawrence S. Greene.</t>
  </si>
  <si>
    <t>54176410:eng</t>
  </si>
  <si>
    <t>3120837</t>
  </si>
  <si>
    <t>991004351569702656</t>
  </si>
  <si>
    <t>2263852020002656</t>
  </si>
  <si>
    <t>9780122980503</t>
  </si>
  <si>
    <t>32285003083655</t>
  </si>
  <si>
    <t>893325263</t>
  </si>
  <si>
    <t>RA648.3 .S38 1995</t>
  </si>
  <si>
    <t>0                      RA 0648300S  38          1995</t>
  </si>
  <si>
    <t>Effects of atomic radiation : a half-century of studies from Hiroshima and Nagasaki / William J. Schull.</t>
  </si>
  <si>
    <t>Schull, William J.</t>
  </si>
  <si>
    <t>New York : Wiley-Liss, c1995.</t>
  </si>
  <si>
    <t>1997-10-11</t>
  </si>
  <si>
    <t>1996-04-10</t>
  </si>
  <si>
    <t>328234046:eng</t>
  </si>
  <si>
    <t>32431851</t>
  </si>
  <si>
    <t>991002492999702656</t>
  </si>
  <si>
    <t>2256983540002656</t>
  </si>
  <si>
    <t>9780471125242</t>
  </si>
  <si>
    <t>32285002151214</t>
  </si>
  <si>
    <t>893535034</t>
  </si>
  <si>
    <t>RA649.5.P48 A3 1997</t>
  </si>
  <si>
    <t>0                      RA 0649500P  48                 A  3           1997</t>
  </si>
  <si>
    <t>Virus hunter : thirty years of battling hot viruses around the world / C.J. Peters and Mark Olshaker.</t>
  </si>
  <si>
    <t>Peters, C. J.</t>
  </si>
  <si>
    <t>New York : Anchor Books, 1997.</t>
  </si>
  <si>
    <t>1st Anchor Books ed.</t>
  </si>
  <si>
    <t>2000-02-09</t>
  </si>
  <si>
    <t>1997-07-18</t>
  </si>
  <si>
    <t>535851:eng</t>
  </si>
  <si>
    <t>36178973</t>
  </si>
  <si>
    <t>991002758479702656</t>
  </si>
  <si>
    <t>2263031610002656</t>
  </si>
  <si>
    <t>9780385485579</t>
  </si>
  <si>
    <t>32285002883154</t>
  </si>
  <si>
    <t>893535178</t>
  </si>
  <si>
    <t>RA650.5 .L83 1984</t>
  </si>
  <si>
    <t>0                      RA 0650500L  83          1984</t>
  </si>
  <si>
    <t>Epidemic in the Southwest, 1918-1919 / by Bradford Luckingham.</t>
  </si>
  <si>
    <t>Luckingham, Bradford.</t>
  </si>
  <si>
    <t>[El Paso] : Texas Western Press, c1984.</t>
  </si>
  <si>
    <t>txu</t>
  </si>
  <si>
    <t>Southwestern studies ; monograph no. 72</t>
  </si>
  <si>
    <t>2000-05-05</t>
  </si>
  <si>
    <t>3349533:eng</t>
  </si>
  <si>
    <t>10588828</t>
  </si>
  <si>
    <t>991005403969702656</t>
  </si>
  <si>
    <t>2260810510002656</t>
  </si>
  <si>
    <t>9780874041484</t>
  </si>
  <si>
    <t>32285001587467</t>
  </si>
  <si>
    <t>893332908</t>
  </si>
  <si>
    <t>RA650.8.T8 G34 1983</t>
  </si>
  <si>
    <t>0                      RA 0650800T  8                  G  34          1983</t>
  </si>
  <si>
    <t>Medicine and power in Tunisia, 1780-1900 / Nancy Elizabeth Gallagher.</t>
  </si>
  <si>
    <t>Gallagher, Nancy Elizabeth, 1942-</t>
  </si>
  <si>
    <t>Cambridge ; New York : Cambridge University Press, 1983.</t>
  </si>
  <si>
    <t>Cambridge Middle Eastern studies</t>
  </si>
  <si>
    <t>42836505:eng</t>
  </si>
  <si>
    <t>9043296</t>
  </si>
  <si>
    <t>991000117149702656</t>
  </si>
  <si>
    <t>2266651050002656</t>
  </si>
  <si>
    <t>9780521251242</t>
  </si>
  <si>
    <t>32285001587483</t>
  </si>
  <si>
    <t>893495928</t>
  </si>
  <si>
    <t>RA651 .B53</t>
  </si>
  <si>
    <t>0                      RA 0651000B  53</t>
  </si>
  <si>
    <t>Biocultural aspects of disease / edited by Henry Rothschild ; coordinating editor Charles F. Chapman.</t>
  </si>
  <si>
    <t>New York : Academic Press, 1981.</t>
  </si>
  <si>
    <t>2001-03-12</t>
  </si>
  <si>
    <t>195356770:eng</t>
  </si>
  <si>
    <t>7737536</t>
  </si>
  <si>
    <t>991005153989702656</t>
  </si>
  <si>
    <t>2259598650002656</t>
  </si>
  <si>
    <t>9780125987202</t>
  </si>
  <si>
    <t>32285001587491</t>
  </si>
  <si>
    <t>893520525</t>
  </si>
  <si>
    <t>RA651 .C32 1988</t>
  </si>
  <si>
    <t>0                      RA 0651000C  32          1988</t>
  </si>
  <si>
    <t>The Challenge of epidemiology : issues and selected readings / discussed and compiled by Carol Buck ... [et al.].</t>
  </si>
  <si>
    <t>Washington, D.C. : Pan American Health Organization, Pan American Sanitary Bureau, Regional Office of the World Health Organization, 1988.</t>
  </si>
  <si>
    <t>Scientific publication ; no. 505</t>
  </si>
  <si>
    <t>2005-11-01</t>
  </si>
  <si>
    <t>1991-10-16</t>
  </si>
  <si>
    <t>281199002:eng</t>
  </si>
  <si>
    <t>18104546</t>
  </si>
  <si>
    <t>991001304329702656</t>
  </si>
  <si>
    <t>2259030800002656</t>
  </si>
  <si>
    <t>9789275115053</t>
  </si>
  <si>
    <t>32285005139687</t>
  </si>
  <si>
    <t>893522486</t>
  </si>
  <si>
    <t>RA651 .C64 1993</t>
  </si>
  <si>
    <t>0                      RA 0651000C  64          1993</t>
  </si>
  <si>
    <t>Epidemiology for the uninitiated / D. Coggon, Geoffrey Rose, D.J.P. Barker.</t>
  </si>
  <si>
    <t>Coggon, D. (David), Dr.</t>
  </si>
  <si>
    <t>London : British Medical Journal, 1993.</t>
  </si>
  <si>
    <t>2005-09-29</t>
  </si>
  <si>
    <t>1995-01-17</t>
  </si>
  <si>
    <t>67621387:eng</t>
  </si>
  <si>
    <t>28684119</t>
  </si>
  <si>
    <t>991002226739702656</t>
  </si>
  <si>
    <t>2254989750002656</t>
  </si>
  <si>
    <t>9780727907707</t>
  </si>
  <si>
    <t>32285001992998</t>
  </si>
  <si>
    <t>893262161</t>
  </si>
  <si>
    <t>RA651 .F65</t>
  </si>
  <si>
    <t>0                      RA 0651000F  65</t>
  </si>
  <si>
    <t>Epidemiology; man and disease [by] John P. Fox, Carrie E. Hall [and] Lila R. Elveback.</t>
  </si>
  <si>
    <t>Fox, John P., 1908-</t>
  </si>
  <si>
    <t>[New York] Macmillan [1970]</t>
  </si>
  <si>
    <t>1970</t>
  </si>
  <si>
    <t>398493:eng</t>
  </si>
  <si>
    <t>55684</t>
  </si>
  <si>
    <t>991005202519702656</t>
  </si>
  <si>
    <t>2258213910002656</t>
  </si>
  <si>
    <t>9780023391705</t>
  </si>
  <si>
    <t>32285003083671</t>
  </si>
  <si>
    <t>893807992</t>
  </si>
  <si>
    <t>RA651 .F68</t>
  </si>
  <si>
    <t>0                      RA 0651000F  68</t>
  </si>
  <si>
    <t>Primer of epidemiology / [by] Gary D. Friedman.</t>
  </si>
  <si>
    <t>Friedman, Gary D., 1934-</t>
  </si>
  <si>
    <t>New York : McGraw-Hill, [1974]</t>
  </si>
  <si>
    <t>1994-06-29</t>
  </si>
  <si>
    <t>1609799:eng</t>
  </si>
  <si>
    <t>754474</t>
  </si>
  <si>
    <t>991005202509702656</t>
  </si>
  <si>
    <t>2267541740002656</t>
  </si>
  <si>
    <t>9780070224254</t>
  </si>
  <si>
    <t>32285001929834</t>
  </si>
  <si>
    <t>893418540</t>
  </si>
  <si>
    <t>RA651 .M24 1970</t>
  </si>
  <si>
    <t>0                      RA 0651000M  24          1970</t>
  </si>
  <si>
    <t>Epidemiology; principles and methods [by] Brian MacMahon [and] Thomas F. Pugh.</t>
  </si>
  <si>
    <t>MacMahon, Brian, 1923-2007.</t>
  </si>
  <si>
    <t>Boston, Little, Brown [1970]</t>
  </si>
  <si>
    <t>203310693:eng</t>
  </si>
  <si>
    <t>101510</t>
  </si>
  <si>
    <t>991005202539702656</t>
  </si>
  <si>
    <t>2261311930002656</t>
  </si>
  <si>
    <t>9780700001972</t>
  </si>
  <si>
    <t>32285003083689</t>
  </si>
  <si>
    <t>893443577</t>
  </si>
  <si>
    <t>RA651 .W5 1980</t>
  </si>
  <si>
    <t>0                      RA 0651000W  5           1980</t>
  </si>
  <si>
    <t>The conquest of epidemic disease : a chapter in the history of ideas / Charles-Edward Amery Winslow.</t>
  </si>
  <si>
    <t>Winslow, C.-E. A. (Charles-Edward Amory), 1877-1957.</t>
  </si>
  <si>
    <t>Madison : University of Wisconsin Press, 1980, c1971.</t>
  </si>
  <si>
    <t>1992-07-16</t>
  </si>
  <si>
    <t>434436:eng</t>
  </si>
  <si>
    <t>9756831</t>
  </si>
  <si>
    <t>991005008949702656</t>
  </si>
  <si>
    <t>2258977440002656</t>
  </si>
  <si>
    <t>9780299082406</t>
  </si>
  <si>
    <t>32285001154037</t>
  </si>
  <si>
    <t>893418261</t>
  </si>
  <si>
    <t>RA652.2.M3 F72 1980</t>
  </si>
  <si>
    <t>0                      RA 0652200M  3                  F  72          1980</t>
  </si>
  <si>
    <t>Mathematical modeling in epidemiology / J. C. Frauenthal.</t>
  </si>
  <si>
    <t>Frauenthal, J. C., 1944-</t>
  </si>
  <si>
    <t>Berlin ; New York : Springer-Verlag, 1980.</t>
  </si>
  <si>
    <t xml:space="preserve">gw </t>
  </si>
  <si>
    <t>Universitext</t>
  </si>
  <si>
    <t>1993-03-16</t>
  </si>
  <si>
    <t>457355:eng</t>
  </si>
  <si>
    <t>6649671</t>
  </si>
  <si>
    <t>991005021049702656</t>
  </si>
  <si>
    <t>2265962640002656</t>
  </si>
  <si>
    <t>9780387103280</t>
  </si>
  <si>
    <t>32285001588044</t>
  </si>
  <si>
    <t>893248221</t>
  </si>
  <si>
    <t>RA652.5 .M65 1993</t>
  </si>
  <si>
    <t>0                      RA 0652500M  65          1993</t>
  </si>
  <si>
    <t>Molecular epidemiology : principles and practices / edited by Paul A. Schulte, Frederica P. Perera.</t>
  </si>
  <si>
    <t>San Diego : Academic Press, c1993.</t>
  </si>
  <si>
    <t>1998-04-20</t>
  </si>
  <si>
    <t>836745751:eng</t>
  </si>
  <si>
    <t>26396497</t>
  </si>
  <si>
    <t>991002062099702656</t>
  </si>
  <si>
    <t>2256974450002656</t>
  </si>
  <si>
    <t>9780126323450</t>
  </si>
  <si>
    <t>32285001840460</t>
  </si>
  <si>
    <t>893721259</t>
  </si>
  <si>
    <t>RA718.17 .K5 1992</t>
  </si>
  <si>
    <t>0                      RA 0718170K  5           1992</t>
  </si>
  <si>
    <t>Aqua aerobics; a scientific approach / by Tom Kinder, Julie See ; Jennifer Phillips Webster, illustrator.</t>
  </si>
  <si>
    <t>Kinder, Tom.</t>
  </si>
  <si>
    <t>Dubuque, IA : Eddie Bowers Publishing, Inc., 1992.</t>
  </si>
  <si>
    <t>1996-11-19</t>
  </si>
  <si>
    <t>1993-03-24</t>
  </si>
  <si>
    <t>476391764:eng</t>
  </si>
  <si>
    <t>26379915</t>
  </si>
  <si>
    <t>991002061259702656</t>
  </si>
  <si>
    <t>2266929460002656</t>
  </si>
  <si>
    <t>32285001498483</t>
  </si>
  <si>
    <t>893256820</t>
  </si>
  <si>
    <t>RA772.N7 B8 1973b</t>
  </si>
  <si>
    <t>0                      RA 0772000N  7                  B  8           1973b</t>
  </si>
  <si>
    <t>Noise and man.</t>
  </si>
  <si>
    <t>Burns, William, 1909-2004.</t>
  </si>
  <si>
    <t>Philadelphia : Lippincott, [1973]</t>
  </si>
  <si>
    <t>[2d ed.]</t>
  </si>
  <si>
    <t>2002-06-11</t>
  </si>
  <si>
    <t>1993-05-21</t>
  </si>
  <si>
    <t>66003414:eng</t>
  </si>
  <si>
    <t>787458</t>
  </si>
  <si>
    <t>991003261159702656</t>
  </si>
  <si>
    <t>2264735570002656</t>
  </si>
  <si>
    <t>9780397580989</t>
  </si>
  <si>
    <t>32285001690451</t>
  </si>
  <si>
    <t>893410095</t>
  </si>
  <si>
    <t>RA772.N7 E3</t>
  </si>
  <si>
    <t>0                      RA 0772000N  7                  E  3</t>
  </si>
  <si>
    <t>Effects of noise on hearing / edited by Donald Henderson ... [et al.].</t>
  </si>
  <si>
    <t>New York : Raven Press, c1976.</t>
  </si>
  <si>
    <t>2003-09-30</t>
  </si>
  <si>
    <t>356294444:eng</t>
  </si>
  <si>
    <t>2383879</t>
  </si>
  <si>
    <t>991005253249702656</t>
  </si>
  <si>
    <t>2254984750002656</t>
  </si>
  <si>
    <t>9780890040126</t>
  </si>
  <si>
    <t>32285001690444</t>
  </si>
  <si>
    <t>893254718</t>
  </si>
  <si>
    <t>RA772.N7 R7</t>
  </si>
  <si>
    <t>0                      RA 0772000N  7                  R  7</t>
  </si>
  <si>
    <t>Noise and society [by] M. Rodda.</t>
  </si>
  <si>
    <t>Rodda, Michael.</t>
  </si>
  <si>
    <t>Edinburgh, London, Oliver &amp; Boyd, 1967.</t>
  </si>
  <si>
    <t>stk</t>
  </si>
  <si>
    <t>Contemporary science paperbacks ; no. 5</t>
  </si>
  <si>
    <t>1655105:eng</t>
  </si>
  <si>
    <t>764864</t>
  </si>
  <si>
    <t>991003241899702656</t>
  </si>
  <si>
    <t>2268434160002656</t>
  </si>
  <si>
    <t>32285003083713</t>
  </si>
  <si>
    <t>893717460</t>
  </si>
  <si>
    <t>RA776 .A636 1982</t>
  </si>
  <si>
    <t>0                      RA 0776000A  636         1982</t>
  </si>
  <si>
    <t>Planning for wellness : a guidebook for achieving optimal health / Donald B. Ardell and Mark J. Tager ; illustrated by Nancy Olson.</t>
  </si>
  <si>
    <t>Ardell, Donald B.</t>
  </si>
  <si>
    <t>Dubuque, Iowa : Kendall/Hunt, 1982.</t>
  </si>
  <si>
    <t>1996-11-05</t>
  </si>
  <si>
    <t>1992-04-07</t>
  </si>
  <si>
    <t>30248697:eng</t>
  </si>
  <si>
    <t>8841093</t>
  </si>
  <si>
    <t>991000081579702656</t>
  </si>
  <si>
    <t>2258520890002656</t>
  </si>
  <si>
    <t>9780840327178</t>
  </si>
  <si>
    <t>32285001055630</t>
  </si>
  <si>
    <t>893896597</t>
  </si>
  <si>
    <t>RA776 .C75 1988</t>
  </si>
  <si>
    <t>0                      RA 0776000C  75          1988</t>
  </si>
  <si>
    <t>The Complete manual of fitness and well-being.</t>
  </si>
  <si>
    <t>Pleasantville, N.Y. : Reader's Digest Association, c1988.</t>
  </si>
  <si>
    <t>Rev. ed.</t>
  </si>
  <si>
    <t>1997-11-21</t>
  </si>
  <si>
    <t>54951000:eng</t>
  </si>
  <si>
    <t>15632073</t>
  </si>
  <si>
    <t>991001049039702656</t>
  </si>
  <si>
    <t>2263949000002656</t>
  </si>
  <si>
    <t>9780895772701</t>
  </si>
  <si>
    <t>32285003272506</t>
  </si>
  <si>
    <t>893778510</t>
  </si>
  <si>
    <t>RA776 .Y64 1987</t>
  </si>
  <si>
    <t>0                      RA 0776000Y  64          1987</t>
  </si>
  <si>
    <t>Your good health : how to stay well, and what to do when you're not / edited by William I. Bennett, Stephen E. Goldfinger, G. Timothy Johnson.</t>
  </si>
  <si>
    <t>Cambridge, Mass. : Harvard University Press, 1987.</t>
  </si>
  <si>
    <t>2005-03-03</t>
  </si>
  <si>
    <t>1993-04-21</t>
  </si>
  <si>
    <t>430838836:eng</t>
  </si>
  <si>
    <t>16226742</t>
  </si>
  <si>
    <t>991001093159702656</t>
  </si>
  <si>
    <t>2266376790002656</t>
  </si>
  <si>
    <t>9780674966314</t>
  </si>
  <si>
    <t>32285001622975</t>
  </si>
  <si>
    <t>893327871</t>
  </si>
  <si>
    <t>RA776.5 .G65</t>
  </si>
  <si>
    <t>0                      RA 0776500G  65</t>
  </si>
  <si>
    <t>Executive health : how to recognize health danger signals and manage stress successfully / by Philip Goldberg.</t>
  </si>
  <si>
    <t>Goldberg, Philip, 1944-</t>
  </si>
  <si>
    <t>New York : Business Week, McGraw-Hill, c1978.</t>
  </si>
  <si>
    <t>2006-03-29</t>
  </si>
  <si>
    <t>3902620966:eng</t>
  </si>
  <si>
    <t>3843499</t>
  </si>
  <si>
    <t>991004525929702656</t>
  </si>
  <si>
    <t>2266402540002656</t>
  </si>
  <si>
    <t>9780070236479</t>
  </si>
  <si>
    <t>32285001587558</t>
  </si>
  <si>
    <t>893350120</t>
  </si>
  <si>
    <t>RA776.5 .H35</t>
  </si>
  <si>
    <t>0                      RA 0776500H  35</t>
  </si>
  <si>
    <t>Everything you've always wanted to know about energy, but were too weak to ask / Naura Hayden.</t>
  </si>
  <si>
    <t>Hayden, Naura.</t>
  </si>
  <si>
    <t>New York : Hawthorn Books, c1976.</t>
  </si>
  <si>
    <t>1993-04-20</t>
  </si>
  <si>
    <t>1992-05-21</t>
  </si>
  <si>
    <t>383650:eng</t>
  </si>
  <si>
    <t>2517705</t>
  </si>
  <si>
    <t>991004148209702656</t>
  </si>
  <si>
    <t>2258163920002656</t>
  </si>
  <si>
    <t>9780801585739</t>
  </si>
  <si>
    <t>32285001112738</t>
  </si>
  <si>
    <t>893535833</t>
  </si>
  <si>
    <t>RA778 .B645 1994</t>
  </si>
  <si>
    <t>0                      RA 0778000B  645         1994</t>
  </si>
  <si>
    <t>The Black women's health book : speaking for ourselves / edited by Evelyn C. White.</t>
  </si>
  <si>
    <t>Seattle, Wash. : Seal, c1994.</t>
  </si>
  <si>
    <t>New, expanded ed., rev. ed.</t>
  </si>
  <si>
    <t>wau</t>
  </si>
  <si>
    <t>1996-01-23</t>
  </si>
  <si>
    <t>1994-08-03</t>
  </si>
  <si>
    <t>2070283057:eng</t>
  </si>
  <si>
    <t>28583646</t>
  </si>
  <si>
    <t>991002218539702656</t>
  </si>
  <si>
    <t>2258376910002656</t>
  </si>
  <si>
    <t>9781878067401</t>
  </si>
  <si>
    <t>32285001941102</t>
  </si>
  <si>
    <t>893609588</t>
  </si>
  <si>
    <t>RA778 .B795</t>
  </si>
  <si>
    <t>0                      RA 0778000B  795</t>
  </si>
  <si>
    <t>Things a lady would like to know concerning health &amp; beauty / compiled, edited &amp; designed by Michael Brett.</t>
  </si>
  <si>
    <t>Brett, Michael, 1907-1974.</t>
  </si>
  <si>
    <t>London : Hutchinson, 1970.</t>
  </si>
  <si>
    <t>1994-11-16</t>
  </si>
  <si>
    <t>1994-02-22</t>
  </si>
  <si>
    <t>5608985518:eng</t>
  </si>
  <si>
    <t>127458</t>
  </si>
  <si>
    <t>991000725289702656</t>
  </si>
  <si>
    <t>2261020870002656</t>
  </si>
  <si>
    <t>9780091043315</t>
  </si>
  <si>
    <t>32285001838993</t>
  </si>
  <si>
    <t>893614448</t>
  </si>
  <si>
    <t>RA778 .C759 1996</t>
  </si>
  <si>
    <t>0                      RA 0778000C  759         1996</t>
  </si>
  <si>
    <t>First impressions : tips to enhance your image / Joni Craighead.</t>
  </si>
  <si>
    <t>Craighead, Joni, 1954-</t>
  </si>
  <si>
    <t>Omaha, Neb. : Addicus Books, c1996.</t>
  </si>
  <si>
    <t>nbu</t>
  </si>
  <si>
    <t>2007-11-07</t>
  </si>
  <si>
    <t>2003-01-13</t>
  </si>
  <si>
    <t>837063760:eng</t>
  </si>
  <si>
    <t>35121715</t>
  </si>
  <si>
    <t>991003962019702656</t>
  </si>
  <si>
    <t>2258605630002656</t>
  </si>
  <si>
    <t>9781886039261</t>
  </si>
  <si>
    <t>32285004693916</t>
  </si>
  <si>
    <t>893875523</t>
  </si>
  <si>
    <t>RA778 .L867 1984</t>
  </si>
  <si>
    <t>0                      RA 0778000L  867         1984</t>
  </si>
  <si>
    <t>Women &amp; beauty / by Sophia Loren.</t>
  </si>
  <si>
    <t>Loren, Sophia, 1934-</t>
  </si>
  <si>
    <t>New York : Morrow, c1984.</t>
  </si>
  <si>
    <t>2009-07-24</t>
  </si>
  <si>
    <t>1990-02-02</t>
  </si>
  <si>
    <t>3987716:eng</t>
  </si>
  <si>
    <t>11129217</t>
  </si>
  <si>
    <t>991000494189702656</t>
  </si>
  <si>
    <t>2259863680002656</t>
  </si>
  <si>
    <t>9780688013943</t>
  </si>
  <si>
    <t>32285000032432</t>
  </si>
  <si>
    <t>893896925</t>
  </si>
  <si>
    <t>RA778 .S48 1963</t>
  </si>
  <si>
    <t>0                      RA 0778000S  48          1963</t>
  </si>
  <si>
    <t>Over 50--so what! / by Hildegarde [pseud.] with Adele Whitely Fletcher.</t>
  </si>
  <si>
    <t>Hildegarde, 1906-2005.</t>
  </si>
  <si>
    <t>Garden City, N. Y. : Doubleday, 1963, c1962.</t>
  </si>
  <si>
    <t>49031320:eng</t>
  </si>
  <si>
    <t>1432951</t>
  </si>
  <si>
    <t>991003753919702656</t>
  </si>
  <si>
    <t>2268843240002656</t>
  </si>
  <si>
    <t>32285001587608</t>
  </si>
  <si>
    <t>893868810</t>
  </si>
  <si>
    <t>RA778 .W72 1985</t>
  </si>
  <si>
    <t>0                      RA 0778000W  72          1985</t>
  </si>
  <si>
    <t>Women, health, and healing : toward a new perspective / edited by Ellen Lewin and Virginia Olesen.</t>
  </si>
  <si>
    <t>New York : Tavistock Publications, 1985.</t>
  </si>
  <si>
    <t>Contemporary issues in health, medicine, and social policy</t>
  </si>
  <si>
    <t>2002-04-17</t>
  </si>
  <si>
    <t>1992-09-03</t>
  </si>
  <si>
    <t>836677653:eng</t>
  </si>
  <si>
    <t>11158791</t>
  </si>
  <si>
    <t>991000498199702656</t>
  </si>
  <si>
    <t>2255197700002656</t>
  </si>
  <si>
    <t>9780422780308</t>
  </si>
  <si>
    <t>32285001279115</t>
  </si>
  <si>
    <t>893702173</t>
  </si>
  <si>
    <t>RA781 .B4413 1977</t>
  </si>
  <si>
    <t>0                      RA 0781000B  4413        1977</t>
  </si>
  <si>
    <t>The body has its reasons : anti-exercises and self-awareness / Thérèse Bertherat and Carol Bernstein ; translated from the French.</t>
  </si>
  <si>
    <t>Bertherat, Thérèse.</t>
  </si>
  <si>
    <t>New York : Pantheon Books, c1977.</t>
  </si>
  <si>
    <t>1st American ed.</t>
  </si>
  <si>
    <t>1995-07-03</t>
  </si>
  <si>
    <t>1150908914:eng</t>
  </si>
  <si>
    <t>2984657</t>
  </si>
  <si>
    <t>991004307909702656</t>
  </si>
  <si>
    <t>2258368790002656</t>
  </si>
  <si>
    <t>9780394411347</t>
  </si>
  <si>
    <t>32285001587616</t>
  </si>
  <si>
    <t>893442467</t>
  </si>
  <si>
    <t>RA781 .G36</t>
  </si>
  <si>
    <t>0                      RA 0781000G  36</t>
  </si>
  <si>
    <t>Fitness and figure control : the creation of you / Linda Garrison, Phyllis Leslie, Deborah Blackmore.</t>
  </si>
  <si>
    <t>Garrison, Linda.</t>
  </si>
  <si>
    <t>Palo Alto, Calif. : Mayfield Pub. Co., 1974.</t>
  </si>
  <si>
    <t>2006-04-23</t>
  </si>
  <si>
    <t>1992-04-06</t>
  </si>
  <si>
    <t>2124461:eng</t>
  </si>
  <si>
    <t>1177238</t>
  </si>
  <si>
    <t>991003600299702656</t>
  </si>
  <si>
    <t>2264696310002656</t>
  </si>
  <si>
    <t>9780874842463</t>
  </si>
  <si>
    <t>32285001049609</t>
  </si>
  <si>
    <t>893330541</t>
  </si>
  <si>
    <t>RA781 .H476</t>
  </si>
  <si>
    <t>0                      RA 0781000H  476</t>
  </si>
  <si>
    <t>The articulate body / Sidi Hessel ; designed and illustrated by the author ; photos. by Jack Mitchell.</t>
  </si>
  <si>
    <t>Hessel, Sidi.</t>
  </si>
  <si>
    <t>New York : St. Martin's Press, c1978.</t>
  </si>
  <si>
    <t>1994-09-28</t>
  </si>
  <si>
    <t>441601:eng</t>
  </si>
  <si>
    <t>3711045</t>
  </si>
  <si>
    <t>991004500049702656</t>
  </si>
  <si>
    <t>2263493550002656</t>
  </si>
  <si>
    <t>9780312054830</t>
  </si>
  <si>
    <t>32285001383941</t>
  </si>
  <si>
    <t>893343908</t>
  </si>
  <si>
    <t>RA781 .I78 1978</t>
  </si>
  <si>
    <t>0                      RA 0781000I  78          1978</t>
  </si>
  <si>
    <t>What it takes to feel good : the Nickolaus technique / Benno Isaacs and Jay Kobler ; introd. by Richard Nickolaus ; foreword by Leon Root.</t>
  </si>
  <si>
    <t>Isaacs, Benno.</t>
  </si>
  <si>
    <t>New York : Viking Press, 1978.</t>
  </si>
  <si>
    <t>2002-12-10</t>
  </si>
  <si>
    <t>13348509:eng</t>
  </si>
  <si>
    <t>3845127</t>
  </si>
  <si>
    <t>991003958569702656</t>
  </si>
  <si>
    <t>2262607730002656</t>
  </si>
  <si>
    <t>9780670758241</t>
  </si>
  <si>
    <t>32285004669460</t>
  </si>
  <si>
    <t>893705832</t>
  </si>
  <si>
    <t>RA781 .J28 1982</t>
  </si>
  <si>
    <t>0                      RA 0781000J  28          1982</t>
  </si>
  <si>
    <t>Exercises for the elderly / Robert H. Jamieson.</t>
  </si>
  <si>
    <t>Jamieson, Robert H.</t>
  </si>
  <si>
    <t>Verplanck, N.Y. : Emerson Books, 1982.</t>
  </si>
  <si>
    <t>1994-11-19</t>
  </si>
  <si>
    <t>531547:eng</t>
  </si>
  <si>
    <t>8379362</t>
  </si>
  <si>
    <t>991005235759702656</t>
  </si>
  <si>
    <t>2262306000002656</t>
  </si>
  <si>
    <t>9780875231983</t>
  </si>
  <si>
    <t>32285001587863</t>
  </si>
  <si>
    <t>893808049</t>
  </si>
  <si>
    <t>RA781 .K598 1971</t>
  </si>
  <si>
    <t>0                      RA 0781000K  598         1971</t>
  </si>
  <si>
    <t>The joy of feeling fit [by] Nicholas Kounovsky.</t>
  </si>
  <si>
    <t>Kounovsky, Nicholas Alexis, 1913-</t>
  </si>
  <si>
    <t>New York, E. P. Dutton, 1971.</t>
  </si>
  <si>
    <t>1971</t>
  </si>
  <si>
    <t>1315177:eng</t>
  </si>
  <si>
    <t>143543</t>
  </si>
  <si>
    <t>991000818079702656</t>
  </si>
  <si>
    <t>2256612200002656</t>
  </si>
  <si>
    <t>9780525137627</t>
  </si>
  <si>
    <t>32285001069326</t>
  </si>
  <si>
    <t>893231437</t>
  </si>
  <si>
    <t>RA781 .L63 1977</t>
  </si>
  <si>
    <t>0                      RA 0781000L  63          1977</t>
  </si>
  <si>
    <t>The way to vibrant health : a manual of bioenergetic exercises / Alexander Lowen, Leslie Lowen ; ill. by Walter Skalecki.</t>
  </si>
  <si>
    <t>Lowen, Alexander, 1910-2008.</t>
  </si>
  <si>
    <t>New York : Harper &amp; Row, 1977.</t>
  </si>
  <si>
    <t>Harper colophon books ; CN 542</t>
  </si>
  <si>
    <t>2005-01-13</t>
  </si>
  <si>
    <t>881537:eng</t>
  </si>
  <si>
    <t>3169440</t>
  </si>
  <si>
    <t>991004365769702656</t>
  </si>
  <si>
    <t>2263240330002656</t>
  </si>
  <si>
    <t>9780060905422</t>
  </si>
  <si>
    <t>32285003083739</t>
  </si>
  <si>
    <t>893800894</t>
  </si>
  <si>
    <t>RA781 .M399 1985</t>
  </si>
  <si>
    <t>0                      RA 0781000M  399         1985</t>
  </si>
  <si>
    <t>A commitment to fitness / Karen S. Mazzeo.</t>
  </si>
  <si>
    <t>Mazzeo, Karen S.</t>
  </si>
  <si>
    <t>Englewood, Colo. : Morton, c1985.</t>
  </si>
  <si>
    <t>2004-09-27</t>
  </si>
  <si>
    <t>1990-04-04</t>
  </si>
  <si>
    <t>4826712:eng</t>
  </si>
  <si>
    <t>12254863</t>
  </si>
  <si>
    <t>991000661969702656</t>
  </si>
  <si>
    <t>2270178470002656</t>
  </si>
  <si>
    <t>9780895821317</t>
  </si>
  <si>
    <t>32285000110048</t>
  </si>
  <si>
    <t>893620677</t>
  </si>
  <si>
    <t>RA781 .M453 1988</t>
  </si>
  <si>
    <t>0                      RA 0781000M  453         1988</t>
  </si>
  <si>
    <t>Exercise and physical fitness : a personalized approach / by Christopher L. Melby, Gerald C. Hyner.</t>
  </si>
  <si>
    <t>Melby, Christopher L.</t>
  </si>
  <si>
    <t>Dubuque, Iowa : Eddie Bowers, c1988.</t>
  </si>
  <si>
    <t>16587902:eng</t>
  </si>
  <si>
    <t>17723355</t>
  </si>
  <si>
    <t>991001253649702656</t>
  </si>
  <si>
    <t>2270338280002656</t>
  </si>
  <si>
    <t>9780912855837</t>
  </si>
  <si>
    <t>32285000058585</t>
  </si>
  <si>
    <t>893439007</t>
  </si>
  <si>
    <t>RA781 .P64 1986</t>
  </si>
  <si>
    <t>0                      RA 0781000P  64          1986</t>
  </si>
  <si>
    <t>Lifetime fitness for lifetime activities / Virginia Politino, Mickie R. McCormick, and James E. Klein, Jr.</t>
  </si>
  <si>
    <t>Politano, Virginia, 1941-</t>
  </si>
  <si>
    <t>Dubuque, Iowa : Kendall/Hunt, c1986.</t>
  </si>
  <si>
    <t>1996-10-26</t>
  </si>
  <si>
    <t>1990-06-18</t>
  </si>
  <si>
    <t>2219523215:eng</t>
  </si>
  <si>
    <t>14867855</t>
  </si>
  <si>
    <t>991000962679702656</t>
  </si>
  <si>
    <t>2262091350002656</t>
  </si>
  <si>
    <t>9780840339119</t>
  </si>
  <si>
    <t>32285000198506</t>
  </si>
  <si>
    <t>893791035</t>
  </si>
  <si>
    <t>RA781 .R67 1990</t>
  </si>
  <si>
    <t>0                      RA 0781000R  67          1990</t>
  </si>
  <si>
    <t>Exercise concepts, calculations, and computer applications / Robert M. Ross, Andrew S. Jackson.</t>
  </si>
  <si>
    <t>Ross, Robert M., 1946-</t>
  </si>
  <si>
    <t>Carmel, IN. : Benchmark Press, Inc., 1990.</t>
  </si>
  <si>
    <t>1998-12-03</t>
  </si>
  <si>
    <t>1990-10-09</t>
  </si>
  <si>
    <t>22991469:eng</t>
  </si>
  <si>
    <t>22106429</t>
  </si>
  <si>
    <t>991001743509702656</t>
  </si>
  <si>
    <t>2262641950002656</t>
  </si>
  <si>
    <t>9780936157511</t>
  </si>
  <si>
    <t>32285000279934</t>
  </si>
  <si>
    <t>893803845</t>
  </si>
  <si>
    <t>RA781 .S44 1986</t>
  </si>
  <si>
    <t>0                      RA 0781000S  44          1986</t>
  </si>
  <si>
    <t>The value of physical activity / Vern Seefeldt and Paul Vogel.</t>
  </si>
  <si>
    <t>Seefeldt, Vern.</t>
  </si>
  <si>
    <t>Reston, Va. : American Alliance for Health, Physical Education, Recreation, and Dance, c1986.</t>
  </si>
  <si>
    <t>vau</t>
  </si>
  <si>
    <t>2003-04-03</t>
  </si>
  <si>
    <t>1992-12-22</t>
  </si>
  <si>
    <t>8514544:eng</t>
  </si>
  <si>
    <t>14868177</t>
  </si>
  <si>
    <t>991000962769702656</t>
  </si>
  <si>
    <t>2255037880002656</t>
  </si>
  <si>
    <t>9780883143360</t>
  </si>
  <si>
    <t>32285001469104</t>
  </si>
  <si>
    <t>893522163</t>
  </si>
  <si>
    <t>RA781 .S55</t>
  </si>
  <si>
    <t>0                      RA 0781000S  55</t>
  </si>
  <si>
    <t>Total woman's fitness guide / by Gail Shierman &amp; Christine Haycock.</t>
  </si>
  <si>
    <t>Shierman, Gail.</t>
  </si>
  <si>
    <t>Mountain View, Calif. : World Publications, c1979.</t>
  </si>
  <si>
    <t>1997-12-01</t>
  </si>
  <si>
    <t>4714431003:eng</t>
  </si>
  <si>
    <t>4494292</t>
  </si>
  <si>
    <t>991004651899702656</t>
  </si>
  <si>
    <t>2265465330002656</t>
  </si>
  <si>
    <t>9780890371633</t>
  </si>
  <si>
    <t>32285001587889</t>
  </si>
  <si>
    <t>893247818</t>
  </si>
  <si>
    <t>RA781 .S857 1988</t>
  </si>
  <si>
    <t>0                      RA 0781000S  857         1988</t>
  </si>
  <si>
    <t>Fitness, the new wave / Roberta Stokes, Alan C. Moore, Clancy Moore.</t>
  </si>
  <si>
    <t>Stokes, Roberta.</t>
  </si>
  <si>
    <t>Winston-Salem, N.C. : Hunter Textbooks, c1988.</t>
  </si>
  <si>
    <t>Rev. 2nd ed.</t>
  </si>
  <si>
    <t>1997-02-05</t>
  </si>
  <si>
    <t>1990-05-03</t>
  </si>
  <si>
    <t>54519718:eng</t>
  </si>
  <si>
    <t>20191365</t>
  </si>
  <si>
    <t>991001548799702656</t>
  </si>
  <si>
    <t>2260717650002656</t>
  </si>
  <si>
    <t>9780887250941</t>
  </si>
  <si>
    <t>32285000117811</t>
  </si>
  <si>
    <t>893503485</t>
  </si>
  <si>
    <t>RA781 .S86 1986</t>
  </si>
  <si>
    <t>0                      RA 0781000S  86          1986</t>
  </si>
  <si>
    <t>The University fitness program : aerobics, lifting, diet and nutrition / Sharon Stoll.</t>
  </si>
  <si>
    <t>Stoll, Sharon Kay.</t>
  </si>
  <si>
    <t>Moscow, Idaho : University of Idaho Press, 1986.</t>
  </si>
  <si>
    <t>1996-07-23</t>
  </si>
  <si>
    <t>9795333:eng</t>
  </si>
  <si>
    <t>15202393</t>
  </si>
  <si>
    <t>991001001449702656</t>
  </si>
  <si>
    <t>2254792330002656</t>
  </si>
  <si>
    <t>9780893011062</t>
  </si>
  <si>
    <t>32285000838499</t>
  </si>
  <si>
    <t>893589934</t>
  </si>
  <si>
    <t>RA781.15 .K86</t>
  </si>
  <si>
    <t>0                      RA 0781150K  86</t>
  </si>
  <si>
    <t>The complete guide to aerobic dancing / by Beth A. Kuntzleman and the editors of Consumer guide.</t>
  </si>
  <si>
    <t>Kuntzleman, Beth A.</t>
  </si>
  <si>
    <t>New York : Beekman House, c1979.</t>
  </si>
  <si>
    <t>2005-04-07</t>
  </si>
  <si>
    <t>17587445:eng</t>
  </si>
  <si>
    <t>6051195</t>
  </si>
  <si>
    <t>991004921839702656</t>
  </si>
  <si>
    <t>2270118350002656</t>
  </si>
  <si>
    <t>9780517294567</t>
  </si>
  <si>
    <t>32285000845445</t>
  </si>
  <si>
    <t>893443194</t>
  </si>
  <si>
    <t>RA781.15 .Y68 1987</t>
  </si>
  <si>
    <t>0                      RA 0781150Y  68          1987</t>
  </si>
  <si>
    <t>Let's train! / Lynda Young.</t>
  </si>
  <si>
    <t>Young, Lynda.</t>
  </si>
  <si>
    <t>Winston-Salem, N.C. : Hunter Textbooks, c1987.</t>
  </si>
  <si>
    <t>1992-10-09</t>
  </si>
  <si>
    <t>1990-08-06</t>
  </si>
  <si>
    <t>13060070:eng</t>
  </si>
  <si>
    <t>16750072</t>
  </si>
  <si>
    <t>991001141959702656</t>
  </si>
  <si>
    <t>2255318060002656</t>
  </si>
  <si>
    <t>9780887250804</t>
  </si>
  <si>
    <t>32285000242049</t>
  </si>
  <si>
    <t>893897561</t>
  </si>
  <si>
    <t>RA781.17 .K73 1985</t>
  </si>
  <si>
    <t>0                      RA 0781170K  73          1985</t>
  </si>
  <si>
    <t>HydroRobics : a water exercise program for individuals of all ages and fitness levels / Joseph A. Krasevec, Diane C. Grimes.</t>
  </si>
  <si>
    <t>Krasevec, Joseph A.</t>
  </si>
  <si>
    <t>Champaign, Ill. : Leisure Press, c1985.</t>
  </si>
  <si>
    <t>1999-09-15</t>
  </si>
  <si>
    <t>3202467:eng</t>
  </si>
  <si>
    <t>10422655</t>
  </si>
  <si>
    <t>991000369329702656</t>
  </si>
  <si>
    <t>2272261180002656</t>
  </si>
  <si>
    <t>9780880112666</t>
  </si>
  <si>
    <t>32285001003036</t>
  </si>
  <si>
    <t>893695775</t>
  </si>
  <si>
    <t>RA781.17 .K74 1989</t>
  </si>
  <si>
    <t>0                      RA 0781170K  74          1989</t>
  </si>
  <si>
    <t>Y's way to water exercise instructor's guide / Joseph A. Krasevec.</t>
  </si>
  <si>
    <t>Champaign, IL : Published for YMCA of the USA by Human Kinetics Publishers : May be purchased from the YMCA Program Store, c1989.</t>
  </si>
  <si>
    <t>18846032:eng</t>
  </si>
  <si>
    <t>18779601</t>
  </si>
  <si>
    <t>991001393269702656</t>
  </si>
  <si>
    <t>2256510850002656</t>
  </si>
  <si>
    <t>9780873222211</t>
  </si>
  <si>
    <t>32285001003028</t>
  </si>
  <si>
    <t>893432833</t>
  </si>
  <si>
    <t>RA784 .S36 1985</t>
  </si>
  <si>
    <t>0                      RA 0784000S  36          1985</t>
  </si>
  <si>
    <t>Living well naturally / Anthony J. Sattilaro with Tom Monte.</t>
  </si>
  <si>
    <t>Sattilaro, Anthony J.</t>
  </si>
  <si>
    <t>Boston : Houghton Mifflin, 1985, c1984.</t>
  </si>
  <si>
    <t>1991-03-11</t>
  </si>
  <si>
    <t>3560717:eng</t>
  </si>
  <si>
    <t>13017672</t>
  </si>
  <si>
    <t>991000771689702656</t>
  </si>
  <si>
    <t>2265070640002656</t>
  </si>
  <si>
    <t>9780395344224</t>
  </si>
  <si>
    <t>32285000535244</t>
  </si>
  <si>
    <t>893602055</t>
  </si>
  <si>
    <t>RA785 .B46 1976</t>
  </si>
  <si>
    <t>0                      RA 0785000B  46          1976</t>
  </si>
  <si>
    <t>The relaxation response / by Herbert Benson with Miriam Z. Klipper.</t>
  </si>
  <si>
    <t>Benson, Herbert, 1935-</t>
  </si>
  <si>
    <t>New York : Avon, [1976], c1975.</t>
  </si>
  <si>
    <t>2002-10-04</t>
  </si>
  <si>
    <t>1991-03-08</t>
  </si>
  <si>
    <t>341992:eng</t>
  </si>
  <si>
    <t>12882170</t>
  </si>
  <si>
    <t>991001005259702656</t>
  </si>
  <si>
    <t>2268867820002656</t>
  </si>
  <si>
    <t>32285000535343</t>
  </si>
  <si>
    <t>893351741</t>
  </si>
  <si>
    <t>RA785 .M39 1992</t>
  </si>
  <si>
    <t>0                      RA 0785000M  39          1992</t>
  </si>
  <si>
    <t>Calm down : a guide to stress and tension control / F.J. McGuigan.</t>
  </si>
  <si>
    <t>McGuigan, F. J. (Frank Joseph), 1924-1998.</t>
  </si>
  <si>
    <t>Dubugue, Iowa : Kendall/Hunt Pub., c1992.</t>
  </si>
  <si>
    <t>2009-03-25</t>
  </si>
  <si>
    <t>28568454:eng</t>
  </si>
  <si>
    <t>28586984</t>
  </si>
  <si>
    <t>991003206029702656</t>
  </si>
  <si>
    <t>2263456950002656</t>
  </si>
  <si>
    <t>9780840371720</t>
  </si>
  <si>
    <t>32285003689238</t>
  </si>
  <si>
    <t>893705010</t>
  </si>
  <si>
    <t>RA790 .B487 1983</t>
  </si>
  <si>
    <t>0                      RA 0790000B  487         1983</t>
  </si>
  <si>
    <t>Beyond health and normality : explorations of exceptional psychological well-being / edited by Roger Walsh, Deane H. Shapiro, Jr.</t>
  </si>
  <si>
    <t>New York : Van Nostrand Reinhold, c1983.</t>
  </si>
  <si>
    <t>1993-10-04</t>
  </si>
  <si>
    <t>1992-01-17</t>
  </si>
  <si>
    <t>1363348186:eng</t>
  </si>
  <si>
    <t>8452114</t>
  </si>
  <si>
    <t>991005245449702656</t>
  </si>
  <si>
    <t>2263024370002656</t>
  </si>
  <si>
    <t>9780442291730</t>
  </si>
  <si>
    <t>32285000915123</t>
  </si>
  <si>
    <t>893694976</t>
  </si>
  <si>
    <t>RA790 .C55</t>
  </si>
  <si>
    <t>0                      RA 0790000C  55</t>
  </si>
  <si>
    <t>Relaxation : a comprehensive manual for adults, children, and children with special needs / Joseph R. Cautela, June Groden ; illustrations by Phyllis Hawkes.</t>
  </si>
  <si>
    <t>Cautela, Joseph R.</t>
  </si>
  <si>
    <t>Champaign : Research Press Company, c1978.</t>
  </si>
  <si>
    <t>2006-09-28</t>
  </si>
  <si>
    <t>1990-02-28</t>
  </si>
  <si>
    <t>4495059420:eng</t>
  </si>
  <si>
    <t>4708246</t>
  </si>
  <si>
    <t>991004705409702656</t>
  </si>
  <si>
    <t>2269513980002656</t>
  </si>
  <si>
    <t>9780878221868</t>
  </si>
  <si>
    <t>32285000072354</t>
  </si>
  <si>
    <t>893254012</t>
  </si>
  <si>
    <t>RA790 .C663</t>
  </si>
  <si>
    <t>0                      RA 0790000C  663</t>
  </si>
  <si>
    <t>Hero, artist, sage, or saint? : A survey of views on what is variously called mental health, normality, maturity, self-actualization, and human fulfillment / Richard W. Coan.</t>
  </si>
  <si>
    <t>Coan, Richard W.</t>
  </si>
  <si>
    <t>New York : Columbia University Press, 1977.</t>
  </si>
  <si>
    <t>1996-04-13</t>
  </si>
  <si>
    <t>866643346:eng</t>
  </si>
  <si>
    <t>2695039</t>
  </si>
  <si>
    <t>991004215019702656</t>
  </si>
  <si>
    <t>2264547030002656</t>
  </si>
  <si>
    <t>9780231038065</t>
  </si>
  <si>
    <t>32285001587988</t>
  </si>
  <si>
    <t>893229068</t>
  </si>
  <si>
    <t>RA790 .G58</t>
  </si>
  <si>
    <t>0                      RA 0790000G  58</t>
  </si>
  <si>
    <t>Handbook of community mental health. Edited by Stuart E. Golann and Carl Eisdorfer.</t>
  </si>
  <si>
    <t>Golann, Stuart E. editor.</t>
  </si>
  <si>
    <t>New York, Appleton-Century-Crofts [c1972]</t>
  </si>
  <si>
    <t>Century psychology series</t>
  </si>
  <si>
    <t>2004-01-14</t>
  </si>
  <si>
    <t>355800797:eng</t>
  </si>
  <si>
    <t>581938</t>
  </si>
  <si>
    <t>991003017159702656</t>
  </si>
  <si>
    <t>2271229440002656</t>
  </si>
  <si>
    <t>32285003083788</t>
  </si>
  <si>
    <t>893805341</t>
  </si>
  <si>
    <t>RA790 .S6125 1992</t>
  </si>
  <si>
    <t>0                      RA 0790000S  6125        1992</t>
  </si>
  <si>
    <t>The Social psychology of mental health : basic mechanisms and applications / edited by Diane N. Ruble, Philip R. Costanzo, Mary Ellen Oliveri.</t>
  </si>
  <si>
    <t>New York : Guilford Press, c1992.</t>
  </si>
  <si>
    <t>1997-10-07</t>
  </si>
  <si>
    <t>1993-02-01</t>
  </si>
  <si>
    <t>894330171:eng</t>
  </si>
  <si>
    <t>25677406</t>
  </si>
  <si>
    <t>991002019749702656</t>
  </si>
  <si>
    <t>2269036710002656</t>
  </si>
  <si>
    <t>9780898621365</t>
  </si>
  <si>
    <t>32285001449049</t>
  </si>
  <si>
    <t>893427119</t>
  </si>
  <si>
    <t>RA790.5 .E383</t>
  </si>
  <si>
    <t>0                      RA 0790500E  383</t>
  </si>
  <si>
    <t>Moral problems and mental health, by Richard Egenter [and] Paul Matussek. Translated by Michael Barry.</t>
  </si>
  <si>
    <t>Egenter, Richard, 1902-1981.</t>
  </si>
  <si>
    <t>Staten Island, N.Y., Alba House [1967]</t>
  </si>
  <si>
    <t>1998-11-08</t>
  </si>
  <si>
    <t>4451802621:eng</t>
  </si>
  <si>
    <t>432607</t>
  </si>
  <si>
    <t>991002764989702656</t>
  </si>
  <si>
    <t>2272646250002656</t>
  </si>
  <si>
    <t>32285003083911</t>
  </si>
  <si>
    <t>893440490</t>
  </si>
  <si>
    <t>RA790.5 .L48</t>
  </si>
  <si>
    <t>0                      RA 0790500L  48</t>
  </si>
  <si>
    <t>Community counseling : a human services approach / Judith A. Lewis, Michael D. Lewis.</t>
  </si>
  <si>
    <t>Lewis, Judith A., 1939-</t>
  </si>
  <si>
    <t>New York : Wiley, c1977.</t>
  </si>
  <si>
    <t>Wiley series in counseling and human development</t>
  </si>
  <si>
    <t>2004-01-19</t>
  </si>
  <si>
    <t>3780393:eng</t>
  </si>
  <si>
    <t>2202484</t>
  </si>
  <si>
    <t>991004046679702656</t>
  </si>
  <si>
    <t>2258654300002656</t>
  </si>
  <si>
    <t>9780471532033</t>
  </si>
  <si>
    <t>32285003083937</t>
  </si>
  <si>
    <t>893318734</t>
  </si>
  <si>
    <t>RA790.5 .L57</t>
  </si>
  <si>
    <t>0                      RA 0790500L  57</t>
  </si>
  <si>
    <t>Linking health and mental health / edited by Anthony Broskowski, Edward Marks, Simon H. Budman.</t>
  </si>
  <si>
    <t>Beverly Hills, Calif. : Sage Publications, c1981.</t>
  </si>
  <si>
    <t>Sage annual reviews of community mental health ; v. 2</t>
  </si>
  <si>
    <t>1998-12-04</t>
  </si>
  <si>
    <t>355434890:eng</t>
  </si>
  <si>
    <t>7573617</t>
  </si>
  <si>
    <t>991005132509702656</t>
  </si>
  <si>
    <t>2271501520002656</t>
  </si>
  <si>
    <t>9780803916005</t>
  </si>
  <si>
    <t>32285001588036</t>
  </si>
  <si>
    <t>893870571</t>
  </si>
  <si>
    <t>RA790.5 .N5</t>
  </si>
  <si>
    <t>0                      RA 0790500N  5</t>
  </si>
  <si>
    <t>Mental health for students; a guide for adjusting to college, by Arthur G. Nikelly.</t>
  </si>
  <si>
    <t>Nikelly, Arthur G.</t>
  </si>
  <si>
    <t>Springfield, Ill., C.C. Thomas [1966]</t>
  </si>
  <si>
    <t>2009-10-08</t>
  </si>
  <si>
    <t>217674:eng</t>
  </si>
  <si>
    <t>761892</t>
  </si>
  <si>
    <t>991003237659702656</t>
  </si>
  <si>
    <t>2268225920002656</t>
  </si>
  <si>
    <t>32285003083945</t>
  </si>
  <si>
    <t>893233949</t>
  </si>
  <si>
    <t>RA790.6 .G56</t>
  </si>
  <si>
    <t>0                      RA 0790600G  56</t>
  </si>
  <si>
    <t>The ethno-cultural factors in mental health : a literature review and bibliography / by Joseph Giordano and Grace Pineiro Giordano. --</t>
  </si>
  <si>
    <t>Giordano, Joe.</t>
  </si>
  <si>
    <t>New York : Institute on Pluralism and Group Identity of the American Jewish Committee, 1977.</t>
  </si>
  <si>
    <t>2007-04-09</t>
  </si>
  <si>
    <t>993691430:eng</t>
  </si>
  <si>
    <t>7739996</t>
  </si>
  <si>
    <t>991004542179702656</t>
  </si>
  <si>
    <t>2269509580002656</t>
  </si>
  <si>
    <t>32285001588077</t>
  </si>
  <si>
    <t>893411669</t>
  </si>
  <si>
    <t>RA790.6 .M37</t>
  </si>
  <si>
    <t>0                      RA 0790600M  37</t>
  </si>
  <si>
    <t>Mental health and social policy.</t>
  </si>
  <si>
    <t>Englewood Cliffs, N.J. : Prentice-Hall, [1969]</t>
  </si>
  <si>
    <t>Prentice-Hall series in social policy</t>
  </si>
  <si>
    <t>2004-02-20</t>
  </si>
  <si>
    <t>1993-11-30</t>
  </si>
  <si>
    <t>1219200:eng</t>
  </si>
  <si>
    <t>49602</t>
  </si>
  <si>
    <t>991000119189702656</t>
  </si>
  <si>
    <t>2263729370002656</t>
  </si>
  <si>
    <t>9780135760093</t>
  </si>
  <si>
    <t>32285001689412</t>
  </si>
  <si>
    <t>893444209</t>
  </si>
  <si>
    <t>RA790.6 .N48 1985</t>
  </si>
  <si>
    <t>0                      RA 0790600N  48          1985</t>
  </si>
  <si>
    <t>The New economics and psychiatric care / edited by Steven S. Sharfstein, Allan Beigel.</t>
  </si>
  <si>
    <t>Washington, DC : American Psychiatric Press, c1985.</t>
  </si>
  <si>
    <t>1993-10-06</t>
  </si>
  <si>
    <t>355941971:eng</t>
  </si>
  <si>
    <t>12162653</t>
  </si>
  <si>
    <t>991000650449702656</t>
  </si>
  <si>
    <t>2271940550002656</t>
  </si>
  <si>
    <t>9780880481564</t>
  </si>
  <si>
    <t>32285001588093</t>
  </si>
  <si>
    <t>893802968</t>
  </si>
  <si>
    <t>RA790.6 .R3</t>
  </si>
  <si>
    <t>0                      RA 0790600R  3</t>
  </si>
  <si>
    <t>Racism and mental health; essays. Charles V. Willie, Bernard M. Kramer [and] Bertram S. Brown, editors.</t>
  </si>
  <si>
    <t>[Pittsburgh] University of Pittsburgh Press [1973] 1977 printing.</t>
  </si>
  <si>
    <t>2003-03-01</t>
  </si>
  <si>
    <t>792956211:eng</t>
  </si>
  <si>
    <t>730549</t>
  </si>
  <si>
    <t>991003205339702656</t>
  </si>
  <si>
    <t>2270482590002656</t>
  </si>
  <si>
    <t>9780822932529</t>
  </si>
  <si>
    <t>32285001588101</t>
  </si>
  <si>
    <t>893258160</t>
  </si>
  <si>
    <t>RA790.6 .T67 1988</t>
  </si>
  <si>
    <t>0                      RA 0790600T  67          1988</t>
  </si>
  <si>
    <t>Nowhere to go : the tragic odyssey of the homeless mentally ill / E. Fuller Torrey.</t>
  </si>
  <si>
    <t>Torrey, E. Fuller (Edwin Fuller), 1937-</t>
  </si>
  <si>
    <t>New York : Harper &amp; Row, c1988.</t>
  </si>
  <si>
    <t>2010-03-08</t>
  </si>
  <si>
    <t>1992-04-14</t>
  </si>
  <si>
    <t>17336630:eng</t>
  </si>
  <si>
    <t>18456634</t>
  </si>
  <si>
    <t>991001352919702656</t>
  </si>
  <si>
    <t>2271899600002656</t>
  </si>
  <si>
    <t>9780060159931</t>
  </si>
  <si>
    <t>32285001059624</t>
  </si>
  <si>
    <t>893696675</t>
  </si>
  <si>
    <t>RA790.6 .V47</t>
  </si>
  <si>
    <t>0                      RA 0790600V  47</t>
  </si>
  <si>
    <t>The inner American : a self-portrait from 1957 to 1976 / Joseph Veroff, Elizabeth Douvan, Richard A. Kulka.</t>
  </si>
  <si>
    <t>Veroff, Joseph, 1929-2007.</t>
  </si>
  <si>
    <t>New York : Basic Books, c1981.</t>
  </si>
  <si>
    <t>1997-06-27</t>
  </si>
  <si>
    <t>903517141:eng</t>
  </si>
  <si>
    <t>7572603</t>
  </si>
  <si>
    <t>991005131209702656</t>
  </si>
  <si>
    <t>2269906320002656</t>
  </si>
  <si>
    <t>9780465032938</t>
  </si>
  <si>
    <t>32285001588119</t>
  </si>
  <si>
    <t>893412366</t>
  </si>
  <si>
    <t>RA790.7.U7 B5</t>
  </si>
  <si>
    <t>0                      RA 0790700U  7                  B  5</t>
  </si>
  <si>
    <t>Community mental health : a historical and critical analysis / Bernard L. Bloom.</t>
  </si>
  <si>
    <t>Bloom, Bernard L.</t>
  </si>
  <si>
    <t>Morristown, N. J. : General Learning Corporation, 1973.</t>
  </si>
  <si>
    <t>2001-02-26</t>
  </si>
  <si>
    <t>1992-05-20</t>
  </si>
  <si>
    <t>290756900:eng</t>
  </si>
  <si>
    <t>2022341</t>
  </si>
  <si>
    <t>991003983319702656</t>
  </si>
  <si>
    <t>2265684390002656</t>
  </si>
  <si>
    <t>32285001111987</t>
  </si>
  <si>
    <t>893253100</t>
  </si>
  <si>
    <t>RA790.A1 T68</t>
  </si>
  <si>
    <t>0                      RA 0790000A  1                  T  68</t>
  </si>
  <si>
    <t>Towards community mental health / edited by John D. Sutherland.</t>
  </si>
  <si>
    <t>London ; New York : Tavistock Publications, 1971.</t>
  </si>
  <si>
    <t>1990-09-20</t>
  </si>
  <si>
    <t>1079290822:eng</t>
  </si>
  <si>
    <t>149810</t>
  </si>
  <si>
    <t>991000857639702656</t>
  </si>
  <si>
    <t>2260700160002656</t>
  </si>
  <si>
    <t>9780422733809</t>
  </si>
  <si>
    <t>32285000306521</t>
  </si>
  <si>
    <t>893502885</t>
  </si>
  <si>
    <t>RA792 .L43</t>
  </si>
  <si>
    <t>0                      RA 0792000L  43</t>
  </si>
  <si>
    <t>Patterns of disease and hunger / Andrew Learmonth.</t>
  </si>
  <si>
    <t>Learmonth, A. T. A. (Andrew Thomas Amos), 1916-2008.</t>
  </si>
  <si>
    <t>Newton Abbot ; North Pomfret, Vt. : David &amp; Charles, c1978.</t>
  </si>
  <si>
    <t>Problems in modern geography</t>
  </si>
  <si>
    <t>1999-12-02</t>
  </si>
  <si>
    <t>14558364:eng</t>
  </si>
  <si>
    <t>4126167</t>
  </si>
  <si>
    <t>991004591549702656</t>
  </si>
  <si>
    <t>2255532220002656</t>
  </si>
  <si>
    <t>9780715375389</t>
  </si>
  <si>
    <t>32285001588143</t>
  </si>
  <si>
    <t>893247744</t>
  </si>
  <si>
    <t>RA963 .H46 1999</t>
  </si>
  <si>
    <t>0                      RA 0963000H  46          1999</t>
  </si>
  <si>
    <t>Do recent changes in Medicaid policy weaken public hospitals? / by Tim M. Henderson.</t>
  </si>
  <si>
    <t>Henderson, Tim M.</t>
  </si>
  <si>
    <t>Denver, CO : National Conference of State Legislatures, c1999.</t>
  </si>
  <si>
    <t>2000-11-14</t>
  </si>
  <si>
    <t>44300893:eng</t>
  </si>
  <si>
    <t>43690068</t>
  </si>
  <si>
    <t>991003243479702656</t>
  </si>
  <si>
    <t>2256828620002656</t>
  </si>
  <si>
    <t>9781580240352</t>
  </si>
  <si>
    <t>32285004266085</t>
  </si>
  <si>
    <t>893880962</t>
  </si>
  <si>
    <t>RA965 .C47</t>
  </si>
  <si>
    <t>0                      RA 0965000C  47</t>
  </si>
  <si>
    <t>Hospital organization and health care delivery / Luther P. Christman, Michael A. Counte.</t>
  </si>
  <si>
    <t>Christman, Luther P.</t>
  </si>
  <si>
    <t>Boulder, Colo. : Westview Press, 1981.</t>
  </si>
  <si>
    <t>Behavioral sciences for health care professionals</t>
  </si>
  <si>
    <t>1993-09-15</t>
  </si>
  <si>
    <t>511736:eng</t>
  </si>
  <si>
    <t>7739553</t>
  </si>
  <si>
    <t>991005155869702656</t>
  </si>
  <si>
    <t>2258552840002656</t>
  </si>
  <si>
    <t>9780865310063</t>
  </si>
  <si>
    <t>32285001588184</t>
  </si>
  <si>
    <t>893254559</t>
  </si>
  <si>
    <t>RA965.5 .M36 1986</t>
  </si>
  <si>
    <t>0                      RA 0965500M  36          1986</t>
  </si>
  <si>
    <t>Managing smart : market research for hospital decision makers / Norman H. McMillan and George Rosenbaum.</t>
  </si>
  <si>
    <t>McMillan, Norman H., 1925-</t>
  </si>
  <si>
    <t>Chicago, Ill. : American Hosiptal Pub., c1986.</t>
  </si>
  <si>
    <t>1996-04-21</t>
  </si>
  <si>
    <t>1992-01-24</t>
  </si>
  <si>
    <t>6953497:eng</t>
  </si>
  <si>
    <t>13361240</t>
  </si>
  <si>
    <t>991000818549702656</t>
  </si>
  <si>
    <t>2271832120002656</t>
  </si>
  <si>
    <t>9780939450862</t>
  </si>
  <si>
    <t>32285000917962</t>
  </si>
  <si>
    <t>893872039</t>
  </si>
  <si>
    <t>RA965.8 .S37 1995</t>
  </si>
  <si>
    <t>0                      RA 0965800S  37          1995</t>
  </si>
  <si>
    <t>Accreditation : protecting the professional or the consumer? / Ellie Scrivens.</t>
  </si>
  <si>
    <t>Scrivens, Ellie, 1954-</t>
  </si>
  <si>
    <t>Buckingham ; Philadelphia : Open University Press, 1995.</t>
  </si>
  <si>
    <t>State of health series</t>
  </si>
  <si>
    <t>1998-07-01</t>
  </si>
  <si>
    <t>1998-05-06</t>
  </si>
  <si>
    <t>837013879:eng</t>
  </si>
  <si>
    <t>31900145</t>
  </si>
  <si>
    <t>991002445249702656</t>
  </si>
  <si>
    <t>2264746220002656</t>
  </si>
  <si>
    <t>9780335194919</t>
  </si>
  <si>
    <t>32285003406617</t>
  </si>
  <si>
    <t>893530001</t>
  </si>
  <si>
    <t>RA971 .D68</t>
  </si>
  <si>
    <t>0                      RA 0971000D  68</t>
  </si>
  <si>
    <t>Successful time management for hospital administrators / Merrill E. Douglass, Phillip H. Goodwin.</t>
  </si>
  <si>
    <t>Douglass, Merrill E.</t>
  </si>
  <si>
    <t>New York, N.Y. : American Management Associations, c1980.</t>
  </si>
  <si>
    <t>1994-06-02</t>
  </si>
  <si>
    <t>4065725:eng</t>
  </si>
  <si>
    <t>6142961</t>
  </si>
  <si>
    <t>991004935909702656</t>
  </si>
  <si>
    <t>2261507790002656</t>
  </si>
  <si>
    <t>9780814456026</t>
  </si>
  <si>
    <t>32285000872548</t>
  </si>
  <si>
    <t>893412110</t>
  </si>
  <si>
    <t>RA971 .G45</t>
  </si>
  <si>
    <t>0                      RA 0971000G  45</t>
  </si>
  <si>
    <t>Hospital organization research : review and source book / Basil S. Georgopoulos.</t>
  </si>
  <si>
    <t>Georgopoulos, Basil Spyros, 1926-</t>
  </si>
  <si>
    <t>Philadelphia : W. B. Saunders Co., 1975.</t>
  </si>
  <si>
    <t>Saunders series in health care organization and administration</t>
  </si>
  <si>
    <t>1993-06-08</t>
  </si>
  <si>
    <t>836712056:eng</t>
  </si>
  <si>
    <t>1363557</t>
  </si>
  <si>
    <t>991003717519702656</t>
  </si>
  <si>
    <t>2259283480002656</t>
  </si>
  <si>
    <t>9780721641058</t>
  </si>
  <si>
    <t>32285000917947</t>
  </si>
  <si>
    <t>893598899</t>
  </si>
  <si>
    <t>RA971 .N85</t>
  </si>
  <si>
    <t>0                      RA 0971000N  85</t>
  </si>
  <si>
    <t>The practice of management for health care professionals / Rita E. Numerof.</t>
  </si>
  <si>
    <t>Numerof, Rita E.</t>
  </si>
  <si>
    <t>New York, N.Y. : AMACOM, c1982.</t>
  </si>
  <si>
    <t>1999-01-13</t>
  </si>
  <si>
    <t>1991-11-21</t>
  </si>
  <si>
    <t>2895485305:eng</t>
  </si>
  <si>
    <t>8111667</t>
  </si>
  <si>
    <t>991005204399702656</t>
  </si>
  <si>
    <t>2257027700002656</t>
  </si>
  <si>
    <t>32285000843598</t>
  </si>
  <si>
    <t>893527093</t>
  </si>
  <si>
    <t>RA971 .R25 1978</t>
  </si>
  <si>
    <t>0                      RA 0971000R  25          1978</t>
  </si>
  <si>
    <t>Hospital organization and management : text and readings / [edited by] Jonathon S. Rakich, Kurt Darr. --</t>
  </si>
  <si>
    <t>Rakich, Jonathon S., compiler.</t>
  </si>
  <si>
    <t>Jamaica, N.Y. : Spectrum Publications ; New York : distributed by Halsted Press Division of Wiley, c1978.</t>
  </si>
  <si>
    <t>2d ed. --</t>
  </si>
  <si>
    <t>Health systems management ; 11</t>
  </si>
  <si>
    <t>836700455:eng</t>
  </si>
  <si>
    <t>3186384</t>
  </si>
  <si>
    <t>991001746869702656</t>
  </si>
  <si>
    <t>2260035490002656</t>
  </si>
  <si>
    <t>32285000843580</t>
  </si>
  <si>
    <t>893785359</t>
  </si>
  <si>
    <t>RA971.3 .A76 1984</t>
  </si>
  <si>
    <t>0                      RA 0971300A  76          1984</t>
  </si>
  <si>
    <t>The new economics of health care : DRGs, case mix, and length of stay / by Raymond R. Arons.</t>
  </si>
  <si>
    <t>Arons, Raymond R.</t>
  </si>
  <si>
    <t>New York : Praeger, 1984.</t>
  </si>
  <si>
    <t>1992-02-06</t>
  </si>
  <si>
    <t>285504156:eng</t>
  </si>
  <si>
    <t>10628724</t>
  </si>
  <si>
    <t>991000412479702656</t>
  </si>
  <si>
    <t>2260300220002656</t>
  </si>
  <si>
    <t>9780030716638</t>
  </si>
  <si>
    <t>32285000934686</t>
  </si>
  <si>
    <t>893249320</t>
  </si>
  <si>
    <t>RA971.3 .H9 1989</t>
  </si>
  <si>
    <t>0                      RA 0971300H  9           1989</t>
  </si>
  <si>
    <t>Financial management for health care administrators / Ronald John Hy.</t>
  </si>
  <si>
    <t>Hy, Ronald J. (Ronald John)</t>
  </si>
  <si>
    <t>New York : Quorum Books, 1989.</t>
  </si>
  <si>
    <t>1990-05-24</t>
  </si>
  <si>
    <t>2925727:eng</t>
  </si>
  <si>
    <t>19125971</t>
  </si>
  <si>
    <t>991001434159702656</t>
  </si>
  <si>
    <t>2269836510002656</t>
  </si>
  <si>
    <t>9780899303734</t>
  </si>
  <si>
    <t>32285000139948</t>
  </si>
  <si>
    <t>893866227</t>
  </si>
  <si>
    <t>RA971.35 .N67 2000</t>
  </si>
  <si>
    <t>0                      RA 0971350N  67          2000</t>
  </si>
  <si>
    <t>Untapped options : building links between marketing and human resources to achieve organizational goals in health care / Bea Northcott, Janette Helm.</t>
  </si>
  <si>
    <t>Northcott, Bea.</t>
  </si>
  <si>
    <t>2003-11-05</t>
  </si>
  <si>
    <t>45292408:eng</t>
  </si>
  <si>
    <t>43474615</t>
  </si>
  <si>
    <t>991004169619702656</t>
  </si>
  <si>
    <t>2260914660002656</t>
  </si>
  <si>
    <t>9780787955373</t>
  </si>
  <si>
    <t>32285004793153</t>
  </si>
  <si>
    <t>893800675</t>
  </si>
  <si>
    <t>RA976 .S568 1998</t>
  </si>
  <si>
    <t>0                      RA 0976000S  568         1998</t>
  </si>
  <si>
    <t>Health information management : principles and organization for health record services / Margaret A. Skurka.</t>
  </si>
  <si>
    <t>Skurka, Margaret Flettre.</t>
  </si>
  <si>
    <t>Chicago : AHA Press, c1998.</t>
  </si>
  <si>
    <t>1998-08-12</t>
  </si>
  <si>
    <t>3769444815:eng</t>
  </si>
  <si>
    <t>37725451</t>
  </si>
  <si>
    <t>991002862329702656</t>
  </si>
  <si>
    <t>2255898990002656</t>
  </si>
  <si>
    <t>9781556482120</t>
  </si>
  <si>
    <t>32285003452298</t>
  </si>
  <si>
    <t>893504915</t>
  </si>
  <si>
    <t>RA976 .W37 1983</t>
  </si>
  <si>
    <t>0                      RA 0976000W  37          1983</t>
  </si>
  <si>
    <t>Systems analysis and computer applications in health information management / Kathleen A. Waters, Gretchen Frederick Murphy.</t>
  </si>
  <si>
    <t>Waters, Kathleen A.</t>
  </si>
  <si>
    <t>Rockville, Md. : Aspen Systems Corp., 1983.</t>
  </si>
  <si>
    <t>1994-12-01</t>
  </si>
  <si>
    <t>42753265:eng</t>
  </si>
  <si>
    <t>8865954</t>
  </si>
  <si>
    <t>991000086269702656</t>
  </si>
  <si>
    <t>2260833960002656</t>
  </si>
  <si>
    <t>9780894438387</t>
  </si>
  <si>
    <t>32285001588259</t>
  </si>
  <si>
    <t>893249070</t>
  </si>
  <si>
    <t>RA981.A2 A5 1984</t>
  </si>
  <si>
    <t>0                      RA 0981000A  2                  A  5           1984</t>
  </si>
  <si>
    <t>The painful prescription : rationing hospital care / Henry J. Aaron, William Schwartz.</t>
  </si>
  <si>
    <t>Aaron, Henry J.</t>
  </si>
  <si>
    <t>Washington, D.C. : Brookings Institution, c1984.</t>
  </si>
  <si>
    <t>2005-02-18</t>
  </si>
  <si>
    <t>3295854:eng</t>
  </si>
  <si>
    <t>10274789</t>
  </si>
  <si>
    <t>991000342399702656</t>
  </si>
  <si>
    <t>2270318880002656</t>
  </si>
  <si>
    <t>9780815700333</t>
  </si>
  <si>
    <t>32285001588283</t>
  </si>
  <si>
    <t>893714505</t>
  </si>
  <si>
    <t>RA981.A2 G54 1981</t>
  </si>
  <si>
    <t>0                      RA 0981000A  2                  G  54          1981</t>
  </si>
  <si>
    <t>Can hospitals survive? : the new competitive health care market / Jeff Charles Goldsmith.</t>
  </si>
  <si>
    <t>Goldsmith, Jeff Charles.</t>
  </si>
  <si>
    <t>Homewood, Ill. : Dow Jones-Irwin, c1981.</t>
  </si>
  <si>
    <t>2006-11-05</t>
  </si>
  <si>
    <t>1992-12-15</t>
  </si>
  <si>
    <t>1216437470:eng</t>
  </si>
  <si>
    <t>7900004</t>
  </si>
  <si>
    <t>991005174549702656</t>
  </si>
  <si>
    <t>2269252140002656</t>
  </si>
  <si>
    <t>9780870942488</t>
  </si>
  <si>
    <t>32285001441780</t>
  </si>
  <si>
    <t>893783147</t>
  </si>
  <si>
    <t>RA982.B7 V63 1980</t>
  </si>
  <si>
    <t>0                      RA 0982000B  7                  V  63          1980</t>
  </si>
  <si>
    <t>The invention of the modern hospital, Boston, 1870-1930 / Morris J. Vogel.</t>
  </si>
  <si>
    <t>Vogel, Morris J.</t>
  </si>
  <si>
    <t>Chicago : University of Chicago Press, c1980.</t>
  </si>
  <si>
    <t>2010-09-30</t>
  </si>
  <si>
    <t>16207384:eng</t>
  </si>
  <si>
    <t>5726857</t>
  </si>
  <si>
    <t>991004866079702656</t>
  </si>
  <si>
    <t>2263351590002656</t>
  </si>
  <si>
    <t>9780226862408</t>
  </si>
  <si>
    <t>32285001588317</t>
  </si>
  <si>
    <t>893606542</t>
  </si>
  <si>
    <t>RA990.C5 H46 1984</t>
  </si>
  <si>
    <t>0                      RA 0990000C  5                  H  46          1984</t>
  </si>
  <si>
    <t>The Chinese hospital : a socialist work unit / Gail E. Henderson and Myron S. Cohen.</t>
  </si>
  <si>
    <t>Henderson, Gail, 1949-</t>
  </si>
  <si>
    <t>1996-12-03</t>
  </si>
  <si>
    <t>836629783:eng</t>
  </si>
  <si>
    <t>9943829</t>
  </si>
  <si>
    <t>991000286029702656</t>
  </si>
  <si>
    <t>2260732330002656</t>
  </si>
  <si>
    <t>9780300030631</t>
  </si>
  <si>
    <t>32285001588416</t>
  </si>
  <si>
    <t>893701996</t>
  </si>
  <si>
    <t>RA995 .B37 1978</t>
  </si>
  <si>
    <t>0                      RA 0995000B  37          1978</t>
  </si>
  <si>
    <t>The ambulance : the story of emergency transportation of sick and wounded through the centuries / Katherine Traver Barkley.</t>
  </si>
  <si>
    <t>Barkley, Katherine Traver.</t>
  </si>
  <si>
    <t>Hicksville, N.Y. : Exposition Press, c1978.</t>
  </si>
  <si>
    <t>1999-10-10</t>
  </si>
  <si>
    <t>1990-01-31</t>
  </si>
  <si>
    <t>432193:eng</t>
  </si>
  <si>
    <t>4285067</t>
  </si>
  <si>
    <t>991004620019702656</t>
  </si>
  <si>
    <t>2255652440002656</t>
  </si>
  <si>
    <t>9780682489836</t>
  </si>
  <si>
    <t>32285000031632</t>
  </si>
  <si>
    <t>893687939</t>
  </si>
  <si>
    <t>RA997 .C64 1987</t>
  </si>
  <si>
    <t>0                      RA 0997000C  64          1987</t>
  </si>
  <si>
    <t>Continuing care retirement communities : an industry in action : analysis and developing trends, 1987.</t>
  </si>
  <si>
    <t>Washington, DC (1129 20th St., NW, Suite 400, Washington 20036-3489) : American Association of Homes for the Aging, c1987.</t>
  </si>
  <si>
    <t>1995-04-13</t>
  </si>
  <si>
    <t>1991-12-17</t>
  </si>
  <si>
    <t>32211786:eng</t>
  </si>
  <si>
    <t>17264657</t>
  </si>
  <si>
    <t>991001194209702656</t>
  </si>
  <si>
    <t>2261959990002656</t>
  </si>
  <si>
    <t>32285000907187</t>
  </si>
  <si>
    <t>893602404</t>
  </si>
  <si>
    <t>RA997 .S63</t>
  </si>
  <si>
    <t>0                      RA 0997000S  63</t>
  </si>
  <si>
    <t>An experimental investigation of attitudes of nursing staff toward aged residents of nursing homes / by Virginia Alicia Smith.</t>
  </si>
  <si>
    <t>Smith, Virginia Alicia.</t>
  </si>
  <si>
    <t>1999-12-07</t>
  </si>
  <si>
    <t>1992-02-25</t>
  </si>
  <si>
    <t>4289651:eng</t>
  </si>
  <si>
    <t>7842300</t>
  </si>
  <si>
    <t>991005169689702656</t>
  </si>
  <si>
    <t>2267091250002656</t>
  </si>
  <si>
    <t>32285000982800</t>
  </si>
  <si>
    <t>893350848</t>
  </si>
  <si>
    <t>RA997.5.N7 T5</t>
  </si>
  <si>
    <t>0                      RA 0997500N  7                  T  5</t>
  </si>
  <si>
    <t>Nursing homes and public policy : drift and decision in New York State / by William C. Thomas, Jr.</t>
  </si>
  <si>
    <t>Thomas, William C.</t>
  </si>
  <si>
    <t>Ithaca, [N.Y.] : Cornell University Press, [1969]</t>
  </si>
  <si>
    <t>1998-03-06</t>
  </si>
  <si>
    <t>1993-05-05</t>
  </si>
  <si>
    <t>1129320:eng</t>
  </si>
  <si>
    <t>6028</t>
  </si>
  <si>
    <t>991005438409702656</t>
  </si>
  <si>
    <t>2265160300002656</t>
  </si>
  <si>
    <t>32285001634764</t>
  </si>
  <si>
    <t>893595070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</si>
</sst>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3">
    <font>
      <sz val="11"/>
      <color theme="1"/>
      <name val="Calibri"/>
      <family val="2"/>
      <scheme val="minor"/>
    </font>
    <font>
      <b/>
      <sz val="11"/>
      <color theme="1"/>
      <name val="Calibri"/>
      <family val="2"/>
      <scheme val="minor"/>
    </font>
    <font>
      <u/>
      <sz val="11"/>
      <color rgb="FF0000FF"/>
      <name val="Calibri"/>
      <family val="2"/>
      <scheme val="minor"/>
    </font>
  </fonts>
  <fills count="3">
    <fill>
      <patternFill patternType="none"/>
    </fill>
    <fill>
      <patternFill patternType="gray125"/>
    </fill>
    <fill>
      <patternFill patternType="solid">
        <fgColor rgb="FFC0C0C0"/>
        <bgColor indexed="64"/>
      </patternFill>
    </fill>
  </fills>
  <borders count="1">
    <border>
      <left/>
      <right/>
      <top/>
      <bottom/>
      <diagonal/>
    </border>
  </borders>
  <cellStyleXfs count="1">
    <xf numFmtId="0" fontId="0" fillId="0" borderId="0"/>
  </cellStyleXfs>
  <cellXfs count="7">
    <xf numFmtId="0" fontId="0" fillId="0" borderId="0" xfId="0"/>
    <xf numFmtId="0" fontId="0" fillId="0" borderId="0" xfId="0" applyAlignment="1">
      <alignment vertical="center" wrapText="1"/>
    </xf>
    <xf numFmtId="49" fontId="0" fillId="0" borderId="0" xfId="0" applyNumberFormat="1" applyAlignment="1">
      <alignment horizontal="center" vertical="center"/>
    </xf>
    <xf numFmtId="3" fontId="0" fillId="0" borderId="0" xfId="0" applyNumberFormat="1" applyAlignment="1">
      <alignment horizontal="center" vertical="center"/>
    </xf>
    <xf numFmtId="164" fontId="0" fillId="0" borderId="0" xfId="0" applyNumberFormat="1" applyAlignment="1">
      <alignment horizontal="center" vertical="center"/>
    </xf>
    <xf numFmtId="0" fontId="2" fillId="0" borderId="0" xfId="0" applyFont="1" applyAlignment="1">
      <alignment horizontal="center" vertical="center" wrapText="1"/>
    </xf>
    <xf numFmtId="0" fontId="1" fillId="2" borderId="0" xfId="0" applyFont="1" applyFill="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ctrlProps/ctrlProp1.xml><?xml version="1.0" encoding="utf-8"?>
<formControlPr xmlns="http://schemas.microsoft.com/office/spreadsheetml/2009/9/main" objectType="CheckBox" lockText="1" noThreeD="1"/>
</file>

<file path=xl/ctrlProps/ctrlProp10.xml><?xml version="1.0" encoding="utf-8"?>
<formControlPr xmlns="http://schemas.microsoft.com/office/spreadsheetml/2009/9/main" objectType="CheckBox" lockText="1" noThreeD="1"/>
</file>

<file path=xl/ctrlProps/ctrlProp100.xml><?xml version="1.0" encoding="utf-8"?>
<formControlPr xmlns="http://schemas.microsoft.com/office/spreadsheetml/2009/9/main" objectType="CheckBox" lockText="1" noThreeD="1"/>
</file>

<file path=xl/ctrlProps/ctrlProp101.xml><?xml version="1.0" encoding="utf-8"?>
<formControlPr xmlns="http://schemas.microsoft.com/office/spreadsheetml/2009/9/main" objectType="CheckBox" lockText="1" noThreeD="1"/>
</file>

<file path=xl/ctrlProps/ctrlProp102.xml><?xml version="1.0" encoding="utf-8"?>
<formControlPr xmlns="http://schemas.microsoft.com/office/spreadsheetml/2009/9/main" objectType="CheckBox" lockText="1" noThreeD="1"/>
</file>

<file path=xl/ctrlProps/ctrlProp103.xml><?xml version="1.0" encoding="utf-8"?>
<formControlPr xmlns="http://schemas.microsoft.com/office/spreadsheetml/2009/9/main" objectType="CheckBox" lockText="1" noThreeD="1"/>
</file>

<file path=xl/ctrlProps/ctrlProp104.xml><?xml version="1.0" encoding="utf-8"?>
<formControlPr xmlns="http://schemas.microsoft.com/office/spreadsheetml/2009/9/main" objectType="CheckBox" lockText="1" noThreeD="1"/>
</file>

<file path=xl/ctrlProps/ctrlProp105.xml><?xml version="1.0" encoding="utf-8"?>
<formControlPr xmlns="http://schemas.microsoft.com/office/spreadsheetml/2009/9/main" objectType="CheckBox" lockText="1" noThreeD="1"/>
</file>

<file path=xl/ctrlProps/ctrlProp106.xml><?xml version="1.0" encoding="utf-8"?>
<formControlPr xmlns="http://schemas.microsoft.com/office/spreadsheetml/2009/9/main" objectType="CheckBox" lockText="1" noThreeD="1"/>
</file>

<file path=xl/ctrlProps/ctrlProp107.xml><?xml version="1.0" encoding="utf-8"?>
<formControlPr xmlns="http://schemas.microsoft.com/office/spreadsheetml/2009/9/main" objectType="CheckBox" lockText="1" noThreeD="1"/>
</file>

<file path=xl/ctrlProps/ctrlProp108.xml><?xml version="1.0" encoding="utf-8"?>
<formControlPr xmlns="http://schemas.microsoft.com/office/spreadsheetml/2009/9/main" objectType="CheckBox" lockText="1" noThreeD="1"/>
</file>

<file path=xl/ctrlProps/ctrlProp109.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lockText="1" noThreeD="1"/>
</file>

<file path=xl/ctrlProps/ctrlProp110.xml><?xml version="1.0" encoding="utf-8"?>
<formControlPr xmlns="http://schemas.microsoft.com/office/spreadsheetml/2009/9/main" objectType="CheckBox" lockText="1" noThreeD="1"/>
</file>

<file path=xl/ctrlProps/ctrlProp111.xml><?xml version="1.0" encoding="utf-8"?>
<formControlPr xmlns="http://schemas.microsoft.com/office/spreadsheetml/2009/9/main" objectType="CheckBox" lockText="1" noThreeD="1"/>
</file>

<file path=xl/ctrlProps/ctrlProp112.xml><?xml version="1.0" encoding="utf-8"?>
<formControlPr xmlns="http://schemas.microsoft.com/office/spreadsheetml/2009/9/main" objectType="CheckBox" lockText="1" noThreeD="1"/>
</file>

<file path=xl/ctrlProps/ctrlProp113.xml><?xml version="1.0" encoding="utf-8"?>
<formControlPr xmlns="http://schemas.microsoft.com/office/spreadsheetml/2009/9/main" objectType="CheckBox" lockText="1" noThreeD="1"/>
</file>

<file path=xl/ctrlProps/ctrlProp114.xml><?xml version="1.0" encoding="utf-8"?>
<formControlPr xmlns="http://schemas.microsoft.com/office/spreadsheetml/2009/9/main" objectType="CheckBox" lockText="1" noThreeD="1"/>
</file>

<file path=xl/ctrlProps/ctrlProp115.xml><?xml version="1.0" encoding="utf-8"?>
<formControlPr xmlns="http://schemas.microsoft.com/office/spreadsheetml/2009/9/main" objectType="CheckBox" lockText="1" noThreeD="1"/>
</file>

<file path=xl/ctrlProps/ctrlProp116.xml><?xml version="1.0" encoding="utf-8"?>
<formControlPr xmlns="http://schemas.microsoft.com/office/spreadsheetml/2009/9/main" objectType="CheckBox" lockText="1" noThreeD="1"/>
</file>

<file path=xl/ctrlProps/ctrlProp117.xml><?xml version="1.0" encoding="utf-8"?>
<formControlPr xmlns="http://schemas.microsoft.com/office/spreadsheetml/2009/9/main" objectType="CheckBox" lockText="1" noThreeD="1"/>
</file>

<file path=xl/ctrlProps/ctrlProp118.xml><?xml version="1.0" encoding="utf-8"?>
<formControlPr xmlns="http://schemas.microsoft.com/office/spreadsheetml/2009/9/main" objectType="CheckBox" lockText="1" noThreeD="1"/>
</file>

<file path=xl/ctrlProps/ctrlProp119.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120.xml><?xml version="1.0" encoding="utf-8"?>
<formControlPr xmlns="http://schemas.microsoft.com/office/spreadsheetml/2009/9/main" objectType="CheckBox" lockText="1" noThreeD="1"/>
</file>

<file path=xl/ctrlProps/ctrlProp121.xml><?xml version="1.0" encoding="utf-8"?>
<formControlPr xmlns="http://schemas.microsoft.com/office/spreadsheetml/2009/9/main" objectType="CheckBox" lockText="1" noThreeD="1"/>
</file>

<file path=xl/ctrlProps/ctrlProp122.xml><?xml version="1.0" encoding="utf-8"?>
<formControlPr xmlns="http://schemas.microsoft.com/office/spreadsheetml/2009/9/main" objectType="CheckBox" lockText="1" noThreeD="1"/>
</file>

<file path=xl/ctrlProps/ctrlProp123.xml><?xml version="1.0" encoding="utf-8"?>
<formControlPr xmlns="http://schemas.microsoft.com/office/spreadsheetml/2009/9/main" objectType="CheckBox" lockText="1" noThreeD="1"/>
</file>

<file path=xl/ctrlProps/ctrlProp124.xml><?xml version="1.0" encoding="utf-8"?>
<formControlPr xmlns="http://schemas.microsoft.com/office/spreadsheetml/2009/9/main" objectType="CheckBox" lockText="1" noThreeD="1"/>
</file>

<file path=xl/ctrlProps/ctrlProp125.xml><?xml version="1.0" encoding="utf-8"?>
<formControlPr xmlns="http://schemas.microsoft.com/office/spreadsheetml/2009/9/main" objectType="CheckBox" lockText="1" noThreeD="1"/>
</file>

<file path=xl/ctrlProps/ctrlProp126.xml><?xml version="1.0" encoding="utf-8"?>
<formControlPr xmlns="http://schemas.microsoft.com/office/spreadsheetml/2009/9/main" objectType="CheckBox" lockText="1" noThreeD="1"/>
</file>

<file path=xl/ctrlProps/ctrlProp127.xml><?xml version="1.0" encoding="utf-8"?>
<formControlPr xmlns="http://schemas.microsoft.com/office/spreadsheetml/2009/9/main" objectType="CheckBox" lockText="1" noThreeD="1"/>
</file>

<file path=xl/ctrlProps/ctrlProp128.xml><?xml version="1.0" encoding="utf-8"?>
<formControlPr xmlns="http://schemas.microsoft.com/office/spreadsheetml/2009/9/main" objectType="CheckBox" lockText="1" noThreeD="1"/>
</file>

<file path=xl/ctrlProps/ctrlProp129.xml><?xml version="1.0" encoding="utf-8"?>
<formControlPr xmlns="http://schemas.microsoft.com/office/spreadsheetml/2009/9/main" objectType="CheckBox" lockText="1" noThreeD="1"/>
</file>

<file path=xl/ctrlProps/ctrlProp13.xml><?xml version="1.0" encoding="utf-8"?>
<formControlPr xmlns="http://schemas.microsoft.com/office/spreadsheetml/2009/9/main" objectType="CheckBox" lockText="1" noThreeD="1"/>
</file>

<file path=xl/ctrlProps/ctrlProp130.xml><?xml version="1.0" encoding="utf-8"?>
<formControlPr xmlns="http://schemas.microsoft.com/office/spreadsheetml/2009/9/main" objectType="CheckBox" lockText="1" noThreeD="1"/>
</file>

<file path=xl/ctrlProps/ctrlProp131.xml><?xml version="1.0" encoding="utf-8"?>
<formControlPr xmlns="http://schemas.microsoft.com/office/spreadsheetml/2009/9/main" objectType="CheckBox" lockText="1" noThreeD="1"/>
</file>

<file path=xl/ctrlProps/ctrlProp132.xml><?xml version="1.0" encoding="utf-8"?>
<formControlPr xmlns="http://schemas.microsoft.com/office/spreadsheetml/2009/9/main" objectType="CheckBox" lockText="1" noThreeD="1"/>
</file>

<file path=xl/ctrlProps/ctrlProp133.xml><?xml version="1.0" encoding="utf-8"?>
<formControlPr xmlns="http://schemas.microsoft.com/office/spreadsheetml/2009/9/main" objectType="CheckBox" lockText="1" noThreeD="1"/>
</file>

<file path=xl/ctrlProps/ctrlProp134.xml><?xml version="1.0" encoding="utf-8"?>
<formControlPr xmlns="http://schemas.microsoft.com/office/spreadsheetml/2009/9/main" objectType="CheckBox" lockText="1" noThreeD="1"/>
</file>

<file path=xl/ctrlProps/ctrlProp135.xml><?xml version="1.0" encoding="utf-8"?>
<formControlPr xmlns="http://schemas.microsoft.com/office/spreadsheetml/2009/9/main" objectType="CheckBox" lockText="1" noThreeD="1"/>
</file>

<file path=xl/ctrlProps/ctrlProp136.xml><?xml version="1.0" encoding="utf-8"?>
<formControlPr xmlns="http://schemas.microsoft.com/office/spreadsheetml/2009/9/main" objectType="CheckBox" lockText="1" noThreeD="1"/>
</file>

<file path=xl/ctrlProps/ctrlProp137.xml><?xml version="1.0" encoding="utf-8"?>
<formControlPr xmlns="http://schemas.microsoft.com/office/spreadsheetml/2009/9/main" objectType="CheckBox" lockText="1" noThreeD="1"/>
</file>

<file path=xl/ctrlProps/ctrlProp138.xml><?xml version="1.0" encoding="utf-8"?>
<formControlPr xmlns="http://schemas.microsoft.com/office/spreadsheetml/2009/9/main" objectType="CheckBox" lockText="1" noThreeD="1"/>
</file>

<file path=xl/ctrlProps/ctrlProp139.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CheckBox" lockText="1" noThreeD="1"/>
</file>

<file path=xl/ctrlProps/ctrlProp140.xml><?xml version="1.0" encoding="utf-8"?>
<formControlPr xmlns="http://schemas.microsoft.com/office/spreadsheetml/2009/9/main" objectType="CheckBox" lockText="1" noThreeD="1"/>
</file>

<file path=xl/ctrlProps/ctrlProp141.xml><?xml version="1.0" encoding="utf-8"?>
<formControlPr xmlns="http://schemas.microsoft.com/office/spreadsheetml/2009/9/main" objectType="CheckBox" lockText="1" noThreeD="1"/>
</file>

<file path=xl/ctrlProps/ctrlProp142.xml><?xml version="1.0" encoding="utf-8"?>
<formControlPr xmlns="http://schemas.microsoft.com/office/spreadsheetml/2009/9/main" objectType="CheckBox" lockText="1" noThreeD="1"/>
</file>

<file path=xl/ctrlProps/ctrlProp143.xml><?xml version="1.0" encoding="utf-8"?>
<formControlPr xmlns="http://schemas.microsoft.com/office/spreadsheetml/2009/9/main" objectType="CheckBox" lockText="1" noThreeD="1"/>
</file>

<file path=xl/ctrlProps/ctrlProp144.xml><?xml version="1.0" encoding="utf-8"?>
<formControlPr xmlns="http://schemas.microsoft.com/office/spreadsheetml/2009/9/main" objectType="CheckBox" lockText="1" noThreeD="1"/>
</file>

<file path=xl/ctrlProps/ctrlProp145.xml><?xml version="1.0" encoding="utf-8"?>
<formControlPr xmlns="http://schemas.microsoft.com/office/spreadsheetml/2009/9/main" objectType="CheckBox" lockText="1" noThreeD="1"/>
</file>

<file path=xl/ctrlProps/ctrlProp146.xml><?xml version="1.0" encoding="utf-8"?>
<formControlPr xmlns="http://schemas.microsoft.com/office/spreadsheetml/2009/9/main" objectType="CheckBox" lockText="1" noThreeD="1"/>
</file>

<file path=xl/ctrlProps/ctrlProp147.xml><?xml version="1.0" encoding="utf-8"?>
<formControlPr xmlns="http://schemas.microsoft.com/office/spreadsheetml/2009/9/main" objectType="CheckBox" lockText="1" noThreeD="1"/>
</file>

<file path=xl/ctrlProps/ctrlProp148.xml><?xml version="1.0" encoding="utf-8"?>
<formControlPr xmlns="http://schemas.microsoft.com/office/spreadsheetml/2009/9/main" objectType="CheckBox" lockText="1" noThreeD="1"/>
</file>

<file path=xl/ctrlProps/ctrlProp149.xml><?xml version="1.0" encoding="utf-8"?>
<formControlPr xmlns="http://schemas.microsoft.com/office/spreadsheetml/2009/9/main" objectType="CheckBox" lockText="1" noThreeD="1"/>
</file>

<file path=xl/ctrlProps/ctrlProp15.xml><?xml version="1.0" encoding="utf-8"?>
<formControlPr xmlns="http://schemas.microsoft.com/office/spreadsheetml/2009/9/main" objectType="CheckBox" lockText="1" noThreeD="1"/>
</file>

<file path=xl/ctrlProps/ctrlProp150.xml><?xml version="1.0" encoding="utf-8"?>
<formControlPr xmlns="http://schemas.microsoft.com/office/spreadsheetml/2009/9/main" objectType="CheckBox" lockText="1" noThreeD="1"/>
</file>

<file path=xl/ctrlProps/ctrlProp151.xml><?xml version="1.0" encoding="utf-8"?>
<formControlPr xmlns="http://schemas.microsoft.com/office/spreadsheetml/2009/9/main" objectType="CheckBox" lockText="1" noThreeD="1"/>
</file>

<file path=xl/ctrlProps/ctrlProp152.xml><?xml version="1.0" encoding="utf-8"?>
<formControlPr xmlns="http://schemas.microsoft.com/office/spreadsheetml/2009/9/main" objectType="CheckBox" lockText="1" noThreeD="1"/>
</file>

<file path=xl/ctrlProps/ctrlProp153.xml><?xml version="1.0" encoding="utf-8"?>
<formControlPr xmlns="http://schemas.microsoft.com/office/spreadsheetml/2009/9/main" objectType="CheckBox" lockText="1" noThreeD="1"/>
</file>

<file path=xl/ctrlProps/ctrlProp154.xml><?xml version="1.0" encoding="utf-8"?>
<formControlPr xmlns="http://schemas.microsoft.com/office/spreadsheetml/2009/9/main" objectType="CheckBox" lockText="1" noThreeD="1"/>
</file>

<file path=xl/ctrlProps/ctrlProp155.xml><?xml version="1.0" encoding="utf-8"?>
<formControlPr xmlns="http://schemas.microsoft.com/office/spreadsheetml/2009/9/main" objectType="CheckBox" lockText="1" noThreeD="1"/>
</file>

<file path=xl/ctrlProps/ctrlProp156.xml><?xml version="1.0" encoding="utf-8"?>
<formControlPr xmlns="http://schemas.microsoft.com/office/spreadsheetml/2009/9/main" objectType="CheckBox" lockText="1" noThreeD="1"/>
</file>

<file path=xl/ctrlProps/ctrlProp157.xml><?xml version="1.0" encoding="utf-8"?>
<formControlPr xmlns="http://schemas.microsoft.com/office/spreadsheetml/2009/9/main" objectType="CheckBox" lockText="1" noThreeD="1"/>
</file>

<file path=xl/ctrlProps/ctrlProp158.xml><?xml version="1.0" encoding="utf-8"?>
<formControlPr xmlns="http://schemas.microsoft.com/office/spreadsheetml/2009/9/main" objectType="CheckBox" lockText="1" noThreeD="1"/>
</file>

<file path=xl/ctrlProps/ctrlProp159.xml><?xml version="1.0" encoding="utf-8"?>
<formControlPr xmlns="http://schemas.microsoft.com/office/spreadsheetml/2009/9/main" objectType="CheckBox" lockText="1" noThreeD="1"/>
</file>

<file path=xl/ctrlProps/ctrlProp16.xml><?xml version="1.0" encoding="utf-8"?>
<formControlPr xmlns="http://schemas.microsoft.com/office/spreadsheetml/2009/9/main" objectType="CheckBox" lockText="1" noThreeD="1"/>
</file>

<file path=xl/ctrlProps/ctrlProp160.xml><?xml version="1.0" encoding="utf-8"?>
<formControlPr xmlns="http://schemas.microsoft.com/office/spreadsheetml/2009/9/main" objectType="CheckBox" lockText="1" noThreeD="1"/>
</file>

<file path=xl/ctrlProps/ctrlProp161.xml><?xml version="1.0" encoding="utf-8"?>
<formControlPr xmlns="http://schemas.microsoft.com/office/spreadsheetml/2009/9/main" objectType="CheckBox" lockText="1" noThreeD="1"/>
</file>

<file path=xl/ctrlProps/ctrlProp162.xml><?xml version="1.0" encoding="utf-8"?>
<formControlPr xmlns="http://schemas.microsoft.com/office/spreadsheetml/2009/9/main" objectType="CheckBox" lockText="1" noThreeD="1"/>
</file>

<file path=xl/ctrlProps/ctrlProp163.xml><?xml version="1.0" encoding="utf-8"?>
<formControlPr xmlns="http://schemas.microsoft.com/office/spreadsheetml/2009/9/main" objectType="CheckBox" lockText="1" noThreeD="1"/>
</file>

<file path=xl/ctrlProps/ctrlProp164.xml><?xml version="1.0" encoding="utf-8"?>
<formControlPr xmlns="http://schemas.microsoft.com/office/spreadsheetml/2009/9/main" objectType="CheckBox" lockText="1" noThreeD="1"/>
</file>

<file path=xl/ctrlProps/ctrlProp165.xml><?xml version="1.0" encoding="utf-8"?>
<formControlPr xmlns="http://schemas.microsoft.com/office/spreadsheetml/2009/9/main" objectType="CheckBox" lockText="1" noThreeD="1"/>
</file>

<file path=xl/ctrlProps/ctrlProp166.xml><?xml version="1.0" encoding="utf-8"?>
<formControlPr xmlns="http://schemas.microsoft.com/office/spreadsheetml/2009/9/main" objectType="CheckBox" lockText="1" noThreeD="1"/>
</file>

<file path=xl/ctrlProps/ctrlProp167.xml><?xml version="1.0" encoding="utf-8"?>
<formControlPr xmlns="http://schemas.microsoft.com/office/spreadsheetml/2009/9/main" objectType="CheckBox" lockText="1" noThreeD="1"/>
</file>

<file path=xl/ctrlProps/ctrlProp168.xml><?xml version="1.0" encoding="utf-8"?>
<formControlPr xmlns="http://schemas.microsoft.com/office/spreadsheetml/2009/9/main" objectType="CheckBox" lockText="1" noThreeD="1"/>
</file>

<file path=xl/ctrlProps/ctrlProp169.xml><?xml version="1.0" encoding="utf-8"?>
<formControlPr xmlns="http://schemas.microsoft.com/office/spreadsheetml/2009/9/main" objectType="CheckBox" lockText="1" noThreeD="1"/>
</file>

<file path=xl/ctrlProps/ctrlProp17.xml><?xml version="1.0" encoding="utf-8"?>
<formControlPr xmlns="http://schemas.microsoft.com/office/spreadsheetml/2009/9/main" objectType="CheckBox" lockText="1" noThreeD="1"/>
</file>

<file path=xl/ctrlProps/ctrlProp170.xml><?xml version="1.0" encoding="utf-8"?>
<formControlPr xmlns="http://schemas.microsoft.com/office/spreadsheetml/2009/9/main" objectType="CheckBox" lockText="1" noThreeD="1"/>
</file>

<file path=xl/ctrlProps/ctrlProp171.xml><?xml version="1.0" encoding="utf-8"?>
<formControlPr xmlns="http://schemas.microsoft.com/office/spreadsheetml/2009/9/main" objectType="CheckBox" lockText="1" noThreeD="1"/>
</file>

<file path=xl/ctrlProps/ctrlProp172.xml><?xml version="1.0" encoding="utf-8"?>
<formControlPr xmlns="http://schemas.microsoft.com/office/spreadsheetml/2009/9/main" objectType="CheckBox" lockText="1" noThreeD="1"/>
</file>

<file path=xl/ctrlProps/ctrlProp173.xml><?xml version="1.0" encoding="utf-8"?>
<formControlPr xmlns="http://schemas.microsoft.com/office/spreadsheetml/2009/9/main" objectType="CheckBox" lockText="1" noThreeD="1"/>
</file>

<file path=xl/ctrlProps/ctrlProp174.xml><?xml version="1.0" encoding="utf-8"?>
<formControlPr xmlns="http://schemas.microsoft.com/office/spreadsheetml/2009/9/main" objectType="CheckBox" lockText="1" noThreeD="1"/>
</file>

<file path=xl/ctrlProps/ctrlProp175.xml><?xml version="1.0" encoding="utf-8"?>
<formControlPr xmlns="http://schemas.microsoft.com/office/spreadsheetml/2009/9/main" objectType="CheckBox" lockText="1" noThreeD="1"/>
</file>

<file path=xl/ctrlProps/ctrlProp176.xml><?xml version="1.0" encoding="utf-8"?>
<formControlPr xmlns="http://schemas.microsoft.com/office/spreadsheetml/2009/9/main" objectType="CheckBox" lockText="1" noThreeD="1"/>
</file>

<file path=xl/ctrlProps/ctrlProp177.xml><?xml version="1.0" encoding="utf-8"?>
<formControlPr xmlns="http://schemas.microsoft.com/office/spreadsheetml/2009/9/main" objectType="CheckBox" lockText="1" noThreeD="1"/>
</file>

<file path=xl/ctrlProps/ctrlProp178.xml><?xml version="1.0" encoding="utf-8"?>
<formControlPr xmlns="http://schemas.microsoft.com/office/spreadsheetml/2009/9/main" objectType="CheckBox" lockText="1" noThreeD="1"/>
</file>

<file path=xl/ctrlProps/ctrlProp179.xml><?xml version="1.0" encoding="utf-8"?>
<formControlPr xmlns="http://schemas.microsoft.com/office/spreadsheetml/2009/9/main" objectType="CheckBox" lockText="1" noThreeD="1"/>
</file>

<file path=xl/ctrlProps/ctrlProp18.xml><?xml version="1.0" encoding="utf-8"?>
<formControlPr xmlns="http://schemas.microsoft.com/office/spreadsheetml/2009/9/main" objectType="CheckBox" lockText="1" noThreeD="1"/>
</file>

<file path=xl/ctrlProps/ctrlProp180.xml><?xml version="1.0" encoding="utf-8"?>
<formControlPr xmlns="http://schemas.microsoft.com/office/spreadsheetml/2009/9/main" objectType="CheckBox" lockText="1" noThreeD="1"/>
</file>

<file path=xl/ctrlProps/ctrlProp181.xml><?xml version="1.0" encoding="utf-8"?>
<formControlPr xmlns="http://schemas.microsoft.com/office/spreadsheetml/2009/9/main" objectType="CheckBox" lockText="1" noThreeD="1"/>
</file>

<file path=xl/ctrlProps/ctrlProp182.xml><?xml version="1.0" encoding="utf-8"?>
<formControlPr xmlns="http://schemas.microsoft.com/office/spreadsheetml/2009/9/main" objectType="CheckBox" lockText="1" noThreeD="1"/>
</file>

<file path=xl/ctrlProps/ctrlProp183.xml><?xml version="1.0" encoding="utf-8"?>
<formControlPr xmlns="http://schemas.microsoft.com/office/spreadsheetml/2009/9/main" objectType="CheckBox" lockText="1" noThreeD="1"/>
</file>

<file path=xl/ctrlProps/ctrlProp184.xml><?xml version="1.0" encoding="utf-8"?>
<formControlPr xmlns="http://schemas.microsoft.com/office/spreadsheetml/2009/9/main" objectType="CheckBox" lockText="1" noThreeD="1"/>
</file>

<file path=xl/ctrlProps/ctrlProp185.xml><?xml version="1.0" encoding="utf-8"?>
<formControlPr xmlns="http://schemas.microsoft.com/office/spreadsheetml/2009/9/main" objectType="CheckBox" lockText="1" noThreeD="1"/>
</file>

<file path=xl/ctrlProps/ctrlProp186.xml><?xml version="1.0" encoding="utf-8"?>
<formControlPr xmlns="http://schemas.microsoft.com/office/spreadsheetml/2009/9/main" objectType="CheckBox" lockText="1" noThreeD="1"/>
</file>

<file path=xl/ctrlProps/ctrlProp187.xml><?xml version="1.0" encoding="utf-8"?>
<formControlPr xmlns="http://schemas.microsoft.com/office/spreadsheetml/2009/9/main" objectType="CheckBox" lockText="1" noThreeD="1"/>
</file>

<file path=xl/ctrlProps/ctrlProp188.xml><?xml version="1.0" encoding="utf-8"?>
<formControlPr xmlns="http://schemas.microsoft.com/office/spreadsheetml/2009/9/main" objectType="CheckBox" lockText="1" noThreeD="1"/>
</file>

<file path=xl/ctrlProps/ctrlProp189.xml><?xml version="1.0" encoding="utf-8"?>
<formControlPr xmlns="http://schemas.microsoft.com/office/spreadsheetml/2009/9/main" objectType="CheckBox" lockText="1" noThreeD="1"/>
</file>

<file path=xl/ctrlProps/ctrlProp19.xml><?xml version="1.0" encoding="utf-8"?>
<formControlPr xmlns="http://schemas.microsoft.com/office/spreadsheetml/2009/9/main" objectType="CheckBox" lockText="1" noThreeD="1"/>
</file>

<file path=xl/ctrlProps/ctrlProp190.xml><?xml version="1.0" encoding="utf-8"?>
<formControlPr xmlns="http://schemas.microsoft.com/office/spreadsheetml/2009/9/main" objectType="CheckBox" lockText="1" noThreeD="1"/>
</file>

<file path=xl/ctrlProps/ctrlProp191.xml><?xml version="1.0" encoding="utf-8"?>
<formControlPr xmlns="http://schemas.microsoft.com/office/spreadsheetml/2009/9/main" objectType="CheckBox" lockText="1" noThreeD="1"/>
</file>

<file path=xl/ctrlProps/ctrlProp192.xml><?xml version="1.0" encoding="utf-8"?>
<formControlPr xmlns="http://schemas.microsoft.com/office/spreadsheetml/2009/9/main" objectType="CheckBox" lockText="1" noThreeD="1"/>
</file>

<file path=xl/ctrlProps/ctrlProp193.xml><?xml version="1.0" encoding="utf-8"?>
<formControlPr xmlns="http://schemas.microsoft.com/office/spreadsheetml/2009/9/main" objectType="CheckBox" lockText="1" noThreeD="1"/>
</file>

<file path=xl/ctrlProps/ctrlProp194.xml><?xml version="1.0" encoding="utf-8"?>
<formControlPr xmlns="http://schemas.microsoft.com/office/spreadsheetml/2009/9/main" objectType="CheckBox" lockText="1" noThreeD="1"/>
</file>

<file path=xl/ctrlProps/ctrlProp195.xml><?xml version="1.0" encoding="utf-8"?>
<formControlPr xmlns="http://schemas.microsoft.com/office/spreadsheetml/2009/9/main" objectType="CheckBox" lockText="1" noThreeD="1"/>
</file>

<file path=xl/ctrlProps/ctrlProp196.xml><?xml version="1.0" encoding="utf-8"?>
<formControlPr xmlns="http://schemas.microsoft.com/office/spreadsheetml/2009/9/main" objectType="CheckBox" lockText="1" noThreeD="1"/>
</file>

<file path=xl/ctrlProps/ctrlProp197.xml><?xml version="1.0" encoding="utf-8"?>
<formControlPr xmlns="http://schemas.microsoft.com/office/spreadsheetml/2009/9/main" objectType="CheckBox" lockText="1" noThreeD="1"/>
</file>

<file path=xl/ctrlProps/ctrlProp198.xml><?xml version="1.0" encoding="utf-8"?>
<formControlPr xmlns="http://schemas.microsoft.com/office/spreadsheetml/2009/9/main" objectType="CheckBox" lockText="1" noThreeD="1"/>
</file>

<file path=xl/ctrlProps/ctrlProp199.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lockText="1" noThreeD="1"/>
</file>

<file path=xl/ctrlProps/ctrlProp200.xml><?xml version="1.0" encoding="utf-8"?>
<formControlPr xmlns="http://schemas.microsoft.com/office/spreadsheetml/2009/9/main" objectType="CheckBox" lockText="1" noThreeD="1"/>
</file>

<file path=xl/ctrlProps/ctrlProp201.xml><?xml version="1.0" encoding="utf-8"?>
<formControlPr xmlns="http://schemas.microsoft.com/office/spreadsheetml/2009/9/main" objectType="CheckBox" lockText="1" noThreeD="1"/>
</file>

<file path=xl/ctrlProps/ctrlProp202.xml><?xml version="1.0" encoding="utf-8"?>
<formControlPr xmlns="http://schemas.microsoft.com/office/spreadsheetml/2009/9/main" objectType="CheckBox" lockText="1" noThreeD="1"/>
</file>

<file path=xl/ctrlProps/ctrlProp203.xml><?xml version="1.0" encoding="utf-8"?>
<formControlPr xmlns="http://schemas.microsoft.com/office/spreadsheetml/2009/9/main" objectType="CheckBox" lockText="1" noThreeD="1"/>
</file>

<file path=xl/ctrlProps/ctrlProp204.xml><?xml version="1.0" encoding="utf-8"?>
<formControlPr xmlns="http://schemas.microsoft.com/office/spreadsheetml/2009/9/main" objectType="CheckBox" lockText="1" noThreeD="1"/>
</file>

<file path=xl/ctrlProps/ctrlProp205.xml><?xml version="1.0" encoding="utf-8"?>
<formControlPr xmlns="http://schemas.microsoft.com/office/spreadsheetml/2009/9/main" objectType="CheckBox" lockText="1" noThreeD="1"/>
</file>

<file path=xl/ctrlProps/ctrlProp206.xml><?xml version="1.0" encoding="utf-8"?>
<formControlPr xmlns="http://schemas.microsoft.com/office/spreadsheetml/2009/9/main" objectType="CheckBox" lockText="1" noThreeD="1"/>
</file>

<file path=xl/ctrlProps/ctrlProp207.xml><?xml version="1.0" encoding="utf-8"?>
<formControlPr xmlns="http://schemas.microsoft.com/office/spreadsheetml/2009/9/main" objectType="CheckBox" lockText="1" noThreeD="1"/>
</file>

<file path=xl/ctrlProps/ctrlProp208.xml><?xml version="1.0" encoding="utf-8"?>
<formControlPr xmlns="http://schemas.microsoft.com/office/spreadsheetml/2009/9/main" objectType="CheckBox" lockText="1" noThreeD="1"/>
</file>

<file path=xl/ctrlProps/ctrlProp209.xml><?xml version="1.0" encoding="utf-8"?>
<formControlPr xmlns="http://schemas.microsoft.com/office/spreadsheetml/2009/9/main" objectType="CheckBox" lockText="1" noThreeD="1"/>
</file>

<file path=xl/ctrlProps/ctrlProp21.xml><?xml version="1.0" encoding="utf-8"?>
<formControlPr xmlns="http://schemas.microsoft.com/office/spreadsheetml/2009/9/main" objectType="CheckBox" lockText="1" noThreeD="1"/>
</file>

<file path=xl/ctrlProps/ctrlProp210.xml><?xml version="1.0" encoding="utf-8"?>
<formControlPr xmlns="http://schemas.microsoft.com/office/spreadsheetml/2009/9/main" objectType="CheckBox" lockText="1" noThreeD="1"/>
</file>

<file path=xl/ctrlProps/ctrlProp211.xml><?xml version="1.0" encoding="utf-8"?>
<formControlPr xmlns="http://schemas.microsoft.com/office/spreadsheetml/2009/9/main" objectType="CheckBox" lockText="1" noThreeD="1"/>
</file>

<file path=xl/ctrlProps/ctrlProp212.xml><?xml version="1.0" encoding="utf-8"?>
<formControlPr xmlns="http://schemas.microsoft.com/office/spreadsheetml/2009/9/main" objectType="CheckBox" lockText="1" noThreeD="1"/>
</file>

<file path=xl/ctrlProps/ctrlProp213.xml><?xml version="1.0" encoding="utf-8"?>
<formControlPr xmlns="http://schemas.microsoft.com/office/spreadsheetml/2009/9/main" objectType="CheckBox" lockText="1" noThreeD="1"/>
</file>

<file path=xl/ctrlProps/ctrlProp214.xml><?xml version="1.0" encoding="utf-8"?>
<formControlPr xmlns="http://schemas.microsoft.com/office/spreadsheetml/2009/9/main" objectType="CheckBox" lockText="1" noThreeD="1"/>
</file>

<file path=xl/ctrlProps/ctrlProp215.xml><?xml version="1.0" encoding="utf-8"?>
<formControlPr xmlns="http://schemas.microsoft.com/office/spreadsheetml/2009/9/main" objectType="CheckBox" lockText="1" noThreeD="1"/>
</file>

<file path=xl/ctrlProps/ctrlProp216.xml><?xml version="1.0" encoding="utf-8"?>
<formControlPr xmlns="http://schemas.microsoft.com/office/spreadsheetml/2009/9/main" objectType="CheckBox" lockText="1" noThreeD="1"/>
</file>

<file path=xl/ctrlProps/ctrlProp217.xml><?xml version="1.0" encoding="utf-8"?>
<formControlPr xmlns="http://schemas.microsoft.com/office/spreadsheetml/2009/9/main" objectType="CheckBox" lockText="1" noThreeD="1"/>
</file>

<file path=xl/ctrlProps/ctrlProp218.xml><?xml version="1.0" encoding="utf-8"?>
<formControlPr xmlns="http://schemas.microsoft.com/office/spreadsheetml/2009/9/main" objectType="CheckBox" lockText="1" noThreeD="1"/>
</file>

<file path=xl/ctrlProps/ctrlProp219.xml><?xml version="1.0" encoding="utf-8"?>
<formControlPr xmlns="http://schemas.microsoft.com/office/spreadsheetml/2009/9/main" objectType="CheckBox" lockText="1" noThreeD="1"/>
</file>

<file path=xl/ctrlProps/ctrlProp22.xml><?xml version="1.0" encoding="utf-8"?>
<formControlPr xmlns="http://schemas.microsoft.com/office/spreadsheetml/2009/9/main" objectType="CheckBox" lockText="1" noThreeD="1"/>
</file>

<file path=xl/ctrlProps/ctrlProp220.xml><?xml version="1.0" encoding="utf-8"?>
<formControlPr xmlns="http://schemas.microsoft.com/office/spreadsheetml/2009/9/main" objectType="CheckBox" lockText="1" noThreeD="1"/>
</file>

<file path=xl/ctrlProps/ctrlProp221.xml><?xml version="1.0" encoding="utf-8"?>
<formControlPr xmlns="http://schemas.microsoft.com/office/spreadsheetml/2009/9/main" objectType="CheckBox" lockText="1" noThreeD="1"/>
</file>

<file path=xl/ctrlProps/ctrlProp222.xml><?xml version="1.0" encoding="utf-8"?>
<formControlPr xmlns="http://schemas.microsoft.com/office/spreadsheetml/2009/9/main" objectType="CheckBox" lockText="1" noThreeD="1"/>
</file>

<file path=xl/ctrlProps/ctrlProp223.xml><?xml version="1.0" encoding="utf-8"?>
<formControlPr xmlns="http://schemas.microsoft.com/office/spreadsheetml/2009/9/main" objectType="CheckBox" lockText="1" noThreeD="1"/>
</file>

<file path=xl/ctrlProps/ctrlProp224.xml><?xml version="1.0" encoding="utf-8"?>
<formControlPr xmlns="http://schemas.microsoft.com/office/spreadsheetml/2009/9/main" objectType="CheckBox" lockText="1" noThreeD="1"/>
</file>

<file path=xl/ctrlProps/ctrlProp225.xml><?xml version="1.0" encoding="utf-8"?>
<formControlPr xmlns="http://schemas.microsoft.com/office/spreadsheetml/2009/9/main" objectType="CheckBox" lockText="1" noThreeD="1"/>
</file>

<file path=xl/ctrlProps/ctrlProp226.xml><?xml version="1.0" encoding="utf-8"?>
<formControlPr xmlns="http://schemas.microsoft.com/office/spreadsheetml/2009/9/main" objectType="CheckBox" lockText="1" noThreeD="1"/>
</file>

<file path=xl/ctrlProps/ctrlProp227.xml><?xml version="1.0" encoding="utf-8"?>
<formControlPr xmlns="http://schemas.microsoft.com/office/spreadsheetml/2009/9/main" objectType="CheckBox" lockText="1" noThreeD="1"/>
</file>

<file path=xl/ctrlProps/ctrlProp228.xml><?xml version="1.0" encoding="utf-8"?>
<formControlPr xmlns="http://schemas.microsoft.com/office/spreadsheetml/2009/9/main" objectType="CheckBox" lockText="1" noThreeD="1"/>
</file>

<file path=xl/ctrlProps/ctrlProp229.xml><?xml version="1.0" encoding="utf-8"?>
<formControlPr xmlns="http://schemas.microsoft.com/office/spreadsheetml/2009/9/main" objectType="CheckBox" lockText="1" noThreeD="1"/>
</file>

<file path=xl/ctrlProps/ctrlProp23.xml><?xml version="1.0" encoding="utf-8"?>
<formControlPr xmlns="http://schemas.microsoft.com/office/spreadsheetml/2009/9/main" objectType="CheckBox" lockText="1" noThreeD="1"/>
</file>

<file path=xl/ctrlProps/ctrlProp230.xml><?xml version="1.0" encoding="utf-8"?>
<formControlPr xmlns="http://schemas.microsoft.com/office/spreadsheetml/2009/9/main" objectType="CheckBox" lockText="1" noThreeD="1"/>
</file>

<file path=xl/ctrlProps/ctrlProp231.xml><?xml version="1.0" encoding="utf-8"?>
<formControlPr xmlns="http://schemas.microsoft.com/office/spreadsheetml/2009/9/main" objectType="CheckBox" lockText="1" noThreeD="1"/>
</file>

<file path=xl/ctrlProps/ctrlProp232.xml><?xml version="1.0" encoding="utf-8"?>
<formControlPr xmlns="http://schemas.microsoft.com/office/spreadsheetml/2009/9/main" objectType="CheckBox" lockText="1" noThreeD="1"/>
</file>

<file path=xl/ctrlProps/ctrlProp233.xml><?xml version="1.0" encoding="utf-8"?>
<formControlPr xmlns="http://schemas.microsoft.com/office/spreadsheetml/2009/9/main" objectType="CheckBox" lockText="1" noThreeD="1"/>
</file>

<file path=xl/ctrlProps/ctrlProp234.xml><?xml version="1.0" encoding="utf-8"?>
<formControlPr xmlns="http://schemas.microsoft.com/office/spreadsheetml/2009/9/main" objectType="CheckBox" lockText="1" noThreeD="1"/>
</file>

<file path=xl/ctrlProps/ctrlProp235.xml><?xml version="1.0" encoding="utf-8"?>
<formControlPr xmlns="http://schemas.microsoft.com/office/spreadsheetml/2009/9/main" objectType="CheckBox" lockText="1" noThreeD="1"/>
</file>

<file path=xl/ctrlProps/ctrlProp236.xml><?xml version="1.0" encoding="utf-8"?>
<formControlPr xmlns="http://schemas.microsoft.com/office/spreadsheetml/2009/9/main" objectType="CheckBox" lockText="1" noThreeD="1"/>
</file>

<file path=xl/ctrlProps/ctrlProp237.xml><?xml version="1.0" encoding="utf-8"?>
<formControlPr xmlns="http://schemas.microsoft.com/office/spreadsheetml/2009/9/main" objectType="CheckBox" lockText="1" noThreeD="1"/>
</file>

<file path=xl/ctrlProps/ctrlProp238.xml><?xml version="1.0" encoding="utf-8"?>
<formControlPr xmlns="http://schemas.microsoft.com/office/spreadsheetml/2009/9/main" objectType="CheckBox" lockText="1" noThreeD="1"/>
</file>

<file path=xl/ctrlProps/ctrlProp239.xml><?xml version="1.0" encoding="utf-8"?>
<formControlPr xmlns="http://schemas.microsoft.com/office/spreadsheetml/2009/9/main" objectType="CheckBox" lockText="1" noThreeD="1"/>
</file>

<file path=xl/ctrlProps/ctrlProp24.xml><?xml version="1.0" encoding="utf-8"?>
<formControlPr xmlns="http://schemas.microsoft.com/office/spreadsheetml/2009/9/main" objectType="CheckBox" lockText="1" noThreeD="1"/>
</file>

<file path=xl/ctrlProps/ctrlProp240.xml><?xml version="1.0" encoding="utf-8"?>
<formControlPr xmlns="http://schemas.microsoft.com/office/spreadsheetml/2009/9/main" objectType="CheckBox" lockText="1" noThreeD="1"/>
</file>

<file path=xl/ctrlProps/ctrlProp241.xml><?xml version="1.0" encoding="utf-8"?>
<formControlPr xmlns="http://schemas.microsoft.com/office/spreadsheetml/2009/9/main" objectType="CheckBox" lockText="1" noThreeD="1"/>
</file>

<file path=xl/ctrlProps/ctrlProp242.xml><?xml version="1.0" encoding="utf-8"?>
<formControlPr xmlns="http://schemas.microsoft.com/office/spreadsheetml/2009/9/main" objectType="CheckBox" lockText="1" noThreeD="1"/>
</file>

<file path=xl/ctrlProps/ctrlProp243.xml><?xml version="1.0" encoding="utf-8"?>
<formControlPr xmlns="http://schemas.microsoft.com/office/spreadsheetml/2009/9/main" objectType="CheckBox" lockText="1" noThreeD="1"/>
</file>

<file path=xl/ctrlProps/ctrlProp244.xml><?xml version="1.0" encoding="utf-8"?>
<formControlPr xmlns="http://schemas.microsoft.com/office/spreadsheetml/2009/9/main" objectType="CheckBox" lockText="1" noThreeD="1"/>
</file>

<file path=xl/ctrlProps/ctrlProp245.xml><?xml version="1.0" encoding="utf-8"?>
<formControlPr xmlns="http://schemas.microsoft.com/office/spreadsheetml/2009/9/main" objectType="CheckBox" lockText="1" noThreeD="1"/>
</file>

<file path=xl/ctrlProps/ctrlProp246.xml><?xml version="1.0" encoding="utf-8"?>
<formControlPr xmlns="http://schemas.microsoft.com/office/spreadsheetml/2009/9/main" objectType="CheckBox" lockText="1" noThreeD="1"/>
</file>

<file path=xl/ctrlProps/ctrlProp247.xml><?xml version="1.0" encoding="utf-8"?>
<formControlPr xmlns="http://schemas.microsoft.com/office/spreadsheetml/2009/9/main" objectType="CheckBox" lockText="1" noThreeD="1"/>
</file>

<file path=xl/ctrlProps/ctrlProp248.xml><?xml version="1.0" encoding="utf-8"?>
<formControlPr xmlns="http://schemas.microsoft.com/office/spreadsheetml/2009/9/main" objectType="CheckBox" lockText="1" noThreeD="1"/>
</file>

<file path=xl/ctrlProps/ctrlProp249.xml><?xml version="1.0" encoding="utf-8"?>
<formControlPr xmlns="http://schemas.microsoft.com/office/spreadsheetml/2009/9/main" objectType="CheckBox" lockText="1" noThreeD="1"/>
</file>

<file path=xl/ctrlProps/ctrlProp25.xml><?xml version="1.0" encoding="utf-8"?>
<formControlPr xmlns="http://schemas.microsoft.com/office/spreadsheetml/2009/9/main" objectType="CheckBox" lockText="1" noThreeD="1"/>
</file>

<file path=xl/ctrlProps/ctrlProp250.xml><?xml version="1.0" encoding="utf-8"?>
<formControlPr xmlns="http://schemas.microsoft.com/office/spreadsheetml/2009/9/main" objectType="CheckBox" lockText="1" noThreeD="1"/>
</file>

<file path=xl/ctrlProps/ctrlProp251.xml><?xml version="1.0" encoding="utf-8"?>
<formControlPr xmlns="http://schemas.microsoft.com/office/spreadsheetml/2009/9/main" objectType="CheckBox" lockText="1" noThreeD="1"/>
</file>

<file path=xl/ctrlProps/ctrlProp252.xml><?xml version="1.0" encoding="utf-8"?>
<formControlPr xmlns="http://schemas.microsoft.com/office/spreadsheetml/2009/9/main" objectType="CheckBox" lockText="1" noThreeD="1"/>
</file>

<file path=xl/ctrlProps/ctrlProp253.xml><?xml version="1.0" encoding="utf-8"?>
<formControlPr xmlns="http://schemas.microsoft.com/office/spreadsheetml/2009/9/main" objectType="CheckBox" lockText="1" noThreeD="1"/>
</file>

<file path=xl/ctrlProps/ctrlProp254.xml><?xml version="1.0" encoding="utf-8"?>
<formControlPr xmlns="http://schemas.microsoft.com/office/spreadsheetml/2009/9/main" objectType="CheckBox" lockText="1" noThreeD="1"/>
</file>

<file path=xl/ctrlProps/ctrlProp255.xml><?xml version="1.0" encoding="utf-8"?>
<formControlPr xmlns="http://schemas.microsoft.com/office/spreadsheetml/2009/9/main" objectType="CheckBox" lockText="1" noThreeD="1"/>
</file>

<file path=xl/ctrlProps/ctrlProp256.xml><?xml version="1.0" encoding="utf-8"?>
<formControlPr xmlns="http://schemas.microsoft.com/office/spreadsheetml/2009/9/main" objectType="CheckBox" lockText="1" noThreeD="1"/>
</file>

<file path=xl/ctrlProps/ctrlProp257.xml><?xml version="1.0" encoding="utf-8"?>
<formControlPr xmlns="http://schemas.microsoft.com/office/spreadsheetml/2009/9/main" objectType="CheckBox" lockText="1" noThreeD="1"/>
</file>

<file path=xl/ctrlProps/ctrlProp258.xml><?xml version="1.0" encoding="utf-8"?>
<formControlPr xmlns="http://schemas.microsoft.com/office/spreadsheetml/2009/9/main" objectType="CheckBox" lockText="1" noThreeD="1"/>
</file>

<file path=xl/ctrlProps/ctrlProp259.xml><?xml version="1.0" encoding="utf-8"?>
<formControlPr xmlns="http://schemas.microsoft.com/office/spreadsheetml/2009/9/main" objectType="CheckBox" lockText="1" noThreeD="1"/>
</file>

<file path=xl/ctrlProps/ctrlProp26.xml><?xml version="1.0" encoding="utf-8"?>
<formControlPr xmlns="http://schemas.microsoft.com/office/spreadsheetml/2009/9/main" objectType="CheckBox" lockText="1" noThreeD="1"/>
</file>

<file path=xl/ctrlProps/ctrlProp260.xml><?xml version="1.0" encoding="utf-8"?>
<formControlPr xmlns="http://schemas.microsoft.com/office/spreadsheetml/2009/9/main" objectType="CheckBox" lockText="1" noThreeD="1"/>
</file>

<file path=xl/ctrlProps/ctrlProp261.xml><?xml version="1.0" encoding="utf-8"?>
<formControlPr xmlns="http://schemas.microsoft.com/office/spreadsheetml/2009/9/main" objectType="CheckBox" lockText="1" noThreeD="1"/>
</file>

<file path=xl/ctrlProps/ctrlProp262.xml><?xml version="1.0" encoding="utf-8"?>
<formControlPr xmlns="http://schemas.microsoft.com/office/spreadsheetml/2009/9/main" objectType="CheckBox" lockText="1" noThreeD="1"/>
</file>

<file path=xl/ctrlProps/ctrlProp263.xml><?xml version="1.0" encoding="utf-8"?>
<formControlPr xmlns="http://schemas.microsoft.com/office/spreadsheetml/2009/9/main" objectType="CheckBox" lockText="1" noThreeD="1"/>
</file>

<file path=xl/ctrlProps/ctrlProp264.xml><?xml version="1.0" encoding="utf-8"?>
<formControlPr xmlns="http://schemas.microsoft.com/office/spreadsheetml/2009/9/main" objectType="CheckBox" lockText="1" noThreeD="1"/>
</file>

<file path=xl/ctrlProps/ctrlProp265.xml><?xml version="1.0" encoding="utf-8"?>
<formControlPr xmlns="http://schemas.microsoft.com/office/spreadsheetml/2009/9/main" objectType="CheckBox" lockText="1" noThreeD="1"/>
</file>

<file path=xl/ctrlProps/ctrlProp266.xml><?xml version="1.0" encoding="utf-8"?>
<formControlPr xmlns="http://schemas.microsoft.com/office/spreadsheetml/2009/9/main" objectType="CheckBox" lockText="1" noThreeD="1"/>
</file>

<file path=xl/ctrlProps/ctrlProp267.xml><?xml version="1.0" encoding="utf-8"?>
<formControlPr xmlns="http://schemas.microsoft.com/office/spreadsheetml/2009/9/main" objectType="CheckBox" lockText="1" noThreeD="1"/>
</file>

<file path=xl/ctrlProps/ctrlProp268.xml><?xml version="1.0" encoding="utf-8"?>
<formControlPr xmlns="http://schemas.microsoft.com/office/spreadsheetml/2009/9/main" objectType="CheckBox" lockText="1" noThreeD="1"/>
</file>

<file path=xl/ctrlProps/ctrlProp269.xml><?xml version="1.0" encoding="utf-8"?>
<formControlPr xmlns="http://schemas.microsoft.com/office/spreadsheetml/2009/9/main" objectType="CheckBox" lockText="1" noThreeD="1"/>
</file>

<file path=xl/ctrlProps/ctrlProp27.xml><?xml version="1.0" encoding="utf-8"?>
<formControlPr xmlns="http://schemas.microsoft.com/office/spreadsheetml/2009/9/main" objectType="CheckBox" lockText="1" noThreeD="1"/>
</file>

<file path=xl/ctrlProps/ctrlProp270.xml><?xml version="1.0" encoding="utf-8"?>
<formControlPr xmlns="http://schemas.microsoft.com/office/spreadsheetml/2009/9/main" objectType="CheckBox" lockText="1" noThreeD="1"/>
</file>

<file path=xl/ctrlProps/ctrlProp271.xml><?xml version="1.0" encoding="utf-8"?>
<formControlPr xmlns="http://schemas.microsoft.com/office/spreadsheetml/2009/9/main" objectType="CheckBox" lockText="1" noThreeD="1"/>
</file>

<file path=xl/ctrlProps/ctrlProp272.xml><?xml version="1.0" encoding="utf-8"?>
<formControlPr xmlns="http://schemas.microsoft.com/office/spreadsheetml/2009/9/main" objectType="CheckBox" lockText="1" noThreeD="1"/>
</file>

<file path=xl/ctrlProps/ctrlProp273.xml><?xml version="1.0" encoding="utf-8"?>
<formControlPr xmlns="http://schemas.microsoft.com/office/spreadsheetml/2009/9/main" objectType="CheckBox" lockText="1" noThreeD="1"/>
</file>

<file path=xl/ctrlProps/ctrlProp274.xml><?xml version="1.0" encoding="utf-8"?>
<formControlPr xmlns="http://schemas.microsoft.com/office/spreadsheetml/2009/9/main" objectType="CheckBox" lockText="1" noThreeD="1"/>
</file>

<file path=xl/ctrlProps/ctrlProp275.xml><?xml version="1.0" encoding="utf-8"?>
<formControlPr xmlns="http://schemas.microsoft.com/office/spreadsheetml/2009/9/main" objectType="CheckBox" lockText="1" noThreeD="1"/>
</file>

<file path=xl/ctrlProps/ctrlProp276.xml><?xml version="1.0" encoding="utf-8"?>
<formControlPr xmlns="http://schemas.microsoft.com/office/spreadsheetml/2009/9/main" objectType="CheckBox" lockText="1" noThreeD="1"/>
</file>

<file path=xl/ctrlProps/ctrlProp277.xml><?xml version="1.0" encoding="utf-8"?>
<formControlPr xmlns="http://schemas.microsoft.com/office/spreadsheetml/2009/9/main" objectType="CheckBox" lockText="1" noThreeD="1"/>
</file>

<file path=xl/ctrlProps/ctrlProp278.xml><?xml version="1.0" encoding="utf-8"?>
<formControlPr xmlns="http://schemas.microsoft.com/office/spreadsheetml/2009/9/main" objectType="CheckBox" lockText="1" noThreeD="1"/>
</file>

<file path=xl/ctrlProps/ctrlProp279.xml><?xml version="1.0" encoding="utf-8"?>
<formControlPr xmlns="http://schemas.microsoft.com/office/spreadsheetml/2009/9/main" objectType="CheckBox" lockText="1" noThreeD="1"/>
</file>

<file path=xl/ctrlProps/ctrlProp28.xml><?xml version="1.0" encoding="utf-8"?>
<formControlPr xmlns="http://schemas.microsoft.com/office/spreadsheetml/2009/9/main" objectType="CheckBox" lockText="1" noThreeD="1"/>
</file>

<file path=xl/ctrlProps/ctrlProp280.xml><?xml version="1.0" encoding="utf-8"?>
<formControlPr xmlns="http://schemas.microsoft.com/office/spreadsheetml/2009/9/main" objectType="CheckBox" lockText="1" noThreeD="1"/>
</file>

<file path=xl/ctrlProps/ctrlProp281.xml><?xml version="1.0" encoding="utf-8"?>
<formControlPr xmlns="http://schemas.microsoft.com/office/spreadsheetml/2009/9/main" objectType="CheckBox" lockText="1" noThreeD="1"/>
</file>

<file path=xl/ctrlProps/ctrlProp282.xml><?xml version="1.0" encoding="utf-8"?>
<formControlPr xmlns="http://schemas.microsoft.com/office/spreadsheetml/2009/9/main" objectType="CheckBox" lockText="1" noThreeD="1"/>
</file>

<file path=xl/ctrlProps/ctrlProp283.xml><?xml version="1.0" encoding="utf-8"?>
<formControlPr xmlns="http://schemas.microsoft.com/office/spreadsheetml/2009/9/main" objectType="CheckBox" lockText="1" noThreeD="1"/>
</file>

<file path=xl/ctrlProps/ctrlProp284.xml><?xml version="1.0" encoding="utf-8"?>
<formControlPr xmlns="http://schemas.microsoft.com/office/spreadsheetml/2009/9/main" objectType="CheckBox" lockText="1" noThreeD="1"/>
</file>

<file path=xl/ctrlProps/ctrlProp285.xml><?xml version="1.0" encoding="utf-8"?>
<formControlPr xmlns="http://schemas.microsoft.com/office/spreadsheetml/2009/9/main" objectType="CheckBox" lockText="1" noThreeD="1"/>
</file>

<file path=xl/ctrlProps/ctrlProp286.xml><?xml version="1.0" encoding="utf-8"?>
<formControlPr xmlns="http://schemas.microsoft.com/office/spreadsheetml/2009/9/main" objectType="CheckBox" lockText="1" noThreeD="1"/>
</file>

<file path=xl/ctrlProps/ctrlProp287.xml><?xml version="1.0" encoding="utf-8"?>
<formControlPr xmlns="http://schemas.microsoft.com/office/spreadsheetml/2009/9/main" objectType="CheckBox" lockText="1" noThreeD="1"/>
</file>

<file path=xl/ctrlProps/ctrlProp288.xml><?xml version="1.0" encoding="utf-8"?>
<formControlPr xmlns="http://schemas.microsoft.com/office/spreadsheetml/2009/9/main" objectType="CheckBox" lockText="1" noThreeD="1"/>
</file>

<file path=xl/ctrlProps/ctrlProp289.xml><?xml version="1.0" encoding="utf-8"?>
<formControlPr xmlns="http://schemas.microsoft.com/office/spreadsheetml/2009/9/main" objectType="CheckBox" lockText="1" noThreeD="1"/>
</file>

<file path=xl/ctrlProps/ctrlProp29.xml><?xml version="1.0" encoding="utf-8"?>
<formControlPr xmlns="http://schemas.microsoft.com/office/spreadsheetml/2009/9/main" objectType="CheckBox" lockText="1" noThreeD="1"/>
</file>

<file path=xl/ctrlProps/ctrlProp290.xml><?xml version="1.0" encoding="utf-8"?>
<formControlPr xmlns="http://schemas.microsoft.com/office/spreadsheetml/2009/9/main" objectType="CheckBox" lockText="1" noThreeD="1"/>
</file>

<file path=xl/ctrlProps/ctrlProp291.xml><?xml version="1.0" encoding="utf-8"?>
<formControlPr xmlns="http://schemas.microsoft.com/office/spreadsheetml/2009/9/main" objectType="CheckBox" lockText="1" noThreeD="1"/>
</file>

<file path=xl/ctrlProps/ctrlProp292.xml><?xml version="1.0" encoding="utf-8"?>
<formControlPr xmlns="http://schemas.microsoft.com/office/spreadsheetml/2009/9/main" objectType="CheckBox" lockText="1" noThreeD="1"/>
</file>

<file path=xl/ctrlProps/ctrlProp293.xml><?xml version="1.0" encoding="utf-8"?>
<formControlPr xmlns="http://schemas.microsoft.com/office/spreadsheetml/2009/9/main" objectType="CheckBox" lockText="1" noThreeD="1"/>
</file>

<file path=xl/ctrlProps/ctrlProp294.xml><?xml version="1.0" encoding="utf-8"?>
<formControlPr xmlns="http://schemas.microsoft.com/office/spreadsheetml/2009/9/main" objectType="CheckBox" lockText="1" noThreeD="1"/>
</file>

<file path=xl/ctrlProps/ctrlProp295.xml><?xml version="1.0" encoding="utf-8"?>
<formControlPr xmlns="http://schemas.microsoft.com/office/spreadsheetml/2009/9/main" objectType="CheckBox" lockText="1" noThreeD="1"/>
</file>

<file path=xl/ctrlProps/ctrlProp296.xml><?xml version="1.0" encoding="utf-8"?>
<formControlPr xmlns="http://schemas.microsoft.com/office/spreadsheetml/2009/9/main" objectType="CheckBox" lockText="1" noThreeD="1"/>
</file>

<file path=xl/ctrlProps/ctrlProp297.xml><?xml version="1.0" encoding="utf-8"?>
<formControlPr xmlns="http://schemas.microsoft.com/office/spreadsheetml/2009/9/main" objectType="CheckBox" lockText="1" noThreeD="1"/>
</file>

<file path=xl/ctrlProps/ctrlProp298.xml><?xml version="1.0" encoding="utf-8"?>
<formControlPr xmlns="http://schemas.microsoft.com/office/spreadsheetml/2009/9/main" objectType="CheckBox" lockText="1" noThreeD="1"/>
</file>

<file path=xl/ctrlProps/ctrlProp299.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30.xml><?xml version="1.0" encoding="utf-8"?>
<formControlPr xmlns="http://schemas.microsoft.com/office/spreadsheetml/2009/9/main" objectType="CheckBox" lockText="1" noThreeD="1"/>
</file>

<file path=xl/ctrlProps/ctrlProp300.xml><?xml version="1.0" encoding="utf-8"?>
<formControlPr xmlns="http://schemas.microsoft.com/office/spreadsheetml/2009/9/main" objectType="CheckBox" lockText="1" noThreeD="1"/>
</file>

<file path=xl/ctrlProps/ctrlProp301.xml><?xml version="1.0" encoding="utf-8"?>
<formControlPr xmlns="http://schemas.microsoft.com/office/spreadsheetml/2009/9/main" objectType="CheckBox" lockText="1" noThreeD="1"/>
</file>

<file path=xl/ctrlProps/ctrlProp302.xml><?xml version="1.0" encoding="utf-8"?>
<formControlPr xmlns="http://schemas.microsoft.com/office/spreadsheetml/2009/9/main" objectType="CheckBox" lockText="1" noThreeD="1"/>
</file>

<file path=xl/ctrlProps/ctrlProp31.xml><?xml version="1.0" encoding="utf-8"?>
<formControlPr xmlns="http://schemas.microsoft.com/office/spreadsheetml/2009/9/main" objectType="CheckBox" lockText="1" noThreeD="1"/>
</file>

<file path=xl/ctrlProps/ctrlProp32.xml><?xml version="1.0" encoding="utf-8"?>
<formControlPr xmlns="http://schemas.microsoft.com/office/spreadsheetml/2009/9/main" objectType="CheckBox" lockText="1" noThreeD="1"/>
</file>

<file path=xl/ctrlProps/ctrlProp33.xml><?xml version="1.0" encoding="utf-8"?>
<formControlPr xmlns="http://schemas.microsoft.com/office/spreadsheetml/2009/9/main" objectType="CheckBox" lockText="1" noThreeD="1"/>
</file>

<file path=xl/ctrlProps/ctrlProp34.xml><?xml version="1.0" encoding="utf-8"?>
<formControlPr xmlns="http://schemas.microsoft.com/office/spreadsheetml/2009/9/main" objectType="CheckBox" lockText="1" noThreeD="1"/>
</file>

<file path=xl/ctrlProps/ctrlProp35.xml><?xml version="1.0" encoding="utf-8"?>
<formControlPr xmlns="http://schemas.microsoft.com/office/spreadsheetml/2009/9/main" objectType="CheckBox" lockText="1" noThreeD="1"/>
</file>

<file path=xl/ctrlProps/ctrlProp36.xml><?xml version="1.0" encoding="utf-8"?>
<formControlPr xmlns="http://schemas.microsoft.com/office/spreadsheetml/2009/9/main" objectType="CheckBox" lockText="1" noThreeD="1"/>
</file>

<file path=xl/ctrlProps/ctrlProp37.xml><?xml version="1.0" encoding="utf-8"?>
<formControlPr xmlns="http://schemas.microsoft.com/office/spreadsheetml/2009/9/main" objectType="CheckBox" lockText="1" noThreeD="1"/>
</file>

<file path=xl/ctrlProps/ctrlProp38.xml><?xml version="1.0" encoding="utf-8"?>
<formControlPr xmlns="http://schemas.microsoft.com/office/spreadsheetml/2009/9/main" objectType="CheckBox" lockText="1" noThreeD="1"/>
</file>

<file path=xl/ctrlProps/ctrlProp39.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40.xml><?xml version="1.0" encoding="utf-8"?>
<formControlPr xmlns="http://schemas.microsoft.com/office/spreadsheetml/2009/9/main" objectType="CheckBox" lockText="1" noThreeD="1"/>
</file>

<file path=xl/ctrlProps/ctrlProp41.xml><?xml version="1.0" encoding="utf-8"?>
<formControlPr xmlns="http://schemas.microsoft.com/office/spreadsheetml/2009/9/main" objectType="CheckBox" lockText="1" noThreeD="1"/>
</file>

<file path=xl/ctrlProps/ctrlProp42.xml><?xml version="1.0" encoding="utf-8"?>
<formControlPr xmlns="http://schemas.microsoft.com/office/spreadsheetml/2009/9/main" objectType="CheckBox" lockText="1" noThreeD="1"/>
</file>

<file path=xl/ctrlProps/ctrlProp43.xml><?xml version="1.0" encoding="utf-8"?>
<formControlPr xmlns="http://schemas.microsoft.com/office/spreadsheetml/2009/9/main" objectType="CheckBox" lockText="1" noThreeD="1"/>
</file>

<file path=xl/ctrlProps/ctrlProp44.xml><?xml version="1.0" encoding="utf-8"?>
<formControlPr xmlns="http://schemas.microsoft.com/office/spreadsheetml/2009/9/main" objectType="CheckBox" lockText="1" noThreeD="1"/>
</file>

<file path=xl/ctrlProps/ctrlProp45.xml><?xml version="1.0" encoding="utf-8"?>
<formControlPr xmlns="http://schemas.microsoft.com/office/spreadsheetml/2009/9/main" objectType="CheckBox" lockText="1" noThreeD="1"/>
</file>

<file path=xl/ctrlProps/ctrlProp46.xml><?xml version="1.0" encoding="utf-8"?>
<formControlPr xmlns="http://schemas.microsoft.com/office/spreadsheetml/2009/9/main" objectType="CheckBox" lockText="1" noThreeD="1"/>
</file>

<file path=xl/ctrlProps/ctrlProp47.xml><?xml version="1.0" encoding="utf-8"?>
<formControlPr xmlns="http://schemas.microsoft.com/office/spreadsheetml/2009/9/main" objectType="CheckBox" lockText="1" noThreeD="1"/>
</file>

<file path=xl/ctrlProps/ctrlProp48.xml><?xml version="1.0" encoding="utf-8"?>
<formControlPr xmlns="http://schemas.microsoft.com/office/spreadsheetml/2009/9/main" objectType="CheckBox" lockText="1" noThreeD="1"/>
</file>

<file path=xl/ctrlProps/ctrlProp49.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50.xml><?xml version="1.0" encoding="utf-8"?>
<formControlPr xmlns="http://schemas.microsoft.com/office/spreadsheetml/2009/9/main" objectType="CheckBox" lockText="1" noThreeD="1"/>
</file>

<file path=xl/ctrlProps/ctrlProp51.xml><?xml version="1.0" encoding="utf-8"?>
<formControlPr xmlns="http://schemas.microsoft.com/office/spreadsheetml/2009/9/main" objectType="CheckBox" lockText="1" noThreeD="1"/>
</file>

<file path=xl/ctrlProps/ctrlProp52.xml><?xml version="1.0" encoding="utf-8"?>
<formControlPr xmlns="http://schemas.microsoft.com/office/spreadsheetml/2009/9/main" objectType="CheckBox" lockText="1" noThreeD="1"/>
</file>

<file path=xl/ctrlProps/ctrlProp53.xml><?xml version="1.0" encoding="utf-8"?>
<formControlPr xmlns="http://schemas.microsoft.com/office/spreadsheetml/2009/9/main" objectType="CheckBox" lockText="1" noThreeD="1"/>
</file>

<file path=xl/ctrlProps/ctrlProp54.xml><?xml version="1.0" encoding="utf-8"?>
<formControlPr xmlns="http://schemas.microsoft.com/office/spreadsheetml/2009/9/main" objectType="CheckBox" lockText="1" noThreeD="1"/>
</file>

<file path=xl/ctrlProps/ctrlProp55.xml><?xml version="1.0" encoding="utf-8"?>
<formControlPr xmlns="http://schemas.microsoft.com/office/spreadsheetml/2009/9/main" objectType="CheckBox" lockText="1" noThreeD="1"/>
</file>

<file path=xl/ctrlProps/ctrlProp56.xml><?xml version="1.0" encoding="utf-8"?>
<formControlPr xmlns="http://schemas.microsoft.com/office/spreadsheetml/2009/9/main" objectType="CheckBox" lockText="1" noThreeD="1"/>
</file>

<file path=xl/ctrlProps/ctrlProp57.xml><?xml version="1.0" encoding="utf-8"?>
<formControlPr xmlns="http://schemas.microsoft.com/office/spreadsheetml/2009/9/main" objectType="CheckBox" lockText="1" noThreeD="1"/>
</file>

<file path=xl/ctrlProps/ctrlProp58.xml><?xml version="1.0" encoding="utf-8"?>
<formControlPr xmlns="http://schemas.microsoft.com/office/spreadsheetml/2009/9/main" objectType="CheckBox" lockText="1" noThreeD="1"/>
</file>

<file path=xl/ctrlProps/ctrlProp59.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60.xml><?xml version="1.0" encoding="utf-8"?>
<formControlPr xmlns="http://schemas.microsoft.com/office/spreadsheetml/2009/9/main" objectType="CheckBox" lockText="1" noThreeD="1"/>
</file>

<file path=xl/ctrlProps/ctrlProp61.xml><?xml version="1.0" encoding="utf-8"?>
<formControlPr xmlns="http://schemas.microsoft.com/office/spreadsheetml/2009/9/main" objectType="CheckBox" lockText="1" noThreeD="1"/>
</file>

<file path=xl/ctrlProps/ctrlProp62.xml><?xml version="1.0" encoding="utf-8"?>
<formControlPr xmlns="http://schemas.microsoft.com/office/spreadsheetml/2009/9/main" objectType="CheckBox" lockText="1" noThreeD="1"/>
</file>

<file path=xl/ctrlProps/ctrlProp63.xml><?xml version="1.0" encoding="utf-8"?>
<formControlPr xmlns="http://schemas.microsoft.com/office/spreadsheetml/2009/9/main" objectType="CheckBox" lockText="1" noThreeD="1"/>
</file>

<file path=xl/ctrlProps/ctrlProp64.xml><?xml version="1.0" encoding="utf-8"?>
<formControlPr xmlns="http://schemas.microsoft.com/office/spreadsheetml/2009/9/main" objectType="CheckBox" lockText="1" noThreeD="1"/>
</file>

<file path=xl/ctrlProps/ctrlProp65.xml><?xml version="1.0" encoding="utf-8"?>
<formControlPr xmlns="http://schemas.microsoft.com/office/spreadsheetml/2009/9/main" objectType="CheckBox" lockText="1" noThreeD="1"/>
</file>

<file path=xl/ctrlProps/ctrlProp66.xml><?xml version="1.0" encoding="utf-8"?>
<formControlPr xmlns="http://schemas.microsoft.com/office/spreadsheetml/2009/9/main" objectType="CheckBox" lockText="1" noThreeD="1"/>
</file>

<file path=xl/ctrlProps/ctrlProp67.xml><?xml version="1.0" encoding="utf-8"?>
<formControlPr xmlns="http://schemas.microsoft.com/office/spreadsheetml/2009/9/main" objectType="CheckBox" lockText="1" noThreeD="1"/>
</file>

<file path=xl/ctrlProps/ctrlProp68.xml><?xml version="1.0" encoding="utf-8"?>
<formControlPr xmlns="http://schemas.microsoft.com/office/spreadsheetml/2009/9/main" objectType="CheckBox" lockText="1" noThreeD="1"/>
</file>

<file path=xl/ctrlProps/ctrlProp69.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70.xml><?xml version="1.0" encoding="utf-8"?>
<formControlPr xmlns="http://schemas.microsoft.com/office/spreadsheetml/2009/9/main" objectType="CheckBox" lockText="1" noThreeD="1"/>
</file>

<file path=xl/ctrlProps/ctrlProp71.xml><?xml version="1.0" encoding="utf-8"?>
<formControlPr xmlns="http://schemas.microsoft.com/office/spreadsheetml/2009/9/main" objectType="CheckBox" lockText="1" noThreeD="1"/>
</file>

<file path=xl/ctrlProps/ctrlProp72.xml><?xml version="1.0" encoding="utf-8"?>
<formControlPr xmlns="http://schemas.microsoft.com/office/spreadsheetml/2009/9/main" objectType="CheckBox" lockText="1" noThreeD="1"/>
</file>

<file path=xl/ctrlProps/ctrlProp73.xml><?xml version="1.0" encoding="utf-8"?>
<formControlPr xmlns="http://schemas.microsoft.com/office/spreadsheetml/2009/9/main" objectType="CheckBox" lockText="1" noThreeD="1"/>
</file>

<file path=xl/ctrlProps/ctrlProp74.xml><?xml version="1.0" encoding="utf-8"?>
<formControlPr xmlns="http://schemas.microsoft.com/office/spreadsheetml/2009/9/main" objectType="CheckBox" lockText="1" noThreeD="1"/>
</file>

<file path=xl/ctrlProps/ctrlProp75.xml><?xml version="1.0" encoding="utf-8"?>
<formControlPr xmlns="http://schemas.microsoft.com/office/spreadsheetml/2009/9/main" objectType="CheckBox" lockText="1" noThreeD="1"/>
</file>

<file path=xl/ctrlProps/ctrlProp76.xml><?xml version="1.0" encoding="utf-8"?>
<formControlPr xmlns="http://schemas.microsoft.com/office/spreadsheetml/2009/9/main" objectType="CheckBox" lockText="1" noThreeD="1"/>
</file>

<file path=xl/ctrlProps/ctrlProp77.xml><?xml version="1.0" encoding="utf-8"?>
<formControlPr xmlns="http://schemas.microsoft.com/office/spreadsheetml/2009/9/main" objectType="CheckBox" lockText="1" noThreeD="1"/>
</file>

<file path=xl/ctrlProps/ctrlProp78.xml><?xml version="1.0" encoding="utf-8"?>
<formControlPr xmlns="http://schemas.microsoft.com/office/spreadsheetml/2009/9/main" objectType="CheckBox" lockText="1" noThreeD="1"/>
</file>

<file path=xl/ctrlProps/ctrlProp79.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ctrlProps/ctrlProp80.xml><?xml version="1.0" encoding="utf-8"?>
<formControlPr xmlns="http://schemas.microsoft.com/office/spreadsheetml/2009/9/main" objectType="CheckBox" lockText="1" noThreeD="1"/>
</file>

<file path=xl/ctrlProps/ctrlProp81.xml><?xml version="1.0" encoding="utf-8"?>
<formControlPr xmlns="http://schemas.microsoft.com/office/spreadsheetml/2009/9/main" objectType="CheckBox" lockText="1" noThreeD="1"/>
</file>

<file path=xl/ctrlProps/ctrlProp82.xml><?xml version="1.0" encoding="utf-8"?>
<formControlPr xmlns="http://schemas.microsoft.com/office/spreadsheetml/2009/9/main" objectType="CheckBox" lockText="1" noThreeD="1"/>
</file>

<file path=xl/ctrlProps/ctrlProp83.xml><?xml version="1.0" encoding="utf-8"?>
<formControlPr xmlns="http://schemas.microsoft.com/office/spreadsheetml/2009/9/main" objectType="CheckBox" lockText="1" noThreeD="1"/>
</file>

<file path=xl/ctrlProps/ctrlProp84.xml><?xml version="1.0" encoding="utf-8"?>
<formControlPr xmlns="http://schemas.microsoft.com/office/spreadsheetml/2009/9/main" objectType="CheckBox" lockText="1" noThreeD="1"/>
</file>

<file path=xl/ctrlProps/ctrlProp85.xml><?xml version="1.0" encoding="utf-8"?>
<formControlPr xmlns="http://schemas.microsoft.com/office/spreadsheetml/2009/9/main" objectType="CheckBox" lockText="1" noThreeD="1"/>
</file>

<file path=xl/ctrlProps/ctrlProp86.xml><?xml version="1.0" encoding="utf-8"?>
<formControlPr xmlns="http://schemas.microsoft.com/office/spreadsheetml/2009/9/main" objectType="CheckBox" lockText="1" noThreeD="1"/>
</file>

<file path=xl/ctrlProps/ctrlProp87.xml><?xml version="1.0" encoding="utf-8"?>
<formControlPr xmlns="http://schemas.microsoft.com/office/spreadsheetml/2009/9/main" objectType="CheckBox" lockText="1" noThreeD="1"/>
</file>

<file path=xl/ctrlProps/ctrlProp88.xml><?xml version="1.0" encoding="utf-8"?>
<formControlPr xmlns="http://schemas.microsoft.com/office/spreadsheetml/2009/9/main" objectType="CheckBox" lockText="1" noThreeD="1"/>
</file>

<file path=xl/ctrlProps/ctrlProp89.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lockText="1" noThreeD="1"/>
</file>

<file path=xl/ctrlProps/ctrlProp90.xml><?xml version="1.0" encoding="utf-8"?>
<formControlPr xmlns="http://schemas.microsoft.com/office/spreadsheetml/2009/9/main" objectType="CheckBox" lockText="1" noThreeD="1"/>
</file>

<file path=xl/ctrlProps/ctrlProp91.xml><?xml version="1.0" encoding="utf-8"?>
<formControlPr xmlns="http://schemas.microsoft.com/office/spreadsheetml/2009/9/main" objectType="CheckBox" lockText="1" noThreeD="1"/>
</file>

<file path=xl/ctrlProps/ctrlProp92.xml><?xml version="1.0" encoding="utf-8"?>
<formControlPr xmlns="http://schemas.microsoft.com/office/spreadsheetml/2009/9/main" objectType="CheckBox" lockText="1" noThreeD="1"/>
</file>

<file path=xl/ctrlProps/ctrlProp93.xml><?xml version="1.0" encoding="utf-8"?>
<formControlPr xmlns="http://schemas.microsoft.com/office/spreadsheetml/2009/9/main" objectType="CheckBox" lockText="1" noThreeD="1"/>
</file>

<file path=xl/ctrlProps/ctrlProp94.xml><?xml version="1.0" encoding="utf-8"?>
<formControlPr xmlns="http://schemas.microsoft.com/office/spreadsheetml/2009/9/main" objectType="CheckBox" lockText="1" noThreeD="1"/>
</file>

<file path=xl/ctrlProps/ctrlProp95.xml><?xml version="1.0" encoding="utf-8"?>
<formControlPr xmlns="http://schemas.microsoft.com/office/spreadsheetml/2009/9/main" objectType="CheckBox" lockText="1" noThreeD="1"/>
</file>

<file path=xl/ctrlProps/ctrlProp96.xml><?xml version="1.0" encoding="utf-8"?>
<formControlPr xmlns="http://schemas.microsoft.com/office/spreadsheetml/2009/9/main" objectType="CheckBox" lockText="1" noThreeD="1"/>
</file>

<file path=xl/ctrlProps/ctrlProp97.xml><?xml version="1.0" encoding="utf-8"?>
<formControlPr xmlns="http://schemas.microsoft.com/office/spreadsheetml/2009/9/main" objectType="CheckBox" lockText="1" noThreeD="1"/>
</file>

<file path=xl/ctrlProps/ctrlProp98.xml><?xml version="1.0" encoding="utf-8"?>
<formControlPr xmlns="http://schemas.microsoft.com/office/spreadsheetml/2009/9/main" objectType="CheckBox" lockText="1" noThreeD="1"/>
</file>

<file path=xl/ctrlProps/ctrlProp99.xml><?xml version="1.0" encoding="utf-8"?>
<formControlPr xmlns="http://schemas.microsoft.com/office/spreadsheetml/2009/9/main" objectType="CheckBox"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276225</xdr:colOff>
          <xdr:row>1</xdr:row>
          <xdr:rowOff>9525</xdr:rowOff>
        </xdr:from>
        <xdr:to>
          <xdr:col>3</xdr:col>
          <xdr:colOff>19050</xdr:colOff>
          <xdr:row>1</xdr:row>
          <xdr:rowOff>485775</xdr:rowOff>
        </xdr:to>
        <xdr:sp macro="" textlink="">
          <xdr:nvSpPr>
            <xdr:cNvPr id="1025" name="Check Box 1" hidden="1">
              <a:extLst>
                <a:ext uri="{63B3BB69-23CF-44E3-9099-C40C66FF867C}">
                  <a14:compatExt spid="_x0000_s1025"/>
                </a:ext>
                <a:ext uri="{FF2B5EF4-FFF2-40B4-BE49-F238E27FC236}">
                  <a16:creationId xmlns:a16="http://schemas.microsoft.com/office/drawing/2014/main" id="{3758A3C5-546B-4E1A-9F54-60F478D3E553}"/>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2</xdr:row>
          <xdr:rowOff>9525</xdr:rowOff>
        </xdr:from>
        <xdr:to>
          <xdr:col>3</xdr:col>
          <xdr:colOff>19050</xdr:colOff>
          <xdr:row>2</xdr:row>
          <xdr:rowOff>485775</xdr:rowOff>
        </xdr:to>
        <xdr:sp macro="" textlink="">
          <xdr:nvSpPr>
            <xdr:cNvPr id="1026" name="Check Box 2" hidden="1">
              <a:extLst>
                <a:ext uri="{63B3BB69-23CF-44E3-9099-C40C66FF867C}">
                  <a14:compatExt spid="_x0000_s1026"/>
                </a:ext>
                <a:ext uri="{FF2B5EF4-FFF2-40B4-BE49-F238E27FC236}">
                  <a16:creationId xmlns:a16="http://schemas.microsoft.com/office/drawing/2014/main" id="{C7912179-C5D0-4416-B220-C97BA867DF86}"/>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3</xdr:row>
          <xdr:rowOff>9525</xdr:rowOff>
        </xdr:from>
        <xdr:to>
          <xdr:col>3</xdr:col>
          <xdr:colOff>19050</xdr:colOff>
          <xdr:row>3</xdr:row>
          <xdr:rowOff>485775</xdr:rowOff>
        </xdr:to>
        <xdr:sp macro="" textlink="">
          <xdr:nvSpPr>
            <xdr:cNvPr id="1027" name="Check Box 3" hidden="1">
              <a:extLst>
                <a:ext uri="{63B3BB69-23CF-44E3-9099-C40C66FF867C}">
                  <a14:compatExt spid="_x0000_s1027"/>
                </a:ext>
                <a:ext uri="{FF2B5EF4-FFF2-40B4-BE49-F238E27FC236}">
                  <a16:creationId xmlns:a16="http://schemas.microsoft.com/office/drawing/2014/main" id="{BF6C105C-5E19-4FA0-888C-EC6DB2E32A56}"/>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4</xdr:row>
          <xdr:rowOff>9525</xdr:rowOff>
        </xdr:from>
        <xdr:to>
          <xdr:col>3</xdr:col>
          <xdr:colOff>19050</xdr:colOff>
          <xdr:row>4</xdr:row>
          <xdr:rowOff>485775</xdr:rowOff>
        </xdr:to>
        <xdr:sp macro="" textlink="">
          <xdr:nvSpPr>
            <xdr:cNvPr id="1028" name="Check Box 4" hidden="1">
              <a:extLst>
                <a:ext uri="{63B3BB69-23CF-44E3-9099-C40C66FF867C}">
                  <a14:compatExt spid="_x0000_s1028"/>
                </a:ext>
                <a:ext uri="{FF2B5EF4-FFF2-40B4-BE49-F238E27FC236}">
                  <a16:creationId xmlns:a16="http://schemas.microsoft.com/office/drawing/2014/main" id="{81B1C50C-EA5D-4640-85AE-79CE361DDB21}"/>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5</xdr:row>
          <xdr:rowOff>9525</xdr:rowOff>
        </xdr:from>
        <xdr:to>
          <xdr:col>3</xdr:col>
          <xdr:colOff>19050</xdr:colOff>
          <xdr:row>5</xdr:row>
          <xdr:rowOff>485775</xdr:rowOff>
        </xdr:to>
        <xdr:sp macro="" textlink="">
          <xdr:nvSpPr>
            <xdr:cNvPr id="1029" name="Check Box 5" hidden="1">
              <a:extLst>
                <a:ext uri="{63B3BB69-23CF-44E3-9099-C40C66FF867C}">
                  <a14:compatExt spid="_x0000_s1029"/>
                </a:ext>
                <a:ext uri="{FF2B5EF4-FFF2-40B4-BE49-F238E27FC236}">
                  <a16:creationId xmlns:a16="http://schemas.microsoft.com/office/drawing/2014/main" id="{73CDFE7E-8B48-4317-99D9-6531609B8ADD}"/>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6</xdr:row>
          <xdr:rowOff>9525</xdr:rowOff>
        </xdr:from>
        <xdr:to>
          <xdr:col>3</xdr:col>
          <xdr:colOff>19050</xdr:colOff>
          <xdr:row>6</xdr:row>
          <xdr:rowOff>485775</xdr:rowOff>
        </xdr:to>
        <xdr:sp macro="" textlink="">
          <xdr:nvSpPr>
            <xdr:cNvPr id="1030" name="Check Box 6" hidden="1">
              <a:extLst>
                <a:ext uri="{63B3BB69-23CF-44E3-9099-C40C66FF867C}">
                  <a14:compatExt spid="_x0000_s1030"/>
                </a:ext>
                <a:ext uri="{FF2B5EF4-FFF2-40B4-BE49-F238E27FC236}">
                  <a16:creationId xmlns:a16="http://schemas.microsoft.com/office/drawing/2014/main" id="{66D1E091-3494-41D2-A5A5-0B306DC056F8}"/>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7</xdr:row>
          <xdr:rowOff>9525</xdr:rowOff>
        </xdr:from>
        <xdr:to>
          <xdr:col>3</xdr:col>
          <xdr:colOff>19050</xdr:colOff>
          <xdr:row>7</xdr:row>
          <xdr:rowOff>485775</xdr:rowOff>
        </xdr:to>
        <xdr:sp macro="" textlink="">
          <xdr:nvSpPr>
            <xdr:cNvPr id="1031" name="Check Box 7" hidden="1">
              <a:extLst>
                <a:ext uri="{63B3BB69-23CF-44E3-9099-C40C66FF867C}">
                  <a14:compatExt spid="_x0000_s1031"/>
                </a:ext>
                <a:ext uri="{FF2B5EF4-FFF2-40B4-BE49-F238E27FC236}">
                  <a16:creationId xmlns:a16="http://schemas.microsoft.com/office/drawing/2014/main" id="{9DA27A52-65AB-49A1-9279-DE517C83C4EE}"/>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8</xdr:row>
          <xdr:rowOff>9525</xdr:rowOff>
        </xdr:from>
        <xdr:to>
          <xdr:col>3</xdr:col>
          <xdr:colOff>19050</xdr:colOff>
          <xdr:row>8</xdr:row>
          <xdr:rowOff>485775</xdr:rowOff>
        </xdr:to>
        <xdr:sp macro="" textlink="">
          <xdr:nvSpPr>
            <xdr:cNvPr id="1032" name="Check Box 8" hidden="1">
              <a:extLst>
                <a:ext uri="{63B3BB69-23CF-44E3-9099-C40C66FF867C}">
                  <a14:compatExt spid="_x0000_s1032"/>
                </a:ext>
                <a:ext uri="{FF2B5EF4-FFF2-40B4-BE49-F238E27FC236}">
                  <a16:creationId xmlns:a16="http://schemas.microsoft.com/office/drawing/2014/main" id="{9765A819-DC2C-49CA-8A33-2AA178498A1E}"/>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9</xdr:row>
          <xdr:rowOff>9525</xdr:rowOff>
        </xdr:from>
        <xdr:to>
          <xdr:col>3</xdr:col>
          <xdr:colOff>19050</xdr:colOff>
          <xdr:row>9</xdr:row>
          <xdr:rowOff>485775</xdr:rowOff>
        </xdr:to>
        <xdr:sp macro="" textlink="">
          <xdr:nvSpPr>
            <xdr:cNvPr id="1033" name="Check Box 9" hidden="1">
              <a:extLst>
                <a:ext uri="{63B3BB69-23CF-44E3-9099-C40C66FF867C}">
                  <a14:compatExt spid="_x0000_s1033"/>
                </a:ext>
                <a:ext uri="{FF2B5EF4-FFF2-40B4-BE49-F238E27FC236}">
                  <a16:creationId xmlns:a16="http://schemas.microsoft.com/office/drawing/2014/main" id="{20DE9ED1-20A6-4089-9938-988AFCD62BF5}"/>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10</xdr:row>
          <xdr:rowOff>9525</xdr:rowOff>
        </xdr:from>
        <xdr:to>
          <xdr:col>3</xdr:col>
          <xdr:colOff>19050</xdr:colOff>
          <xdr:row>10</xdr:row>
          <xdr:rowOff>485775</xdr:rowOff>
        </xdr:to>
        <xdr:sp macro="" textlink="">
          <xdr:nvSpPr>
            <xdr:cNvPr id="1034" name="Check Box 10" hidden="1">
              <a:extLst>
                <a:ext uri="{63B3BB69-23CF-44E3-9099-C40C66FF867C}">
                  <a14:compatExt spid="_x0000_s1034"/>
                </a:ext>
                <a:ext uri="{FF2B5EF4-FFF2-40B4-BE49-F238E27FC236}">
                  <a16:creationId xmlns:a16="http://schemas.microsoft.com/office/drawing/2014/main" id="{488C8A1D-02CD-4130-A41F-6D137D09E767}"/>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11</xdr:row>
          <xdr:rowOff>9525</xdr:rowOff>
        </xdr:from>
        <xdr:to>
          <xdr:col>3</xdr:col>
          <xdr:colOff>19050</xdr:colOff>
          <xdr:row>11</xdr:row>
          <xdr:rowOff>485775</xdr:rowOff>
        </xdr:to>
        <xdr:sp macro="" textlink="">
          <xdr:nvSpPr>
            <xdr:cNvPr id="1035" name="Check Box 11" hidden="1">
              <a:extLst>
                <a:ext uri="{63B3BB69-23CF-44E3-9099-C40C66FF867C}">
                  <a14:compatExt spid="_x0000_s1035"/>
                </a:ext>
                <a:ext uri="{FF2B5EF4-FFF2-40B4-BE49-F238E27FC236}">
                  <a16:creationId xmlns:a16="http://schemas.microsoft.com/office/drawing/2014/main" id="{DE8AF709-D75F-4087-9E2B-AEA1751CC9BE}"/>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12</xdr:row>
          <xdr:rowOff>9525</xdr:rowOff>
        </xdr:from>
        <xdr:to>
          <xdr:col>3</xdr:col>
          <xdr:colOff>19050</xdr:colOff>
          <xdr:row>12</xdr:row>
          <xdr:rowOff>485775</xdr:rowOff>
        </xdr:to>
        <xdr:sp macro="" textlink="">
          <xdr:nvSpPr>
            <xdr:cNvPr id="1036" name="Check Box 12" hidden="1">
              <a:extLst>
                <a:ext uri="{63B3BB69-23CF-44E3-9099-C40C66FF867C}">
                  <a14:compatExt spid="_x0000_s1036"/>
                </a:ext>
                <a:ext uri="{FF2B5EF4-FFF2-40B4-BE49-F238E27FC236}">
                  <a16:creationId xmlns:a16="http://schemas.microsoft.com/office/drawing/2014/main" id="{0726E4C5-4194-4EB8-8879-2B30A67D5531}"/>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13</xdr:row>
          <xdr:rowOff>9525</xdr:rowOff>
        </xdr:from>
        <xdr:to>
          <xdr:col>3</xdr:col>
          <xdr:colOff>19050</xdr:colOff>
          <xdr:row>13</xdr:row>
          <xdr:rowOff>485775</xdr:rowOff>
        </xdr:to>
        <xdr:sp macro="" textlink="">
          <xdr:nvSpPr>
            <xdr:cNvPr id="1037" name="Check Box 13" hidden="1">
              <a:extLst>
                <a:ext uri="{63B3BB69-23CF-44E3-9099-C40C66FF867C}">
                  <a14:compatExt spid="_x0000_s1037"/>
                </a:ext>
                <a:ext uri="{FF2B5EF4-FFF2-40B4-BE49-F238E27FC236}">
                  <a16:creationId xmlns:a16="http://schemas.microsoft.com/office/drawing/2014/main" id="{CAAD3FCB-F0A2-492A-A6A1-37DEA714C382}"/>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14</xdr:row>
          <xdr:rowOff>9525</xdr:rowOff>
        </xdr:from>
        <xdr:to>
          <xdr:col>3</xdr:col>
          <xdr:colOff>19050</xdr:colOff>
          <xdr:row>14</xdr:row>
          <xdr:rowOff>485775</xdr:rowOff>
        </xdr:to>
        <xdr:sp macro="" textlink="">
          <xdr:nvSpPr>
            <xdr:cNvPr id="1038" name="Check Box 14" hidden="1">
              <a:extLst>
                <a:ext uri="{63B3BB69-23CF-44E3-9099-C40C66FF867C}">
                  <a14:compatExt spid="_x0000_s1038"/>
                </a:ext>
                <a:ext uri="{FF2B5EF4-FFF2-40B4-BE49-F238E27FC236}">
                  <a16:creationId xmlns:a16="http://schemas.microsoft.com/office/drawing/2014/main" id="{7D370897-E3CA-4BC3-BE5E-7AD4EF39810C}"/>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15</xdr:row>
          <xdr:rowOff>9525</xdr:rowOff>
        </xdr:from>
        <xdr:to>
          <xdr:col>3</xdr:col>
          <xdr:colOff>19050</xdr:colOff>
          <xdr:row>15</xdr:row>
          <xdr:rowOff>485775</xdr:rowOff>
        </xdr:to>
        <xdr:sp macro="" textlink="">
          <xdr:nvSpPr>
            <xdr:cNvPr id="1039" name="Check Box 15" hidden="1">
              <a:extLst>
                <a:ext uri="{63B3BB69-23CF-44E3-9099-C40C66FF867C}">
                  <a14:compatExt spid="_x0000_s1039"/>
                </a:ext>
                <a:ext uri="{FF2B5EF4-FFF2-40B4-BE49-F238E27FC236}">
                  <a16:creationId xmlns:a16="http://schemas.microsoft.com/office/drawing/2014/main" id="{EA689FA9-D0AA-466E-8E23-08C83A3DE4B3}"/>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16</xdr:row>
          <xdr:rowOff>9525</xdr:rowOff>
        </xdr:from>
        <xdr:to>
          <xdr:col>3</xdr:col>
          <xdr:colOff>19050</xdr:colOff>
          <xdr:row>16</xdr:row>
          <xdr:rowOff>485775</xdr:rowOff>
        </xdr:to>
        <xdr:sp macro="" textlink="">
          <xdr:nvSpPr>
            <xdr:cNvPr id="1040" name="Check Box 16" hidden="1">
              <a:extLst>
                <a:ext uri="{63B3BB69-23CF-44E3-9099-C40C66FF867C}">
                  <a14:compatExt spid="_x0000_s1040"/>
                </a:ext>
                <a:ext uri="{FF2B5EF4-FFF2-40B4-BE49-F238E27FC236}">
                  <a16:creationId xmlns:a16="http://schemas.microsoft.com/office/drawing/2014/main" id="{F090E725-CC7D-4A0A-AF60-3C6FBFD19A0F}"/>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17</xdr:row>
          <xdr:rowOff>9525</xdr:rowOff>
        </xdr:from>
        <xdr:to>
          <xdr:col>3</xdr:col>
          <xdr:colOff>19050</xdr:colOff>
          <xdr:row>17</xdr:row>
          <xdr:rowOff>485775</xdr:rowOff>
        </xdr:to>
        <xdr:sp macro="" textlink="">
          <xdr:nvSpPr>
            <xdr:cNvPr id="1041" name="Check Box 17" hidden="1">
              <a:extLst>
                <a:ext uri="{63B3BB69-23CF-44E3-9099-C40C66FF867C}">
                  <a14:compatExt spid="_x0000_s1041"/>
                </a:ext>
                <a:ext uri="{FF2B5EF4-FFF2-40B4-BE49-F238E27FC236}">
                  <a16:creationId xmlns:a16="http://schemas.microsoft.com/office/drawing/2014/main" id="{73B28BA8-5F74-42A9-AD39-C780446CCC71}"/>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18</xdr:row>
          <xdr:rowOff>9525</xdr:rowOff>
        </xdr:from>
        <xdr:to>
          <xdr:col>3</xdr:col>
          <xdr:colOff>19050</xdr:colOff>
          <xdr:row>18</xdr:row>
          <xdr:rowOff>485775</xdr:rowOff>
        </xdr:to>
        <xdr:sp macro="" textlink="">
          <xdr:nvSpPr>
            <xdr:cNvPr id="1042" name="Check Box 18" hidden="1">
              <a:extLst>
                <a:ext uri="{63B3BB69-23CF-44E3-9099-C40C66FF867C}">
                  <a14:compatExt spid="_x0000_s1042"/>
                </a:ext>
                <a:ext uri="{FF2B5EF4-FFF2-40B4-BE49-F238E27FC236}">
                  <a16:creationId xmlns:a16="http://schemas.microsoft.com/office/drawing/2014/main" id="{FCB52E3B-4FCA-49C9-A3FC-54447D4B9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19</xdr:row>
          <xdr:rowOff>9525</xdr:rowOff>
        </xdr:from>
        <xdr:to>
          <xdr:col>3</xdr:col>
          <xdr:colOff>19050</xdr:colOff>
          <xdr:row>19</xdr:row>
          <xdr:rowOff>485775</xdr:rowOff>
        </xdr:to>
        <xdr:sp macro="" textlink="">
          <xdr:nvSpPr>
            <xdr:cNvPr id="1043" name="Check Box 19" hidden="1">
              <a:extLst>
                <a:ext uri="{63B3BB69-23CF-44E3-9099-C40C66FF867C}">
                  <a14:compatExt spid="_x0000_s1043"/>
                </a:ext>
                <a:ext uri="{FF2B5EF4-FFF2-40B4-BE49-F238E27FC236}">
                  <a16:creationId xmlns:a16="http://schemas.microsoft.com/office/drawing/2014/main" id="{CA971646-1A8D-4EEF-828A-35B0163FCD77}"/>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20</xdr:row>
          <xdr:rowOff>9525</xdr:rowOff>
        </xdr:from>
        <xdr:to>
          <xdr:col>3</xdr:col>
          <xdr:colOff>19050</xdr:colOff>
          <xdr:row>20</xdr:row>
          <xdr:rowOff>485775</xdr:rowOff>
        </xdr:to>
        <xdr:sp macro="" textlink="">
          <xdr:nvSpPr>
            <xdr:cNvPr id="1044" name="Check Box 20" hidden="1">
              <a:extLst>
                <a:ext uri="{63B3BB69-23CF-44E3-9099-C40C66FF867C}">
                  <a14:compatExt spid="_x0000_s1044"/>
                </a:ext>
                <a:ext uri="{FF2B5EF4-FFF2-40B4-BE49-F238E27FC236}">
                  <a16:creationId xmlns:a16="http://schemas.microsoft.com/office/drawing/2014/main" id="{070E6E11-5288-4FCA-89FB-15ED5F0242F1}"/>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21</xdr:row>
          <xdr:rowOff>9525</xdr:rowOff>
        </xdr:from>
        <xdr:to>
          <xdr:col>3</xdr:col>
          <xdr:colOff>19050</xdr:colOff>
          <xdr:row>21</xdr:row>
          <xdr:rowOff>485775</xdr:rowOff>
        </xdr:to>
        <xdr:sp macro="" textlink="">
          <xdr:nvSpPr>
            <xdr:cNvPr id="1045" name="Check Box 21" hidden="1">
              <a:extLst>
                <a:ext uri="{63B3BB69-23CF-44E3-9099-C40C66FF867C}">
                  <a14:compatExt spid="_x0000_s1045"/>
                </a:ext>
                <a:ext uri="{FF2B5EF4-FFF2-40B4-BE49-F238E27FC236}">
                  <a16:creationId xmlns:a16="http://schemas.microsoft.com/office/drawing/2014/main" id="{5815384C-9A10-4AA9-9530-828D2035AFAA}"/>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22</xdr:row>
          <xdr:rowOff>9525</xdr:rowOff>
        </xdr:from>
        <xdr:to>
          <xdr:col>3</xdr:col>
          <xdr:colOff>19050</xdr:colOff>
          <xdr:row>22</xdr:row>
          <xdr:rowOff>485775</xdr:rowOff>
        </xdr:to>
        <xdr:sp macro="" textlink="">
          <xdr:nvSpPr>
            <xdr:cNvPr id="1046" name="Check Box 22" hidden="1">
              <a:extLst>
                <a:ext uri="{63B3BB69-23CF-44E3-9099-C40C66FF867C}">
                  <a14:compatExt spid="_x0000_s1046"/>
                </a:ext>
                <a:ext uri="{FF2B5EF4-FFF2-40B4-BE49-F238E27FC236}">
                  <a16:creationId xmlns:a16="http://schemas.microsoft.com/office/drawing/2014/main" id="{AA9A0D91-9C8D-49C6-AA96-386E61B4D0D8}"/>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23</xdr:row>
          <xdr:rowOff>9525</xdr:rowOff>
        </xdr:from>
        <xdr:to>
          <xdr:col>3</xdr:col>
          <xdr:colOff>19050</xdr:colOff>
          <xdr:row>23</xdr:row>
          <xdr:rowOff>485775</xdr:rowOff>
        </xdr:to>
        <xdr:sp macro="" textlink="">
          <xdr:nvSpPr>
            <xdr:cNvPr id="1047" name="Check Box 23" hidden="1">
              <a:extLst>
                <a:ext uri="{63B3BB69-23CF-44E3-9099-C40C66FF867C}">
                  <a14:compatExt spid="_x0000_s1047"/>
                </a:ext>
                <a:ext uri="{FF2B5EF4-FFF2-40B4-BE49-F238E27FC236}">
                  <a16:creationId xmlns:a16="http://schemas.microsoft.com/office/drawing/2014/main" id="{52BA60F7-AB17-4762-ABC0-211D90CF6C2D}"/>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24</xdr:row>
          <xdr:rowOff>9525</xdr:rowOff>
        </xdr:from>
        <xdr:to>
          <xdr:col>3</xdr:col>
          <xdr:colOff>19050</xdr:colOff>
          <xdr:row>24</xdr:row>
          <xdr:rowOff>485775</xdr:rowOff>
        </xdr:to>
        <xdr:sp macro="" textlink="">
          <xdr:nvSpPr>
            <xdr:cNvPr id="1048" name="Check Box 24" hidden="1">
              <a:extLst>
                <a:ext uri="{63B3BB69-23CF-44E3-9099-C40C66FF867C}">
                  <a14:compatExt spid="_x0000_s1048"/>
                </a:ext>
                <a:ext uri="{FF2B5EF4-FFF2-40B4-BE49-F238E27FC236}">
                  <a16:creationId xmlns:a16="http://schemas.microsoft.com/office/drawing/2014/main" id="{6C361350-AC2D-4B2B-B9A9-F57D5FAAD3E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25</xdr:row>
          <xdr:rowOff>9525</xdr:rowOff>
        </xdr:from>
        <xdr:to>
          <xdr:col>3</xdr:col>
          <xdr:colOff>19050</xdr:colOff>
          <xdr:row>25</xdr:row>
          <xdr:rowOff>485775</xdr:rowOff>
        </xdr:to>
        <xdr:sp macro="" textlink="">
          <xdr:nvSpPr>
            <xdr:cNvPr id="1049" name="Check Box 25" hidden="1">
              <a:extLst>
                <a:ext uri="{63B3BB69-23CF-44E3-9099-C40C66FF867C}">
                  <a14:compatExt spid="_x0000_s1049"/>
                </a:ext>
                <a:ext uri="{FF2B5EF4-FFF2-40B4-BE49-F238E27FC236}">
                  <a16:creationId xmlns:a16="http://schemas.microsoft.com/office/drawing/2014/main" id="{C27B8E5E-E15B-4D04-8C1E-6F78FCCE9DDD}"/>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26</xdr:row>
          <xdr:rowOff>9525</xdr:rowOff>
        </xdr:from>
        <xdr:to>
          <xdr:col>3</xdr:col>
          <xdr:colOff>19050</xdr:colOff>
          <xdr:row>26</xdr:row>
          <xdr:rowOff>485775</xdr:rowOff>
        </xdr:to>
        <xdr:sp macro="" textlink="">
          <xdr:nvSpPr>
            <xdr:cNvPr id="1050" name="Check Box 26" hidden="1">
              <a:extLst>
                <a:ext uri="{63B3BB69-23CF-44E3-9099-C40C66FF867C}">
                  <a14:compatExt spid="_x0000_s1050"/>
                </a:ext>
                <a:ext uri="{FF2B5EF4-FFF2-40B4-BE49-F238E27FC236}">
                  <a16:creationId xmlns:a16="http://schemas.microsoft.com/office/drawing/2014/main" id="{0CCE16B8-958B-4FC5-B599-A8773C6A5262}"/>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27</xdr:row>
          <xdr:rowOff>9525</xdr:rowOff>
        </xdr:from>
        <xdr:to>
          <xdr:col>3</xdr:col>
          <xdr:colOff>19050</xdr:colOff>
          <xdr:row>27</xdr:row>
          <xdr:rowOff>485775</xdr:rowOff>
        </xdr:to>
        <xdr:sp macro="" textlink="">
          <xdr:nvSpPr>
            <xdr:cNvPr id="1051" name="Check Box 27" hidden="1">
              <a:extLst>
                <a:ext uri="{63B3BB69-23CF-44E3-9099-C40C66FF867C}">
                  <a14:compatExt spid="_x0000_s1051"/>
                </a:ext>
                <a:ext uri="{FF2B5EF4-FFF2-40B4-BE49-F238E27FC236}">
                  <a16:creationId xmlns:a16="http://schemas.microsoft.com/office/drawing/2014/main" id="{C04CC0F5-EF72-4974-9648-EC7CFB36AC7E}"/>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28</xdr:row>
          <xdr:rowOff>9525</xdr:rowOff>
        </xdr:from>
        <xdr:to>
          <xdr:col>3</xdr:col>
          <xdr:colOff>19050</xdr:colOff>
          <xdr:row>28</xdr:row>
          <xdr:rowOff>485775</xdr:rowOff>
        </xdr:to>
        <xdr:sp macro="" textlink="">
          <xdr:nvSpPr>
            <xdr:cNvPr id="1052" name="Check Box 28" hidden="1">
              <a:extLst>
                <a:ext uri="{63B3BB69-23CF-44E3-9099-C40C66FF867C}">
                  <a14:compatExt spid="_x0000_s1052"/>
                </a:ext>
                <a:ext uri="{FF2B5EF4-FFF2-40B4-BE49-F238E27FC236}">
                  <a16:creationId xmlns:a16="http://schemas.microsoft.com/office/drawing/2014/main" id="{A8886887-5737-4BB4-85E3-0459340A56BD}"/>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29</xdr:row>
          <xdr:rowOff>9525</xdr:rowOff>
        </xdr:from>
        <xdr:to>
          <xdr:col>3</xdr:col>
          <xdr:colOff>19050</xdr:colOff>
          <xdr:row>29</xdr:row>
          <xdr:rowOff>485775</xdr:rowOff>
        </xdr:to>
        <xdr:sp macro="" textlink="">
          <xdr:nvSpPr>
            <xdr:cNvPr id="1053" name="Check Box 29" hidden="1">
              <a:extLst>
                <a:ext uri="{63B3BB69-23CF-44E3-9099-C40C66FF867C}">
                  <a14:compatExt spid="_x0000_s1053"/>
                </a:ext>
                <a:ext uri="{FF2B5EF4-FFF2-40B4-BE49-F238E27FC236}">
                  <a16:creationId xmlns:a16="http://schemas.microsoft.com/office/drawing/2014/main" id="{2FEB4F37-C545-4191-8A13-0BD04A44367A}"/>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30</xdr:row>
          <xdr:rowOff>9525</xdr:rowOff>
        </xdr:from>
        <xdr:to>
          <xdr:col>3</xdr:col>
          <xdr:colOff>19050</xdr:colOff>
          <xdr:row>30</xdr:row>
          <xdr:rowOff>485775</xdr:rowOff>
        </xdr:to>
        <xdr:sp macro="" textlink="">
          <xdr:nvSpPr>
            <xdr:cNvPr id="1054" name="Check Box 30" hidden="1">
              <a:extLst>
                <a:ext uri="{63B3BB69-23CF-44E3-9099-C40C66FF867C}">
                  <a14:compatExt spid="_x0000_s1054"/>
                </a:ext>
                <a:ext uri="{FF2B5EF4-FFF2-40B4-BE49-F238E27FC236}">
                  <a16:creationId xmlns:a16="http://schemas.microsoft.com/office/drawing/2014/main" id="{C1FF046D-38F0-4EDB-8D1D-10F4E15C4AC2}"/>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31</xdr:row>
          <xdr:rowOff>9525</xdr:rowOff>
        </xdr:from>
        <xdr:to>
          <xdr:col>3</xdr:col>
          <xdr:colOff>19050</xdr:colOff>
          <xdr:row>31</xdr:row>
          <xdr:rowOff>485775</xdr:rowOff>
        </xdr:to>
        <xdr:sp macro="" textlink="">
          <xdr:nvSpPr>
            <xdr:cNvPr id="1055" name="Check Box 31" hidden="1">
              <a:extLst>
                <a:ext uri="{63B3BB69-23CF-44E3-9099-C40C66FF867C}">
                  <a14:compatExt spid="_x0000_s1055"/>
                </a:ext>
                <a:ext uri="{FF2B5EF4-FFF2-40B4-BE49-F238E27FC236}">
                  <a16:creationId xmlns:a16="http://schemas.microsoft.com/office/drawing/2014/main" id="{BAC69E97-2C8A-46F5-BE3C-79B65A57ABA5}"/>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32</xdr:row>
          <xdr:rowOff>9525</xdr:rowOff>
        </xdr:from>
        <xdr:to>
          <xdr:col>3</xdr:col>
          <xdr:colOff>19050</xdr:colOff>
          <xdr:row>32</xdr:row>
          <xdr:rowOff>485775</xdr:rowOff>
        </xdr:to>
        <xdr:sp macro="" textlink="">
          <xdr:nvSpPr>
            <xdr:cNvPr id="1056" name="Check Box 32" hidden="1">
              <a:extLst>
                <a:ext uri="{63B3BB69-23CF-44E3-9099-C40C66FF867C}">
                  <a14:compatExt spid="_x0000_s1056"/>
                </a:ext>
                <a:ext uri="{FF2B5EF4-FFF2-40B4-BE49-F238E27FC236}">
                  <a16:creationId xmlns:a16="http://schemas.microsoft.com/office/drawing/2014/main" id="{BAB3C7CA-6CA9-4D57-8EED-BC9746390F14}"/>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33</xdr:row>
          <xdr:rowOff>9525</xdr:rowOff>
        </xdr:from>
        <xdr:to>
          <xdr:col>3</xdr:col>
          <xdr:colOff>19050</xdr:colOff>
          <xdr:row>33</xdr:row>
          <xdr:rowOff>485775</xdr:rowOff>
        </xdr:to>
        <xdr:sp macro="" textlink="">
          <xdr:nvSpPr>
            <xdr:cNvPr id="1057" name="Check Box 33" hidden="1">
              <a:extLst>
                <a:ext uri="{63B3BB69-23CF-44E3-9099-C40C66FF867C}">
                  <a14:compatExt spid="_x0000_s1057"/>
                </a:ext>
                <a:ext uri="{FF2B5EF4-FFF2-40B4-BE49-F238E27FC236}">
                  <a16:creationId xmlns:a16="http://schemas.microsoft.com/office/drawing/2014/main" id="{CE1735ED-5F95-4452-B514-243907156971}"/>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34</xdr:row>
          <xdr:rowOff>9525</xdr:rowOff>
        </xdr:from>
        <xdr:to>
          <xdr:col>3</xdr:col>
          <xdr:colOff>19050</xdr:colOff>
          <xdr:row>34</xdr:row>
          <xdr:rowOff>485775</xdr:rowOff>
        </xdr:to>
        <xdr:sp macro="" textlink="">
          <xdr:nvSpPr>
            <xdr:cNvPr id="1058" name="Check Box 34" hidden="1">
              <a:extLst>
                <a:ext uri="{63B3BB69-23CF-44E3-9099-C40C66FF867C}">
                  <a14:compatExt spid="_x0000_s1058"/>
                </a:ext>
                <a:ext uri="{FF2B5EF4-FFF2-40B4-BE49-F238E27FC236}">
                  <a16:creationId xmlns:a16="http://schemas.microsoft.com/office/drawing/2014/main" id="{0F8F88C9-1016-45BC-BA1F-B6F6045BFA3B}"/>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35</xdr:row>
          <xdr:rowOff>9525</xdr:rowOff>
        </xdr:from>
        <xdr:to>
          <xdr:col>3</xdr:col>
          <xdr:colOff>19050</xdr:colOff>
          <xdr:row>35</xdr:row>
          <xdr:rowOff>485775</xdr:rowOff>
        </xdr:to>
        <xdr:sp macro="" textlink="">
          <xdr:nvSpPr>
            <xdr:cNvPr id="1059" name="Check Box 35" hidden="1">
              <a:extLst>
                <a:ext uri="{63B3BB69-23CF-44E3-9099-C40C66FF867C}">
                  <a14:compatExt spid="_x0000_s1059"/>
                </a:ext>
                <a:ext uri="{FF2B5EF4-FFF2-40B4-BE49-F238E27FC236}">
                  <a16:creationId xmlns:a16="http://schemas.microsoft.com/office/drawing/2014/main" id="{825BBA0F-0A8E-483D-BD54-8A64487C4BF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36</xdr:row>
          <xdr:rowOff>9525</xdr:rowOff>
        </xdr:from>
        <xdr:to>
          <xdr:col>3</xdr:col>
          <xdr:colOff>19050</xdr:colOff>
          <xdr:row>36</xdr:row>
          <xdr:rowOff>485775</xdr:rowOff>
        </xdr:to>
        <xdr:sp macro="" textlink="">
          <xdr:nvSpPr>
            <xdr:cNvPr id="1060" name="Check Box 36" hidden="1">
              <a:extLst>
                <a:ext uri="{63B3BB69-23CF-44E3-9099-C40C66FF867C}">
                  <a14:compatExt spid="_x0000_s1060"/>
                </a:ext>
                <a:ext uri="{FF2B5EF4-FFF2-40B4-BE49-F238E27FC236}">
                  <a16:creationId xmlns:a16="http://schemas.microsoft.com/office/drawing/2014/main" id="{460EE43B-F0B4-49FA-9426-59362C54FE36}"/>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37</xdr:row>
          <xdr:rowOff>9525</xdr:rowOff>
        </xdr:from>
        <xdr:to>
          <xdr:col>3</xdr:col>
          <xdr:colOff>19050</xdr:colOff>
          <xdr:row>37</xdr:row>
          <xdr:rowOff>485775</xdr:rowOff>
        </xdr:to>
        <xdr:sp macro="" textlink="">
          <xdr:nvSpPr>
            <xdr:cNvPr id="1061" name="Check Box 37" hidden="1">
              <a:extLst>
                <a:ext uri="{63B3BB69-23CF-44E3-9099-C40C66FF867C}">
                  <a14:compatExt spid="_x0000_s1061"/>
                </a:ext>
                <a:ext uri="{FF2B5EF4-FFF2-40B4-BE49-F238E27FC236}">
                  <a16:creationId xmlns:a16="http://schemas.microsoft.com/office/drawing/2014/main" id="{6913C0D7-C456-428B-8D35-6D92774CF414}"/>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38</xdr:row>
          <xdr:rowOff>9525</xdr:rowOff>
        </xdr:from>
        <xdr:to>
          <xdr:col>3</xdr:col>
          <xdr:colOff>19050</xdr:colOff>
          <xdr:row>38</xdr:row>
          <xdr:rowOff>485775</xdr:rowOff>
        </xdr:to>
        <xdr:sp macro="" textlink="">
          <xdr:nvSpPr>
            <xdr:cNvPr id="1062" name="Check Box 38" hidden="1">
              <a:extLst>
                <a:ext uri="{63B3BB69-23CF-44E3-9099-C40C66FF867C}">
                  <a14:compatExt spid="_x0000_s1062"/>
                </a:ext>
                <a:ext uri="{FF2B5EF4-FFF2-40B4-BE49-F238E27FC236}">
                  <a16:creationId xmlns:a16="http://schemas.microsoft.com/office/drawing/2014/main" id="{6D86EEDF-7A85-4B39-9AD1-D4B914DCFB53}"/>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39</xdr:row>
          <xdr:rowOff>9525</xdr:rowOff>
        </xdr:from>
        <xdr:to>
          <xdr:col>3</xdr:col>
          <xdr:colOff>19050</xdr:colOff>
          <xdr:row>39</xdr:row>
          <xdr:rowOff>485775</xdr:rowOff>
        </xdr:to>
        <xdr:sp macro="" textlink="">
          <xdr:nvSpPr>
            <xdr:cNvPr id="1063" name="Check Box 39" hidden="1">
              <a:extLst>
                <a:ext uri="{63B3BB69-23CF-44E3-9099-C40C66FF867C}">
                  <a14:compatExt spid="_x0000_s1063"/>
                </a:ext>
                <a:ext uri="{FF2B5EF4-FFF2-40B4-BE49-F238E27FC236}">
                  <a16:creationId xmlns:a16="http://schemas.microsoft.com/office/drawing/2014/main" id="{98EE0418-21F3-4240-8334-78B951C30DC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40</xdr:row>
          <xdr:rowOff>9525</xdr:rowOff>
        </xdr:from>
        <xdr:to>
          <xdr:col>3</xdr:col>
          <xdr:colOff>19050</xdr:colOff>
          <xdr:row>40</xdr:row>
          <xdr:rowOff>485775</xdr:rowOff>
        </xdr:to>
        <xdr:sp macro="" textlink="">
          <xdr:nvSpPr>
            <xdr:cNvPr id="1064" name="Check Box 40" hidden="1">
              <a:extLst>
                <a:ext uri="{63B3BB69-23CF-44E3-9099-C40C66FF867C}">
                  <a14:compatExt spid="_x0000_s1064"/>
                </a:ext>
                <a:ext uri="{FF2B5EF4-FFF2-40B4-BE49-F238E27FC236}">
                  <a16:creationId xmlns:a16="http://schemas.microsoft.com/office/drawing/2014/main" id="{FB43D8C6-54B1-4B3D-BA0D-D72592764D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41</xdr:row>
          <xdr:rowOff>9525</xdr:rowOff>
        </xdr:from>
        <xdr:to>
          <xdr:col>3</xdr:col>
          <xdr:colOff>19050</xdr:colOff>
          <xdr:row>41</xdr:row>
          <xdr:rowOff>485775</xdr:rowOff>
        </xdr:to>
        <xdr:sp macro="" textlink="">
          <xdr:nvSpPr>
            <xdr:cNvPr id="1065" name="Check Box 41" hidden="1">
              <a:extLst>
                <a:ext uri="{63B3BB69-23CF-44E3-9099-C40C66FF867C}">
                  <a14:compatExt spid="_x0000_s1065"/>
                </a:ext>
                <a:ext uri="{FF2B5EF4-FFF2-40B4-BE49-F238E27FC236}">
                  <a16:creationId xmlns:a16="http://schemas.microsoft.com/office/drawing/2014/main" id="{79F7E1F2-803F-4309-A80D-F38A9F5AA05E}"/>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42</xdr:row>
          <xdr:rowOff>9525</xdr:rowOff>
        </xdr:from>
        <xdr:to>
          <xdr:col>3</xdr:col>
          <xdr:colOff>19050</xdr:colOff>
          <xdr:row>42</xdr:row>
          <xdr:rowOff>485775</xdr:rowOff>
        </xdr:to>
        <xdr:sp macro="" textlink="">
          <xdr:nvSpPr>
            <xdr:cNvPr id="1066" name="Check Box 42" hidden="1">
              <a:extLst>
                <a:ext uri="{63B3BB69-23CF-44E3-9099-C40C66FF867C}">
                  <a14:compatExt spid="_x0000_s1066"/>
                </a:ext>
                <a:ext uri="{FF2B5EF4-FFF2-40B4-BE49-F238E27FC236}">
                  <a16:creationId xmlns:a16="http://schemas.microsoft.com/office/drawing/2014/main" id="{D7235471-688B-4E81-A598-C869ABE1AD47}"/>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43</xdr:row>
          <xdr:rowOff>9525</xdr:rowOff>
        </xdr:from>
        <xdr:to>
          <xdr:col>3</xdr:col>
          <xdr:colOff>19050</xdr:colOff>
          <xdr:row>43</xdr:row>
          <xdr:rowOff>485775</xdr:rowOff>
        </xdr:to>
        <xdr:sp macro="" textlink="">
          <xdr:nvSpPr>
            <xdr:cNvPr id="1067" name="Check Box 43" hidden="1">
              <a:extLst>
                <a:ext uri="{63B3BB69-23CF-44E3-9099-C40C66FF867C}">
                  <a14:compatExt spid="_x0000_s1067"/>
                </a:ext>
                <a:ext uri="{FF2B5EF4-FFF2-40B4-BE49-F238E27FC236}">
                  <a16:creationId xmlns:a16="http://schemas.microsoft.com/office/drawing/2014/main" id="{4B88BD0C-2D8C-4A49-8482-D782F6708CBE}"/>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44</xdr:row>
          <xdr:rowOff>9525</xdr:rowOff>
        </xdr:from>
        <xdr:to>
          <xdr:col>3</xdr:col>
          <xdr:colOff>19050</xdr:colOff>
          <xdr:row>44</xdr:row>
          <xdr:rowOff>485775</xdr:rowOff>
        </xdr:to>
        <xdr:sp macro="" textlink="">
          <xdr:nvSpPr>
            <xdr:cNvPr id="1068" name="Check Box 44" hidden="1">
              <a:extLst>
                <a:ext uri="{63B3BB69-23CF-44E3-9099-C40C66FF867C}">
                  <a14:compatExt spid="_x0000_s1068"/>
                </a:ext>
                <a:ext uri="{FF2B5EF4-FFF2-40B4-BE49-F238E27FC236}">
                  <a16:creationId xmlns:a16="http://schemas.microsoft.com/office/drawing/2014/main" id="{6F8A6039-3B1A-4441-B839-1354AE3BA8FE}"/>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45</xdr:row>
          <xdr:rowOff>9525</xdr:rowOff>
        </xdr:from>
        <xdr:to>
          <xdr:col>3</xdr:col>
          <xdr:colOff>19050</xdr:colOff>
          <xdr:row>45</xdr:row>
          <xdr:rowOff>485775</xdr:rowOff>
        </xdr:to>
        <xdr:sp macro="" textlink="">
          <xdr:nvSpPr>
            <xdr:cNvPr id="1069" name="Check Box 45" hidden="1">
              <a:extLst>
                <a:ext uri="{63B3BB69-23CF-44E3-9099-C40C66FF867C}">
                  <a14:compatExt spid="_x0000_s1069"/>
                </a:ext>
                <a:ext uri="{FF2B5EF4-FFF2-40B4-BE49-F238E27FC236}">
                  <a16:creationId xmlns:a16="http://schemas.microsoft.com/office/drawing/2014/main" id="{E779575B-2660-453D-B33F-7AB7F618E39C}"/>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46</xdr:row>
          <xdr:rowOff>9525</xdr:rowOff>
        </xdr:from>
        <xdr:to>
          <xdr:col>3</xdr:col>
          <xdr:colOff>19050</xdr:colOff>
          <xdr:row>46</xdr:row>
          <xdr:rowOff>485775</xdr:rowOff>
        </xdr:to>
        <xdr:sp macro="" textlink="">
          <xdr:nvSpPr>
            <xdr:cNvPr id="1070" name="Check Box 46" hidden="1">
              <a:extLst>
                <a:ext uri="{63B3BB69-23CF-44E3-9099-C40C66FF867C}">
                  <a14:compatExt spid="_x0000_s1070"/>
                </a:ext>
                <a:ext uri="{FF2B5EF4-FFF2-40B4-BE49-F238E27FC236}">
                  <a16:creationId xmlns:a16="http://schemas.microsoft.com/office/drawing/2014/main" id="{4FDBCE70-882E-4212-873B-AAE3BD9BF9AB}"/>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47</xdr:row>
          <xdr:rowOff>9525</xdr:rowOff>
        </xdr:from>
        <xdr:to>
          <xdr:col>3</xdr:col>
          <xdr:colOff>19050</xdr:colOff>
          <xdr:row>47</xdr:row>
          <xdr:rowOff>485775</xdr:rowOff>
        </xdr:to>
        <xdr:sp macro="" textlink="">
          <xdr:nvSpPr>
            <xdr:cNvPr id="1071" name="Check Box 47" hidden="1">
              <a:extLst>
                <a:ext uri="{63B3BB69-23CF-44E3-9099-C40C66FF867C}">
                  <a14:compatExt spid="_x0000_s1071"/>
                </a:ext>
                <a:ext uri="{FF2B5EF4-FFF2-40B4-BE49-F238E27FC236}">
                  <a16:creationId xmlns:a16="http://schemas.microsoft.com/office/drawing/2014/main" id="{FD98B20B-75A4-4CB4-AE01-44321733B618}"/>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48</xdr:row>
          <xdr:rowOff>9525</xdr:rowOff>
        </xdr:from>
        <xdr:to>
          <xdr:col>3</xdr:col>
          <xdr:colOff>19050</xdr:colOff>
          <xdr:row>48</xdr:row>
          <xdr:rowOff>485775</xdr:rowOff>
        </xdr:to>
        <xdr:sp macro="" textlink="">
          <xdr:nvSpPr>
            <xdr:cNvPr id="1072" name="Check Box 48" hidden="1">
              <a:extLst>
                <a:ext uri="{63B3BB69-23CF-44E3-9099-C40C66FF867C}">
                  <a14:compatExt spid="_x0000_s1072"/>
                </a:ext>
                <a:ext uri="{FF2B5EF4-FFF2-40B4-BE49-F238E27FC236}">
                  <a16:creationId xmlns:a16="http://schemas.microsoft.com/office/drawing/2014/main" id="{483BBF68-466D-4731-8E56-C3673710B643}"/>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49</xdr:row>
          <xdr:rowOff>9525</xdr:rowOff>
        </xdr:from>
        <xdr:to>
          <xdr:col>3</xdr:col>
          <xdr:colOff>19050</xdr:colOff>
          <xdr:row>49</xdr:row>
          <xdr:rowOff>485775</xdr:rowOff>
        </xdr:to>
        <xdr:sp macro="" textlink="">
          <xdr:nvSpPr>
            <xdr:cNvPr id="1073" name="Check Box 49" hidden="1">
              <a:extLst>
                <a:ext uri="{63B3BB69-23CF-44E3-9099-C40C66FF867C}">
                  <a14:compatExt spid="_x0000_s1073"/>
                </a:ext>
                <a:ext uri="{FF2B5EF4-FFF2-40B4-BE49-F238E27FC236}">
                  <a16:creationId xmlns:a16="http://schemas.microsoft.com/office/drawing/2014/main" id="{E6C7C2F4-0CA5-4BD4-966B-10F927DA5E68}"/>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50</xdr:row>
          <xdr:rowOff>9525</xdr:rowOff>
        </xdr:from>
        <xdr:to>
          <xdr:col>3</xdr:col>
          <xdr:colOff>19050</xdr:colOff>
          <xdr:row>50</xdr:row>
          <xdr:rowOff>485775</xdr:rowOff>
        </xdr:to>
        <xdr:sp macro="" textlink="">
          <xdr:nvSpPr>
            <xdr:cNvPr id="1074" name="Check Box 50" hidden="1">
              <a:extLst>
                <a:ext uri="{63B3BB69-23CF-44E3-9099-C40C66FF867C}">
                  <a14:compatExt spid="_x0000_s1074"/>
                </a:ext>
                <a:ext uri="{FF2B5EF4-FFF2-40B4-BE49-F238E27FC236}">
                  <a16:creationId xmlns:a16="http://schemas.microsoft.com/office/drawing/2014/main" id="{59C80CCB-56E2-4E00-BDD9-C9276C67C9A9}"/>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51</xdr:row>
          <xdr:rowOff>9525</xdr:rowOff>
        </xdr:from>
        <xdr:to>
          <xdr:col>3</xdr:col>
          <xdr:colOff>19050</xdr:colOff>
          <xdr:row>51</xdr:row>
          <xdr:rowOff>485775</xdr:rowOff>
        </xdr:to>
        <xdr:sp macro="" textlink="">
          <xdr:nvSpPr>
            <xdr:cNvPr id="1075" name="Check Box 51" hidden="1">
              <a:extLst>
                <a:ext uri="{63B3BB69-23CF-44E3-9099-C40C66FF867C}">
                  <a14:compatExt spid="_x0000_s1075"/>
                </a:ext>
                <a:ext uri="{FF2B5EF4-FFF2-40B4-BE49-F238E27FC236}">
                  <a16:creationId xmlns:a16="http://schemas.microsoft.com/office/drawing/2014/main" id="{3AEF9A5F-CF11-4BA4-B0C4-010695F2B569}"/>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52</xdr:row>
          <xdr:rowOff>9525</xdr:rowOff>
        </xdr:from>
        <xdr:to>
          <xdr:col>3</xdr:col>
          <xdr:colOff>19050</xdr:colOff>
          <xdr:row>52</xdr:row>
          <xdr:rowOff>485775</xdr:rowOff>
        </xdr:to>
        <xdr:sp macro="" textlink="">
          <xdr:nvSpPr>
            <xdr:cNvPr id="1076" name="Check Box 52" hidden="1">
              <a:extLst>
                <a:ext uri="{63B3BB69-23CF-44E3-9099-C40C66FF867C}">
                  <a14:compatExt spid="_x0000_s1076"/>
                </a:ext>
                <a:ext uri="{FF2B5EF4-FFF2-40B4-BE49-F238E27FC236}">
                  <a16:creationId xmlns:a16="http://schemas.microsoft.com/office/drawing/2014/main" id="{DCE56DBC-3C3B-442A-A5AB-B0DFCA56A3A6}"/>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53</xdr:row>
          <xdr:rowOff>9525</xdr:rowOff>
        </xdr:from>
        <xdr:to>
          <xdr:col>3</xdr:col>
          <xdr:colOff>19050</xdr:colOff>
          <xdr:row>53</xdr:row>
          <xdr:rowOff>485775</xdr:rowOff>
        </xdr:to>
        <xdr:sp macro="" textlink="">
          <xdr:nvSpPr>
            <xdr:cNvPr id="1077" name="Check Box 53" hidden="1">
              <a:extLst>
                <a:ext uri="{63B3BB69-23CF-44E3-9099-C40C66FF867C}">
                  <a14:compatExt spid="_x0000_s1077"/>
                </a:ext>
                <a:ext uri="{FF2B5EF4-FFF2-40B4-BE49-F238E27FC236}">
                  <a16:creationId xmlns:a16="http://schemas.microsoft.com/office/drawing/2014/main" id="{FD720906-36C9-4F1A-AB43-5EC987958191}"/>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54</xdr:row>
          <xdr:rowOff>9525</xdr:rowOff>
        </xdr:from>
        <xdr:to>
          <xdr:col>3</xdr:col>
          <xdr:colOff>19050</xdr:colOff>
          <xdr:row>54</xdr:row>
          <xdr:rowOff>485775</xdr:rowOff>
        </xdr:to>
        <xdr:sp macro="" textlink="">
          <xdr:nvSpPr>
            <xdr:cNvPr id="1078" name="Check Box 54" hidden="1">
              <a:extLst>
                <a:ext uri="{63B3BB69-23CF-44E3-9099-C40C66FF867C}">
                  <a14:compatExt spid="_x0000_s1078"/>
                </a:ext>
                <a:ext uri="{FF2B5EF4-FFF2-40B4-BE49-F238E27FC236}">
                  <a16:creationId xmlns:a16="http://schemas.microsoft.com/office/drawing/2014/main" id="{EE7D2F2D-C57E-4A58-BDF1-7890B92A0397}"/>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55</xdr:row>
          <xdr:rowOff>9525</xdr:rowOff>
        </xdr:from>
        <xdr:to>
          <xdr:col>3</xdr:col>
          <xdr:colOff>19050</xdr:colOff>
          <xdr:row>55</xdr:row>
          <xdr:rowOff>485775</xdr:rowOff>
        </xdr:to>
        <xdr:sp macro="" textlink="">
          <xdr:nvSpPr>
            <xdr:cNvPr id="1079" name="Check Box 55" hidden="1">
              <a:extLst>
                <a:ext uri="{63B3BB69-23CF-44E3-9099-C40C66FF867C}">
                  <a14:compatExt spid="_x0000_s1079"/>
                </a:ext>
                <a:ext uri="{FF2B5EF4-FFF2-40B4-BE49-F238E27FC236}">
                  <a16:creationId xmlns:a16="http://schemas.microsoft.com/office/drawing/2014/main" id="{B030A894-5971-4C5F-963E-34EDB9AF2EE6}"/>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56</xdr:row>
          <xdr:rowOff>9525</xdr:rowOff>
        </xdr:from>
        <xdr:to>
          <xdr:col>3</xdr:col>
          <xdr:colOff>19050</xdr:colOff>
          <xdr:row>56</xdr:row>
          <xdr:rowOff>485775</xdr:rowOff>
        </xdr:to>
        <xdr:sp macro="" textlink="">
          <xdr:nvSpPr>
            <xdr:cNvPr id="1080" name="Check Box 56" hidden="1">
              <a:extLst>
                <a:ext uri="{63B3BB69-23CF-44E3-9099-C40C66FF867C}">
                  <a14:compatExt spid="_x0000_s1080"/>
                </a:ext>
                <a:ext uri="{FF2B5EF4-FFF2-40B4-BE49-F238E27FC236}">
                  <a16:creationId xmlns:a16="http://schemas.microsoft.com/office/drawing/2014/main" id="{03DB423C-F8C1-49A7-B7DC-771293FAF618}"/>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57</xdr:row>
          <xdr:rowOff>9525</xdr:rowOff>
        </xdr:from>
        <xdr:to>
          <xdr:col>3</xdr:col>
          <xdr:colOff>19050</xdr:colOff>
          <xdr:row>57</xdr:row>
          <xdr:rowOff>485775</xdr:rowOff>
        </xdr:to>
        <xdr:sp macro="" textlink="">
          <xdr:nvSpPr>
            <xdr:cNvPr id="1081" name="Check Box 57" hidden="1">
              <a:extLst>
                <a:ext uri="{63B3BB69-23CF-44E3-9099-C40C66FF867C}">
                  <a14:compatExt spid="_x0000_s1081"/>
                </a:ext>
                <a:ext uri="{FF2B5EF4-FFF2-40B4-BE49-F238E27FC236}">
                  <a16:creationId xmlns:a16="http://schemas.microsoft.com/office/drawing/2014/main" id="{12CDC591-EDA8-40E7-A011-17066FEBAEEA}"/>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58</xdr:row>
          <xdr:rowOff>9525</xdr:rowOff>
        </xdr:from>
        <xdr:to>
          <xdr:col>3</xdr:col>
          <xdr:colOff>19050</xdr:colOff>
          <xdr:row>58</xdr:row>
          <xdr:rowOff>485775</xdr:rowOff>
        </xdr:to>
        <xdr:sp macro="" textlink="">
          <xdr:nvSpPr>
            <xdr:cNvPr id="1082" name="Check Box 58" hidden="1">
              <a:extLst>
                <a:ext uri="{63B3BB69-23CF-44E3-9099-C40C66FF867C}">
                  <a14:compatExt spid="_x0000_s1082"/>
                </a:ext>
                <a:ext uri="{FF2B5EF4-FFF2-40B4-BE49-F238E27FC236}">
                  <a16:creationId xmlns:a16="http://schemas.microsoft.com/office/drawing/2014/main" id="{5EDB4A05-E299-494E-B48E-A22AFB24BBF8}"/>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59</xdr:row>
          <xdr:rowOff>9525</xdr:rowOff>
        </xdr:from>
        <xdr:to>
          <xdr:col>3</xdr:col>
          <xdr:colOff>19050</xdr:colOff>
          <xdr:row>59</xdr:row>
          <xdr:rowOff>485775</xdr:rowOff>
        </xdr:to>
        <xdr:sp macro="" textlink="">
          <xdr:nvSpPr>
            <xdr:cNvPr id="1083" name="Check Box 59" hidden="1">
              <a:extLst>
                <a:ext uri="{63B3BB69-23CF-44E3-9099-C40C66FF867C}">
                  <a14:compatExt spid="_x0000_s1083"/>
                </a:ext>
                <a:ext uri="{FF2B5EF4-FFF2-40B4-BE49-F238E27FC236}">
                  <a16:creationId xmlns:a16="http://schemas.microsoft.com/office/drawing/2014/main" id="{42394A34-0612-4523-BD6B-C897EC4DD1CB}"/>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60</xdr:row>
          <xdr:rowOff>9525</xdr:rowOff>
        </xdr:from>
        <xdr:to>
          <xdr:col>3</xdr:col>
          <xdr:colOff>19050</xdr:colOff>
          <xdr:row>60</xdr:row>
          <xdr:rowOff>485775</xdr:rowOff>
        </xdr:to>
        <xdr:sp macro="" textlink="">
          <xdr:nvSpPr>
            <xdr:cNvPr id="1084" name="Check Box 60" hidden="1">
              <a:extLst>
                <a:ext uri="{63B3BB69-23CF-44E3-9099-C40C66FF867C}">
                  <a14:compatExt spid="_x0000_s1084"/>
                </a:ext>
                <a:ext uri="{FF2B5EF4-FFF2-40B4-BE49-F238E27FC236}">
                  <a16:creationId xmlns:a16="http://schemas.microsoft.com/office/drawing/2014/main" id="{516BCF35-473B-462D-82BD-B9D564BCD28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61</xdr:row>
          <xdr:rowOff>9525</xdr:rowOff>
        </xdr:from>
        <xdr:to>
          <xdr:col>3</xdr:col>
          <xdr:colOff>19050</xdr:colOff>
          <xdr:row>61</xdr:row>
          <xdr:rowOff>485775</xdr:rowOff>
        </xdr:to>
        <xdr:sp macro="" textlink="">
          <xdr:nvSpPr>
            <xdr:cNvPr id="1085" name="Check Box 61" hidden="1">
              <a:extLst>
                <a:ext uri="{63B3BB69-23CF-44E3-9099-C40C66FF867C}">
                  <a14:compatExt spid="_x0000_s1085"/>
                </a:ext>
                <a:ext uri="{FF2B5EF4-FFF2-40B4-BE49-F238E27FC236}">
                  <a16:creationId xmlns:a16="http://schemas.microsoft.com/office/drawing/2014/main" id="{31878E7E-6445-4E91-A0F7-9E7CE25BB828}"/>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62</xdr:row>
          <xdr:rowOff>9525</xdr:rowOff>
        </xdr:from>
        <xdr:to>
          <xdr:col>3</xdr:col>
          <xdr:colOff>19050</xdr:colOff>
          <xdr:row>62</xdr:row>
          <xdr:rowOff>485775</xdr:rowOff>
        </xdr:to>
        <xdr:sp macro="" textlink="">
          <xdr:nvSpPr>
            <xdr:cNvPr id="1086" name="Check Box 62" hidden="1">
              <a:extLst>
                <a:ext uri="{63B3BB69-23CF-44E3-9099-C40C66FF867C}">
                  <a14:compatExt spid="_x0000_s1086"/>
                </a:ext>
                <a:ext uri="{FF2B5EF4-FFF2-40B4-BE49-F238E27FC236}">
                  <a16:creationId xmlns:a16="http://schemas.microsoft.com/office/drawing/2014/main" id="{A9F7EA9A-6958-4CDB-AE12-7816A6403591}"/>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63</xdr:row>
          <xdr:rowOff>9525</xdr:rowOff>
        </xdr:from>
        <xdr:to>
          <xdr:col>3</xdr:col>
          <xdr:colOff>19050</xdr:colOff>
          <xdr:row>63</xdr:row>
          <xdr:rowOff>485775</xdr:rowOff>
        </xdr:to>
        <xdr:sp macro="" textlink="">
          <xdr:nvSpPr>
            <xdr:cNvPr id="1087" name="Check Box 63" hidden="1">
              <a:extLst>
                <a:ext uri="{63B3BB69-23CF-44E3-9099-C40C66FF867C}">
                  <a14:compatExt spid="_x0000_s1087"/>
                </a:ext>
                <a:ext uri="{FF2B5EF4-FFF2-40B4-BE49-F238E27FC236}">
                  <a16:creationId xmlns:a16="http://schemas.microsoft.com/office/drawing/2014/main" id="{664470E4-44FB-4D9F-A511-7F270B33546A}"/>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64</xdr:row>
          <xdr:rowOff>9525</xdr:rowOff>
        </xdr:from>
        <xdr:to>
          <xdr:col>3</xdr:col>
          <xdr:colOff>19050</xdr:colOff>
          <xdr:row>64</xdr:row>
          <xdr:rowOff>485775</xdr:rowOff>
        </xdr:to>
        <xdr:sp macro="" textlink="">
          <xdr:nvSpPr>
            <xdr:cNvPr id="1088" name="Check Box 64" hidden="1">
              <a:extLst>
                <a:ext uri="{63B3BB69-23CF-44E3-9099-C40C66FF867C}">
                  <a14:compatExt spid="_x0000_s1088"/>
                </a:ext>
                <a:ext uri="{FF2B5EF4-FFF2-40B4-BE49-F238E27FC236}">
                  <a16:creationId xmlns:a16="http://schemas.microsoft.com/office/drawing/2014/main" id="{DF853E43-D5C6-4892-9D3E-9A17256D0801}"/>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65</xdr:row>
          <xdr:rowOff>9525</xdr:rowOff>
        </xdr:from>
        <xdr:to>
          <xdr:col>3</xdr:col>
          <xdr:colOff>19050</xdr:colOff>
          <xdr:row>65</xdr:row>
          <xdr:rowOff>485775</xdr:rowOff>
        </xdr:to>
        <xdr:sp macro="" textlink="">
          <xdr:nvSpPr>
            <xdr:cNvPr id="1089" name="Check Box 65" hidden="1">
              <a:extLst>
                <a:ext uri="{63B3BB69-23CF-44E3-9099-C40C66FF867C}">
                  <a14:compatExt spid="_x0000_s1089"/>
                </a:ext>
                <a:ext uri="{FF2B5EF4-FFF2-40B4-BE49-F238E27FC236}">
                  <a16:creationId xmlns:a16="http://schemas.microsoft.com/office/drawing/2014/main" id="{B5C910A5-5FA3-4482-94D7-6161F790BE5C}"/>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66</xdr:row>
          <xdr:rowOff>9525</xdr:rowOff>
        </xdr:from>
        <xdr:to>
          <xdr:col>3</xdr:col>
          <xdr:colOff>19050</xdr:colOff>
          <xdr:row>66</xdr:row>
          <xdr:rowOff>485775</xdr:rowOff>
        </xdr:to>
        <xdr:sp macro="" textlink="">
          <xdr:nvSpPr>
            <xdr:cNvPr id="1090" name="Check Box 66" hidden="1">
              <a:extLst>
                <a:ext uri="{63B3BB69-23CF-44E3-9099-C40C66FF867C}">
                  <a14:compatExt spid="_x0000_s1090"/>
                </a:ext>
                <a:ext uri="{FF2B5EF4-FFF2-40B4-BE49-F238E27FC236}">
                  <a16:creationId xmlns:a16="http://schemas.microsoft.com/office/drawing/2014/main" id="{0FFEDFAD-ED9D-46D3-992B-03E039CEE5FC}"/>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67</xdr:row>
          <xdr:rowOff>9525</xdr:rowOff>
        </xdr:from>
        <xdr:to>
          <xdr:col>3</xdr:col>
          <xdr:colOff>19050</xdr:colOff>
          <xdr:row>67</xdr:row>
          <xdr:rowOff>485775</xdr:rowOff>
        </xdr:to>
        <xdr:sp macro="" textlink="">
          <xdr:nvSpPr>
            <xdr:cNvPr id="1091" name="Check Box 67" hidden="1">
              <a:extLst>
                <a:ext uri="{63B3BB69-23CF-44E3-9099-C40C66FF867C}">
                  <a14:compatExt spid="_x0000_s1091"/>
                </a:ext>
                <a:ext uri="{FF2B5EF4-FFF2-40B4-BE49-F238E27FC236}">
                  <a16:creationId xmlns:a16="http://schemas.microsoft.com/office/drawing/2014/main" id="{4478BDD1-F899-4B0A-9C76-B2D339350A79}"/>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68</xdr:row>
          <xdr:rowOff>9525</xdr:rowOff>
        </xdr:from>
        <xdr:to>
          <xdr:col>3</xdr:col>
          <xdr:colOff>19050</xdr:colOff>
          <xdr:row>68</xdr:row>
          <xdr:rowOff>485775</xdr:rowOff>
        </xdr:to>
        <xdr:sp macro="" textlink="">
          <xdr:nvSpPr>
            <xdr:cNvPr id="1092" name="Check Box 68" hidden="1">
              <a:extLst>
                <a:ext uri="{63B3BB69-23CF-44E3-9099-C40C66FF867C}">
                  <a14:compatExt spid="_x0000_s1092"/>
                </a:ext>
                <a:ext uri="{FF2B5EF4-FFF2-40B4-BE49-F238E27FC236}">
                  <a16:creationId xmlns:a16="http://schemas.microsoft.com/office/drawing/2014/main" id="{511E4887-1F6A-472F-866F-FD9D9C92FB67}"/>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69</xdr:row>
          <xdr:rowOff>9525</xdr:rowOff>
        </xdr:from>
        <xdr:to>
          <xdr:col>3</xdr:col>
          <xdr:colOff>19050</xdr:colOff>
          <xdr:row>69</xdr:row>
          <xdr:rowOff>485775</xdr:rowOff>
        </xdr:to>
        <xdr:sp macro="" textlink="">
          <xdr:nvSpPr>
            <xdr:cNvPr id="1093" name="Check Box 69" hidden="1">
              <a:extLst>
                <a:ext uri="{63B3BB69-23CF-44E3-9099-C40C66FF867C}">
                  <a14:compatExt spid="_x0000_s1093"/>
                </a:ext>
                <a:ext uri="{FF2B5EF4-FFF2-40B4-BE49-F238E27FC236}">
                  <a16:creationId xmlns:a16="http://schemas.microsoft.com/office/drawing/2014/main" id="{9B794111-0C68-437B-84F2-446CF285C7CA}"/>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70</xdr:row>
          <xdr:rowOff>9525</xdr:rowOff>
        </xdr:from>
        <xdr:to>
          <xdr:col>3</xdr:col>
          <xdr:colOff>19050</xdr:colOff>
          <xdr:row>70</xdr:row>
          <xdr:rowOff>485775</xdr:rowOff>
        </xdr:to>
        <xdr:sp macro="" textlink="">
          <xdr:nvSpPr>
            <xdr:cNvPr id="1094" name="Check Box 70" hidden="1">
              <a:extLst>
                <a:ext uri="{63B3BB69-23CF-44E3-9099-C40C66FF867C}">
                  <a14:compatExt spid="_x0000_s1094"/>
                </a:ext>
                <a:ext uri="{FF2B5EF4-FFF2-40B4-BE49-F238E27FC236}">
                  <a16:creationId xmlns:a16="http://schemas.microsoft.com/office/drawing/2014/main" id="{26859526-CF09-492C-8FCC-558A96E09705}"/>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71</xdr:row>
          <xdr:rowOff>9525</xdr:rowOff>
        </xdr:from>
        <xdr:to>
          <xdr:col>3</xdr:col>
          <xdr:colOff>19050</xdr:colOff>
          <xdr:row>71</xdr:row>
          <xdr:rowOff>485775</xdr:rowOff>
        </xdr:to>
        <xdr:sp macro="" textlink="">
          <xdr:nvSpPr>
            <xdr:cNvPr id="1095" name="Check Box 71" hidden="1">
              <a:extLst>
                <a:ext uri="{63B3BB69-23CF-44E3-9099-C40C66FF867C}">
                  <a14:compatExt spid="_x0000_s1095"/>
                </a:ext>
                <a:ext uri="{FF2B5EF4-FFF2-40B4-BE49-F238E27FC236}">
                  <a16:creationId xmlns:a16="http://schemas.microsoft.com/office/drawing/2014/main" id="{635DFFDC-D745-4B22-87BD-B955EF1DD0D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72</xdr:row>
          <xdr:rowOff>9525</xdr:rowOff>
        </xdr:from>
        <xdr:to>
          <xdr:col>3</xdr:col>
          <xdr:colOff>19050</xdr:colOff>
          <xdr:row>72</xdr:row>
          <xdr:rowOff>485775</xdr:rowOff>
        </xdr:to>
        <xdr:sp macro="" textlink="">
          <xdr:nvSpPr>
            <xdr:cNvPr id="1096" name="Check Box 72" hidden="1">
              <a:extLst>
                <a:ext uri="{63B3BB69-23CF-44E3-9099-C40C66FF867C}">
                  <a14:compatExt spid="_x0000_s1096"/>
                </a:ext>
                <a:ext uri="{FF2B5EF4-FFF2-40B4-BE49-F238E27FC236}">
                  <a16:creationId xmlns:a16="http://schemas.microsoft.com/office/drawing/2014/main" id="{DC4AE98E-B8BB-4B65-B9B9-0BB68ECFD511}"/>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73</xdr:row>
          <xdr:rowOff>9525</xdr:rowOff>
        </xdr:from>
        <xdr:to>
          <xdr:col>3</xdr:col>
          <xdr:colOff>19050</xdr:colOff>
          <xdr:row>73</xdr:row>
          <xdr:rowOff>485775</xdr:rowOff>
        </xdr:to>
        <xdr:sp macro="" textlink="">
          <xdr:nvSpPr>
            <xdr:cNvPr id="1097" name="Check Box 73" hidden="1">
              <a:extLst>
                <a:ext uri="{63B3BB69-23CF-44E3-9099-C40C66FF867C}">
                  <a14:compatExt spid="_x0000_s1097"/>
                </a:ext>
                <a:ext uri="{FF2B5EF4-FFF2-40B4-BE49-F238E27FC236}">
                  <a16:creationId xmlns:a16="http://schemas.microsoft.com/office/drawing/2014/main" id="{F21FE369-0F9C-41DD-9DF3-19D824BCBA39}"/>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74</xdr:row>
          <xdr:rowOff>9525</xdr:rowOff>
        </xdr:from>
        <xdr:to>
          <xdr:col>3</xdr:col>
          <xdr:colOff>19050</xdr:colOff>
          <xdr:row>74</xdr:row>
          <xdr:rowOff>485775</xdr:rowOff>
        </xdr:to>
        <xdr:sp macro="" textlink="">
          <xdr:nvSpPr>
            <xdr:cNvPr id="1098" name="Check Box 74" hidden="1">
              <a:extLst>
                <a:ext uri="{63B3BB69-23CF-44E3-9099-C40C66FF867C}">
                  <a14:compatExt spid="_x0000_s1098"/>
                </a:ext>
                <a:ext uri="{FF2B5EF4-FFF2-40B4-BE49-F238E27FC236}">
                  <a16:creationId xmlns:a16="http://schemas.microsoft.com/office/drawing/2014/main" id="{747075A5-00AD-4318-9DC3-9D15484B79D5}"/>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75</xdr:row>
          <xdr:rowOff>9525</xdr:rowOff>
        </xdr:from>
        <xdr:to>
          <xdr:col>3</xdr:col>
          <xdr:colOff>19050</xdr:colOff>
          <xdr:row>75</xdr:row>
          <xdr:rowOff>485775</xdr:rowOff>
        </xdr:to>
        <xdr:sp macro="" textlink="">
          <xdr:nvSpPr>
            <xdr:cNvPr id="1099" name="Check Box 75" hidden="1">
              <a:extLst>
                <a:ext uri="{63B3BB69-23CF-44E3-9099-C40C66FF867C}">
                  <a14:compatExt spid="_x0000_s1099"/>
                </a:ext>
                <a:ext uri="{FF2B5EF4-FFF2-40B4-BE49-F238E27FC236}">
                  <a16:creationId xmlns:a16="http://schemas.microsoft.com/office/drawing/2014/main" id="{2AB04E9A-FBC7-442D-9910-C34661FBFB39}"/>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76</xdr:row>
          <xdr:rowOff>9525</xdr:rowOff>
        </xdr:from>
        <xdr:to>
          <xdr:col>3</xdr:col>
          <xdr:colOff>19050</xdr:colOff>
          <xdr:row>76</xdr:row>
          <xdr:rowOff>485775</xdr:rowOff>
        </xdr:to>
        <xdr:sp macro="" textlink="">
          <xdr:nvSpPr>
            <xdr:cNvPr id="1100" name="Check Box 76" hidden="1">
              <a:extLst>
                <a:ext uri="{63B3BB69-23CF-44E3-9099-C40C66FF867C}">
                  <a14:compatExt spid="_x0000_s1100"/>
                </a:ext>
                <a:ext uri="{FF2B5EF4-FFF2-40B4-BE49-F238E27FC236}">
                  <a16:creationId xmlns:a16="http://schemas.microsoft.com/office/drawing/2014/main" id="{21FDCE93-FCD1-41AA-85B4-43024C8C483D}"/>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77</xdr:row>
          <xdr:rowOff>9525</xdr:rowOff>
        </xdr:from>
        <xdr:to>
          <xdr:col>3</xdr:col>
          <xdr:colOff>19050</xdr:colOff>
          <xdr:row>77</xdr:row>
          <xdr:rowOff>485775</xdr:rowOff>
        </xdr:to>
        <xdr:sp macro="" textlink="">
          <xdr:nvSpPr>
            <xdr:cNvPr id="1101" name="Check Box 77" hidden="1">
              <a:extLst>
                <a:ext uri="{63B3BB69-23CF-44E3-9099-C40C66FF867C}">
                  <a14:compatExt spid="_x0000_s1101"/>
                </a:ext>
                <a:ext uri="{FF2B5EF4-FFF2-40B4-BE49-F238E27FC236}">
                  <a16:creationId xmlns:a16="http://schemas.microsoft.com/office/drawing/2014/main" id="{3694B0B1-0F36-4D09-A68E-97E834785E8E}"/>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78</xdr:row>
          <xdr:rowOff>9525</xdr:rowOff>
        </xdr:from>
        <xdr:to>
          <xdr:col>3</xdr:col>
          <xdr:colOff>19050</xdr:colOff>
          <xdr:row>78</xdr:row>
          <xdr:rowOff>485775</xdr:rowOff>
        </xdr:to>
        <xdr:sp macro="" textlink="">
          <xdr:nvSpPr>
            <xdr:cNvPr id="1102" name="Check Box 78" hidden="1">
              <a:extLst>
                <a:ext uri="{63B3BB69-23CF-44E3-9099-C40C66FF867C}">
                  <a14:compatExt spid="_x0000_s1102"/>
                </a:ext>
                <a:ext uri="{FF2B5EF4-FFF2-40B4-BE49-F238E27FC236}">
                  <a16:creationId xmlns:a16="http://schemas.microsoft.com/office/drawing/2014/main" id="{07BD655F-FE90-486F-BCBC-45024917EDBA}"/>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79</xdr:row>
          <xdr:rowOff>9525</xdr:rowOff>
        </xdr:from>
        <xdr:to>
          <xdr:col>3</xdr:col>
          <xdr:colOff>19050</xdr:colOff>
          <xdr:row>79</xdr:row>
          <xdr:rowOff>485775</xdr:rowOff>
        </xdr:to>
        <xdr:sp macro="" textlink="">
          <xdr:nvSpPr>
            <xdr:cNvPr id="1103" name="Check Box 79" hidden="1">
              <a:extLst>
                <a:ext uri="{63B3BB69-23CF-44E3-9099-C40C66FF867C}">
                  <a14:compatExt spid="_x0000_s1103"/>
                </a:ext>
                <a:ext uri="{FF2B5EF4-FFF2-40B4-BE49-F238E27FC236}">
                  <a16:creationId xmlns:a16="http://schemas.microsoft.com/office/drawing/2014/main" id="{E2EFBBA8-A1A8-41AC-BBF7-494333C36FAF}"/>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80</xdr:row>
          <xdr:rowOff>9525</xdr:rowOff>
        </xdr:from>
        <xdr:to>
          <xdr:col>3</xdr:col>
          <xdr:colOff>19050</xdr:colOff>
          <xdr:row>80</xdr:row>
          <xdr:rowOff>485775</xdr:rowOff>
        </xdr:to>
        <xdr:sp macro="" textlink="">
          <xdr:nvSpPr>
            <xdr:cNvPr id="1104" name="Check Box 80" hidden="1">
              <a:extLst>
                <a:ext uri="{63B3BB69-23CF-44E3-9099-C40C66FF867C}">
                  <a14:compatExt spid="_x0000_s1104"/>
                </a:ext>
                <a:ext uri="{FF2B5EF4-FFF2-40B4-BE49-F238E27FC236}">
                  <a16:creationId xmlns:a16="http://schemas.microsoft.com/office/drawing/2014/main" id="{D51C70C9-BE48-4A54-AD53-C3D7E44C8112}"/>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81</xdr:row>
          <xdr:rowOff>9525</xdr:rowOff>
        </xdr:from>
        <xdr:to>
          <xdr:col>3</xdr:col>
          <xdr:colOff>19050</xdr:colOff>
          <xdr:row>81</xdr:row>
          <xdr:rowOff>485775</xdr:rowOff>
        </xdr:to>
        <xdr:sp macro="" textlink="">
          <xdr:nvSpPr>
            <xdr:cNvPr id="1105" name="Check Box 81" hidden="1">
              <a:extLst>
                <a:ext uri="{63B3BB69-23CF-44E3-9099-C40C66FF867C}">
                  <a14:compatExt spid="_x0000_s1105"/>
                </a:ext>
                <a:ext uri="{FF2B5EF4-FFF2-40B4-BE49-F238E27FC236}">
                  <a16:creationId xmlns:a16="http://schemas.microsoft.com/office/drawing/2014/main" id="{EC8C54F0-908E-4741-80D8-58DBB8AC80D9}"/>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82</xdr:row>
          <xdr:rowOff>9525</xdr:rowOff>
        </xdr:from>
        <xdr:to>
          <xdr:col>3</xdr:col>
          <xdr:colOff>19050</xdr:colOff>
          <xdr:row>82</xdr:row>
          <xdr:rowOff>485775</xdr:rowOff>
        </xdr:to>
        <xdr:sp macro="" textlink="">
          <xdr:nvSpPr>
            <xdr:cNvPr id="1106" name="Check Box 82" hidden="1">
              <a:extLst>
                <a:ext uri="{63B3BB69-23CF-44E3-9099-C40C66FF867C}">
                  <a14:compatExt spid="_x0000_s1106"/>
                </a:ext>
                <a:ext uri="{FF2B5EF4-FFF2-40B4-BE49-F238E27FC236}">
                  <a16:creationId xmlns:a16="http://schemas.microsoft.com/office/drawing/2014/main" id="{A74C9962-BD74-44F8-A14C-ADCE8145AF64}"/>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83</xdr:row>
          <xdr:rowOff>9525</xdr:rowOff>
        </xdr:from>
        <xdr:to>
          <xdr:col>3</xdr:col>
          <xdr:colOff>19050</xdr:colOff>
          <xdr:row>83</xdr:row>
          <xdr:rowOff>485775</xdr:rowOff>
        </xdr:to>
        <xdr:sp macro="" textlink="">
          <xdr:nvSpPr>
            <xdr:cNvPr id="1107" name="Check Box 83" hidden="1">
              <a:extLst>
                <a:ext uri="{63B3BB69-23CF-44E3-9099-C40C66FF867C}">
                  <a14:compatExt spid="_x0000_s1107"/>
                </a:ext>
                <a:ext uri="{FF2B5EF4-FFF2-40B4-BE49-F238E27FC236}">
                  <a16:creationId xmlns:a16="http://schemas.microsoft.com/office/drawing/2014/main" id="{8AF3F975-94C9-4DA3-A973-89B1EB074856}"/>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84</xdr:row>
          <xdr:rowOff>9525</xdr:rowOff>
        </xdr:from>
        <xdr:to>
          <xdr:col>3</xdr:col>
          <xdr:colOff>19050</xdr:colOff>
          <xdr:row>84</xdr:row>
          <xdr:rowOff>485775</xdr:rowOff>
        </xdr:to>
        <xdr:sp macro="" textlink="">
          <xdr:nvSpPr>
            <xdr:cNvPr id="1108" name="Check Box 84" hidden="1">
              <a:extLst>
                <a:ext uri="{63B3BB69-23CF-44E3-9099-C40C66FF867C}">
                  <a14:compatExt spid="_x0000_s1108"/>
                </a:ext>
                <a:ext uri="{FF2B5EF4-FFF2-40B4-BE49-F238E27FC236}">
                  <a16:creationId xmlns:a16="http://schemas.microsoft.com/office/drawing/2014/main" id="{30608523-B78D-4BE4-8E0C-2B8DD59A33A8}"/>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85</xdr:row>
          <xdr:rowOff>9525</xdr:rowOff>
        </xdr:from>
        <xdr:to>
          <xdr:col>3</xdr:col>
          <xdr:colOff>19050</xdr:colOff>
          <xdr:row>85</xdr:row>
          <xdr:rowOff>485775</xdr:rowOff>
        </xdr:to>
        <xdr:sp macro="" textlink="">
          <xdr:nvSpPr>
            <xdr:cNvPr id="1109" name="Check Box 85" hidden="1">
              <a:extLst>
                <a:ext uri="{63B3BB69-23CF-44E3-9099-C40C66FF867C}">
                  <a14:compatExt spid="_x0000_s1109"/>
                </a:ext>
                <a:ext uri="{FF2B5EF4-FFF2-40B4-BE49-F238E27FC236}">
                  <a16:creationId xmlns:a16="http://schemas.microsoft.com/office/drawing/2014/main" id="{C7D12BFB-6680-4CA5-A323-995C87CD5FD6}"/>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86</xdr:row>
          <xdr:rowOff>9525</xdr:rowOff>
        </xdr:from>
        <xdr:to>
          <xdr:col>3</xdr:col>
          <xdr:colOff>19050</xdr:colOff>
          <xdr:row>86</xdr:row>
          <xdr:rowOff>485775</xdr:rowOff>
        </xdr:to>
        <xdr:sp macro="" textlink="">
          <xdr:nvSpPr>
            <xdr:cNvPr id="1110" name="Check Box 86" hidden="1">
              <a:extLst>
                <a:ext uri="{63B3BB69-23CF-44E3-9099-C40C66FF867C}">
                  <a14:compatExt spid="_x0000_s1110"/>
                </a:ext>
                <a:ext uri="{FF2B5EF4-FFF2-40B4-BE49-F238E27FC236}">
                  <a16:creationId xmlns:a16="http://schemas.microsoft.com/office/drawing/2014/main" id="{F53B8A22-4F8B-4AFF-9675-1CCCFCD571BE}"/>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87</xdr:row>
          <xdr:rowOff>9525</xdr:rowOff>
        </xdr:from>
        <xdr:to>
          <xdr:col>3</xdr:col>
          <xdr:colOff>19050</xdr:colOff>
          <xdr:row>87</xdr:row>
          <xdr:rowOff>485775</xdr:rowOff>
        </xdr:to>
        <xdr:sp macro="" textlink="">
          <xdr:nvSpPr>
            <xdr:cNvPr id="1111" name="Check Box 87" hidden="1">
              <a:extLst>
                <a:ext uri="{63B3BB69-23CF-44E3-9099-C40C66FF867C}">
                  <a14:compatExt spid="_x0000_s1111"/>
                </a:ext>
                <a:ext uri="{FF2B5EF4-FFF2-40B4-BE49-F238E27FC236}">
                  <a16:creationId xmlns:a16="http://schemas.microsoft.com/office/drawing/2014/main" id="{40A66507-B05D-44B8-BDD5-749245C75744}"/>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88</xdr:row>
          <xdr:rowOff>9525</xdr:rowOff>
        </xdr:from>
        <xdr:to>
          <xdr:col>3</xdr:col>
          <xdr:colOff>19050</xdr:colOff>
          <xdr:row>88</xdr:row>
          <xdr:rowOff>485775</xdr:rowOff>
        </xdr:to>
        <xdr:sp macro="" textlink="">
          <xdr:nvSpPr>
            <xdr:cNvPr id="1112" name="Check Box 88" hidden="1">
              <a:extLst>
                <a:ext uri="{63B3BB69-23CF-44E3-9099-C40C66FF867C}">
                  <a14:compatExt spid="_x0000_s1112"/>
                </a:ext>
                <a:ext uri="{FF2B5EF4-FFF2-40B4-BE49-F238E27FC236}">
                  <a16:creationId xmlns:a16="http://schemas.microsoft.com/office/drawing/2014/main" id="{3C4CCFD9-1FC3-4C13-84E5-2E2ACC92EFA6}"/>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89</xdr:row>
          <xdr:rowOff>9525</xdr:rowOff>
        </xdr:from>
        <xdr:to>
          <xdr:col>3</xdr:col>
          <xdr:colOff>19050</xdr:colOff>
          <xdr:row>89</xdr:row>
          <xdr:rowOff>485775</xdr:rowOff>
        </xdr:to>
        <xdr:sp macro="" textlink="">
          <xdr:nvSpPr>
            <xdr:cNvPr id="1113" name="Check Box 89" hidden="1">
              <a:extLst>
                <a:ext uri="{63B3BB69-23CF-44E3-9099-C40C66FF867C}">
                  <a14:compatExt spid="_x0000_s1113"/>
                </a:ext>
                <a:ext uri="{FF2B5EF4-FFF2-40B4-BE49-F238E27FC236}">
                  <a16:creationId xmlns:a16="http://schemas.microsoft.com/office/drawing/2014/main" id="{5A045CA9-E0BA-40A7-9F70-45BB8FF2ADFE}"/>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90</xdr:row>
          <xdr:rowOff>9525</xdr:rowOff>
        </xdr:from>
        <xdr:to>
          <xdr:col>3</xdr:col>
          <xdr:colOff>19050</xdr:colOff>
          <xdr:row>90</xdr:row>
          <xdr:rowOff>485775</xdr:rowOff>
        </xdr:to>
        <xdr:sp macro="" textlink="">
          <xdr:nvSpPr>
            <xdr:cNvPr id="1114" name="Check Box 90" hidden="1">
              <a:extLst>
                <a:ext uri="{63B3BB69-23CF-44E3-9099-C40C66FF867C}">
                  <a14:compatExt spid="_x0000_s1114"/>
                </a:ext>
                <a:ext uri="{FF2B5EF4-FFF2-40B4-BE49-F238E27FC236}">
                  <a16:creationId xmlns:a16="http://schemas.microsoft.com/office/drawing/2014/main" id="{499E03B7-7142-4E35-935F-6E33C1853C4C}"/>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91</xdr:row>
          <xdr:rowOff>9525</xdr:rowOff>
        </xdr:from>
        <xdr:to>
          <xdr:col>3</xdr:col>
          <xdr:colOff>19050</xdr:colOff>
          <xdr:row>91</xdr:row>
          <xdr:rowOff>485775</xdr:rowOff>
        </xdr:to>
        <xdr:sp macro="" textlink="">
          <xdr:nvSpPr>
            <xdr:cNvPr id="1115" name="Check Box 91" hidden="1">
              <a:extLst>
                <a:ext uri="{63B3BB69-23CF-44E3-9099-C40C66FF867C}">
                  <a14:compatExt spid="_x0000_s1115"/>
                </a:ext>
                <a:ext uri="{FF2B5EF4-FFF2-40B4-BE49-F238E27FC236}">
                  <a16:creationId xmlns:a16="http://schemas.microsoft.com/office/drawing/2014/main" id="{269FCD53-8725-4487-A21E-4CA2B8E0C834}"/>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92</xdr:row>
          <xdr:rowOff>9525</xdr:rowOff>
        </xdr:from>
        <xdr:to>
          <xdr:col>3</xdr:col>
          <xdr:colOff>19050</xdr:colOff>
          <xdr:row>92</xdr:row>
          <xdr:rowOff>485775</xdr:rowOff>
        </xdr:to>
        <xdr:sp macro="" textlink="">
          <xdr:nvSpPr>
            <xdr:cNvPr id="1116" name="Check Box 92" hidden="1">
              <a:extLst>
                <a:ext uri="{63B3BB69-23CF-44E3-9099-C40C66FF867C}">
                  <a14:compatExt spid="_x0000_s1116"/>
                </a:ext>
                <a:ext uri="{FF2B5EF4-FFF2-40B4-BE49-F238E27FC236}">
                  <a16:creationId xmlns:a16="http://schemas.microsoft.com/office/drawing/2014/main" id="{E41A3E60-9D9B-4754-AA7D-737356A52E07}"/>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93</xdr:row>
          <xdr:rowOff>9525</xdr:rowOff>
        </xdr:from>
        <xdr:to>
          <xdr:col>3</xdr:col>
          <xdr:colOff>19050</xdr:colOff>
          <xdr:row>93</xdr:row>
          <xdr:rowOff>485775</xdr:rowOff>
        </xdr:to>
        <xdr:sp macro="" textlink="">
          <xdr:nvSpPr>
            <xdr:cNvPr id="1117" name="Check Box 93" hidden="1">
              <a:extLst>
                <a:ext uri="{63B3BB69-23CF-44E3-9099-C40C66FF867C}">
                  <a14:compatExt spid="_x0000_s1117"/>
                </a:ext>
                <a:ext uri="{FF2B5EF4-FFF2-40B4-BE49-F238E27FC236}">
                  <a16:creationId xmlns:a16="http://schemas.microsoft.com/office/drawing/2014/main" id="{0809047E-F9ED-44FA-AACF-575269955649}"/>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94</xdr:row>
          <xdr:rowOff>9525</xdr:rowOff>
        </xdr:from>
        <xdr:to>
          <xdr:col>3</xdr:col>
          <xdr:colOff>19050</xdr:colOff>
          <xdr:row>94</xdr:row>
          <xdr:rowOff>485775</xdr:rowOff>
        </xdr:to>
        <xdr:sp macro="" textlink="">
          <xdr:nvSpPr>
            <xdr:cNvPr id="1118" name="Check Box 94" hidden="1">
              <a:extLst>
                <a:ext uri="{63B3BB69-23CF-44E3-9099-C40C66FF867C}">
                  <a14:compatExt spid="_x0000_s1118"/>
                </a:ext>
                <a:ext uri="{FF2B5EF4-FFF2-40B4-BE49-F238E27FC236}">
                  <a16:creationId xmlns:a16="http://schemas.microsoft.com/office/drawing/2014/main" id="{250E1B59-DC6E-4EB0-A573-FCAEEE7F0EF5}"/>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95</xdr:row>
          <xdr:rowOff>9525</xdr:rowOff>
        </xdr:from>
        <xdr:to>
          <xdr:col>3</xdr:col>
          <xdr:colOff>19050</xdr:colOff>
          <xdr:row>95</xdr:row>
          <xdr:rowOff>485775</xdr:rowOff>
        </xdr:to>
        <xdr:sp macro="" textlink="">
          <xdr:nvSpPr>
            <xdr:cNvPr id="1119" name="Check Box 95" hidden="1">
              <a:extLst>
                <a:ext uri="{63B3BB69-23CF-44E3-9099-C40C66FF867C}">
                  <a14:compatExt spid="_x0000_s1119"/>
                </a:ext>
                <a:ext uri="{FF2B5EF4-FFF2-40B4-BE49-F238E27FC236}">
                  <a16:creationId xmlns:a16="http://schemas.microsoft.com/office/drawing/2014/main" id="{ACE5C42E-446B-4E39-9EB8-610A845D8BC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96</xdr:row>
          <xdr:rowOff>9525</xdr:rowOff>
        </xdr:from>
        <xdr:to>
          <xdr:col>3</xdr:col>
          <xdr:colOff>19050</xdr:colOff>
          <xdr:row>96</xdr:row>
          <xdr:rowOff>485775</xdr:rowOff>
        </xdr:to>
        <xdr:sp macro="" textlink="">
          <xdr:nvSpPr>
            <xdr:cNvPr id="1120" name="Check Box 96" hidden="1">
              <a:extLst>
                <a:ext uri="{63B3BB69-23CF-44E3-9099-C40C66FF867C}">
                  <a14:compatExt spid="_x0000_s1120"/>
                </a:ext>
                <a:ext uri="{FF2B5EF4-FFF2-40B4-BE49-F238E27FC236}">
                  <a16:creationId xmlns:a16="http://schemas.microsoft.com/office/drawing/2014/main" id="{75A4B79E-B345-4399-8B53-056CE4BD6E0E}"/>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97</xdr:row>
          <xdr:rowOff>9525</xdr:rowOff>
        </xdr:from>
        <xdr:to>
          <xdr:col>3</xdr:col>
          <xdr:colOff>19050</xdr:colOff>
          <xdr:row>97</xdr:row>
          <xdr:rowOff>485775</xdr:rowOff>
        </xdr:to>
        <xdr:sp macro="" textlink="">
          <xdr:nvSpPr>
            <xdr:cNvPr id="1121" name="Check Box 97" hidden="1">
              <a:extLst>
                <a:ext uri="{63B3BB69-23CF-44E3-9099-C40C66FF867C}">
                  <a14:compatExt spid="_x0000_s1121"/>
                </a:ext>
                <a:ext uri="{FF2B5EF4-FFF2-40B4-BE49-F238E27FC236}">
                  <a16:creationId xmlns:a16="http://schemas.microsoft.com/office/drawing/2014/main" id="{19FEA8BD-229D-451F-9DDB-3B5468283546}"/>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98</xdr:row>
          <xdr:rowOff>9525</xdr:rowOff>
        </xdr:from>
        <xdr:to>
          <xdr:col>3</xdr:col>
          <xdr:colOff>19050</xdr:colOff>
          <xdr:row>98</xdr:row>
          <xdr:rowOff>485775</xdr:rowOff>
        </xdr:to>
        <xdr:sp macro="" textlink="">
          <xdr:nvSpPr>
            <xdr:cNvPr id="1122" name="Check Box 98" hidden="1">
              <a:extLst>
                <a:ext uri="{63B3BB69-23CF-44E3-9099-C40C66FF867C}">
                  <a14:compatExt spid="_x0000_s1122"/>
                </a:ext>
                <a:ext uri="{FF2B5EF4-FFF2-40B4-BE49-F238E27FC236}">
                  <a16:creationId xmlns:a16="http://schemas.microsoft.com/office/drawing/2014/main" id="{39C6565D-91BE-4FA7-8C3D-E45A633AF7F9}"/>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99</xdr:row>
          <xdr:rowOff>9525</xdr:rowOff>
        </xdr:from>
        <xdr:to>
          <xdr:col>3</xdr:col>
          <xdr:colOff>19050</xdr:colOff>
          <xdr:row>99</xdr:row>
          <xdr:rowOff>485775</xdr:rowOff>
        </xdr:to>
        <xdr:sp macro="" textlink="">
          <xdr:nvSpPr>
            <xdr:cNvPr id="1123" name="Check Box 99" hidden="1">
              <a:extLst>
                <a:ext uri="{63B3BB69-23CF-44E3-9099-C40C66FF867C}">
                  <a14:compatExt spid="_x0000_s1123"/>
                </a:ext>
                <a:ext uri="{FF2B5EF4-FFF2-40B4-BE49-F238E27FC236}">
                  <a16:creationId xmlns:a16="http://schemas.microsoft.com/office/drawing/2014/main" id="{6B95807F-A67E-48FF-955F-210D8D5A79C5}"/>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100</xdr:row>
          <xdr:rowOff>9525</xdr:rowOff>
        </xdr:from>
        <xdr:to>
          <xdr:col>3</xdr:col>
          <xdr:colOff>19050</xdr:colOff>
          <xdr:row>100</xdr:row>
          <xdr:rowOff>485775</xdr:rowOff>
        </xdr:to>
        <xdr:sp macro="" textlink="">
          <xdr:nvSpPr>
            <xdr:cNvPr id="1124" name="Check Box 100" hidden="1">
              <a:extLst>
                <a:ext uri="{63B3BB69-23CF-44E3-9099-C40C66FF867C}">
                  <a14:compatExt spid="_x0000_s1124"/>
                </a:ext>
                <a:ext uri="{FF2B5EF4-FFF2-40B4-BE49-F238E27FC236}">
                  <a16:creationId xmlns:a16="http://schemas.microsoft.com/office/drawing/2014/main" id="{457C407E-D9BE-445B-BC1E-269AD8963A4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101</xdr:row>
          <xdr:rowOff>9525</xdr:rowOff>
        </xdr:from>
        <xdr:to>
          <xdr:col>3</xdr:col>
          <xdr:colOff>19050</xdr:colOff>
          <xdr:row>101</xdr:row>
          <xdr:rowOff>485775</xdr:rowOff>
        </xdr:to>
        <xdr:sp macro="" textlink="">
          <xdr:nvSpPr>
            <xdr:cNvPr id="1125" name="Check Box 101" hidden="1">
              <a:extLst>
                <a:ext uri="{63B3BB69-23CF-44E3-9099-C40C66FF867C}">
                  <a14:compatExt spid="_x0000_s1125"/>
                </a:ext>
                <a:ext uri="{FF2B5EF4-FFF2-40B4-BE49-F238E27FC236}">
                  <a16:creationId xmlns:a16="http://schemas.microsoft.com/office/drawing/2014/main" id="{7D9D3819-9054-4907-979D-80EE238463BB}"/>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102</xdr:row>
          <xdr:rowOff>9525</xdr:rowOff>
        </xdr:from>
        <xdr:to>
          <xdr:col>3</xdr:col>
          <xdr:colOff>19050</xdr:colOff>
          <xdr:row>102</xdr:row>
          <xdr:rowOff>485775</xdr:rowOff>
        </xdr:to>
        <xdr:sp macro="" textlink="">
          <xdr:nvSpPr>
            <xdr:cNvPr id="1126" name="Check Box 102" hidden="1">
              <a:extLst>
                <a:ext uri="{63B3BB69-23CF-44E3-9099-C40C66FF867C}">
                  <a14:compatExt spid="_x0000_s1126"/>
                </a:ext>
                <a:ext uri="{FF2B5EF4-FFF2-40B4-BE49-F238E27FC236}">
                  <a16:creationId xmlns:a16="http://schemas.microsoft.com/office/drawing/2014/main" id="{50BB0E2B-581B-4CA2-8687-5F20214DA6E4}"/>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103</xdr:row>
          <xdr:rowOff>9525</xdr:rowOff>
        </xdr:from>
        <xdr:to>
          <xdr:col>3</xdr:col>
          <xdr:colOff>19050</xdr:colOff>
          <xdr:row>103</xdr:row>
          <xdr:rowOff>485775</xdr:rowOff>
        </xdr:to>
        <xdr:sp macro="" textlink="">
          <xdr:nvSpPr>
            <xdr:cNvPr id="1127" name="Check Box 103" hidden="1">
              <a:extLst>
                <a:ext uri="{63B3BB69-23CF-44E3-9099-C40C66FF867C}">
                  <a14:compatExt spid="_x0000_s1127"/>
                </a:ext>
                <a:ext uri="{FF2B5EF4-FFF2-40B4-BE49-F238E27FC236}">
                  <a16:creationId xmlns:a16="http://schemas.microsoft.com/office/drawing/2014/main" id="{C96D4EB2-E9C5-4851-B8B7-89AB2588A309}"/>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104</xdr:row>
          <xdr:rowOff>9525</xdr:rowOff>
        </xdr:from>
        <xdr:to>
          <xdr:col>3</xdr:col>
          <xdr:colOff>19050</xdr:colOff>
          <xdr:row>104</xdr:row>
          <xdr:rowOff>485775</xdr:rowOff>
        </xdr:to>
        <xdr:sp macro="" textlink="">
          <xdr:nvSpPr>
            <xdr:cNvPr id="1128" name="Check Box 104" hidden="1">
              <a:extLst>
                <a:ext uri="{63B3BB69-23CF-44E3-9099-C40C66FF867C}">
                  <a14:compatExt spid="_x0000_s1128"/>
                </a:ext>
                <a:ext uri="{FF2B5EF4-FFF2-40B4-BE49-F238E27FC236}">
                  <a16:creationId xmlns:a16="http://schemas.microsoft.com/office/drawing/2014/main" id="{89B941E7-9448-49F8-A345-94F66436E264}"/>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105</xdr:row>
          <xdr:rowOff>9525</xdr:rowOff>
        </xdr:from>
        <xdr:to>
          <xdr:col>3</xdr:col>
          <xdr:colOff>19050</xdr:colOff>
          <xdr:row>105</xdr:row>
          <xdr:rowOff>485775</xdr:rowOff>
        </xdr:to>
        <xdr:sp macro="" textlink="">
          <xdr:nvSpPr>
            <xdr:cNvPr id="1129" name="Check Box 105" hidden="1">
              <a:extLst>
                <a:ext uri="{63B3BB69-23CF-44E3-9099-C40C66FF867C}">
                  <a14:compatExt spid="_x0000_s1129"/>
                </a:ext>
                <a:ext uri="{FF2B5EF4-FFF2-40B4-BE49-F238E27FC236}">
                  <a16:creationId xmlns:a16="http://schemas.microsoft.com/office/drawing/2014/main" id="{AE01838C-8986-4FBC-BC74-59418AC0369E}"/>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106</xdr:row>
          <xdr:rowOff>9525</xdr:rowOff>
        </xdr:from>
        <xdr:to>
          <xdr:col>3</xdr:col>
          <xdr:colOff>19050</xdr:colOff>
          <xdr:row>106</xdr:row>
          <xdr:rowOff>485775</xdr:rowOff>
        </xdr:to>
        <xdr:sp macro="" textlink="">
          <xdr:nvSpPr>
            <xdr:cNvPr id="1130" name="Check Box 106" hidden="1">
              <a:extLst>
                <a:ext uri="{63B3BB69-23CF-44E3-9099-C40C66FF867C}">
                  <a14:compatExt spid="_x0000_s1130"/>
                </a:ext>
                <a:ext uri="{FF2B5EF4-FFF2-40B4-BE49-F238E27FC236}">
                  <a16:creationId xmlns:a16="http://schemas.microsoft.com/office/drawing/2014/main" id="{260A51DE-BA52-4487-B7D8-4E9D6314A199}"/>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107</xdr:row>
          <xdr:rowOff>9525</xdr:rowOff>
        </xdr:from>
        <xdr:to>
          <xdr:col>3</xdr:col>
          <xdr:colOff>19050</xdr:colOff>
          <xdr:row>107</xdr:row>
          <xdr:rowOff>485775</xdr:rowOff>
        </xdr:to>
        <xdr:sp macro="" textlink="">
          <xdr:nvSpPr>
            <xdr:cNvPr id="1131" name="Check Box 107" hidden="1">
              <a:extLst>
                <a:ext uri="{63B3BB69-23CF-44E3-9099-C40C66FF867C}">
                  <a14:compatExt spid="_x0000_s1131"/>
                </a:ext>
                <a:ext uri="{FF2B5EF4-FFF2-40B4-BE49-F238E27FC236}">
                  <a16:creationId xmlns:a16="http://schemas.microsoft.com/office/drawing/2014/main" id="{BF31CD47-842A-49A6-B4B3-633087582B16}"/>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108</xdr:row>
          <xdr:rowOff>9525</xdr:rowOff>
        </xdr:from>
        <xdr:to>
          <xdr:col>3</xdr:col>
          <xdr:colOff>19050</xdr:colOff>
          <xdr:row>108</xdr:row>
          <xdr:rowOff>485775</xdr:rowOff>
        </xdr:to>
        <xdr:sp macro="" textlink="">
          <xdr:nvSpPr>
            <xdr:cNvPr id="1132" name="Check Box 108" hidden="1">
              <a:extLst>
                <a:ext uri="{63B3BB69-23CF-44E3-9099-C40C66FF867C}">
                  <a14:compatExt spid="_x0000_s1132"/>
                </a:ext>
                <a:ext uri="{FF2B5EF4-FFF2-40B4-BE49-F238E27FC236}">
                  <a16:creationId xmlns:a16="http://schemas.microsoft.com/office/drawing/2014/main" id="{318BA667-EF06-4130-A8D5-5B79A4C3B8F6}"/>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109</xdr:row>
          <xdr:rowOff>9525</xdr:rowOff>
        </xdr:from>
        <xdr:to>
          <xdr:col>3</xdr:col>
          <xdr:colOff>19050</xdr:colOff>
          <xdr:row>109</xdr:row>
          <xdr:rowOff>485775</xdr:rowOff>
        </xdr:to>
        <xdr:sp macro="" textlink="">
          <xdr:nvSpPr>
            <xdr:cNvPr id="1133" name="Check Box 109" hidden="1">
              <a:extLst>
                <a:ext uri="{63B3BB69-23CF-44E3-9099-C40C66FF867C}">
                  <a14:compatExt spid="_x0000_s1133"/>
                </a:ext>
                <a:ext uri="{FF2B5EF4-FFF2-40B4-BE49-F238E27FC236}">
                  <a16:creationId xmlns:a16="http://schemas.microsoft.com/office/drawing/2014/main" id="{AB22CBBB-6D8A-4D7A-BF46-7BF569A446C9}"/>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110</xdr:row>
          <xdr:rowOff>9525</xdr:rowOff>
        </xdr:from>
        <xdr:to>
          <xdr:col>3</xdr:col>
          <xdr:colOff>19050</xdr:colOff>
          <xdr:row>110</xdr:row>
          <xdr:rowOff>485775</xdr:rowOff>
        </xdr:to>
        <xdr:sp macro="" textlink="">
          <xdr:nvSpPr>
            <xdr:cNvPr id="1134" name="Check Box 110" hidden="1">
              <a:extLst>
                <a:ext uri="{63B3BB69-23CF-44E3-9099-C40C66FF867C}">
                  <a14:compatExt spid="_x0000_s1134"/>
                </a:ext>
                <a:ext uri="{FF2B5EF4-FFF2-40B4-BE49-F238E27FC236}">
                  <a16:creationId xmlns:a16="http://schemas.microsoft.com/office/drawing/2014/main" id="{E20A35EA-2C50-4473-99D9-200D4AD76E06}"/>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111</xdr:row>
          <xdr:rowOff>9525</xdr:rowOff>
        </xdr:from>
        <xdr:to>
          <xdr:col>3</xdr:col>
          <xdr:colOff>19050</xdr:colOff>
          <xdr:row>111</xdr:row>
          <xdr:rowOff>485775</xdr:rowOff>
        </xdr:to>
        <xdr:sp macro="" textlink="">
          <xdr:nvSpPr>
            <xdr:cNvPr id="1135" name="Check Box 111" hidden="1">
              <a:extLst>
                <a:ext uri="{63B3BB69-23CF-44E3-9099-C40C66FF867C}">
                  <a14:compatExt spid="_x0000_s1135"/>
                </a:ext>
                <a:ext uri="{FF2B5EF4-FFF2-40B4-BE49-F238E27FC236}">
                  <a16:creationId xmlns:a16="http://schemas.microsoft.com/office/drawing/2014/main" id="{D43AB0D8-E0D5-4C6F-800B-BF1B7E27B919}"/>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112</xdr:row>
          <xdr:rowOff>9525</xdr:rowOff>
        </xdr:from>
        <xdr:to>
          <xdr:col>3</xdr:col>
          <xdr:colOff>19050</xdr:colOff>
          <xdr:row>112</xdr:row>
          <xdr:rowOff>485775</xdr:rowOff>
        </xdr:to>
        <xdr:sp macro="" textlink="">
          <xdr:nvSpPr>
            <xdr:cNvPr id="1136" name="Check Box 112" hidden="1">
              <a:extLst>
                <a:ext uri="{63B3BB69-23CF-44E3-9099-C40C66FF867C}">
                  <a14:compatExt spid="_x0000_s1136"/>
                </a:ext>
                <a:ext uri="{FF2B5EF4-FFF2-40B4-BE49-F238E27FC236}">
                  <a16:creationId xmlns:a16="http://schemas.microsoft.com/office/drawing/2014/main" id="{8A3698B1-321B-4FA0-9171-8C8B7B262A13}"/>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113</xdr:row>
          <xdr:rowOff>9525</xdr:rowOff>
        </xdr:from>
        <xdr:to>
          <xdr:col>3</xdr:col>
          <xdr:colOff>19050</xdr:colOff>
          <xdr:row>113</xdr:row>
          <xdr:rowOff>485775</xdr:rowOff>
        </xdr:to>
        <xdr:sp macro="" textlink="">
          <xdr:nvSpPr>
            <xdr:cNvPr id="1137" name="Check Box 113" hidden="1">
              <a:extLst>
                <a:ext uri="{63B3BB69-23CF-44E3-9099-C40C66FF867C}">
                  <a14:compatExt spid="_x0000_s1137"/>
                </a:ext>
                <a:ext uri="{FF2B5EF4-FFF2-40B4-BE49-F238E27FC236}">
                  <a16:creationId xmlns:a16="http://schemas.microsoft.com/office/drawing/2014/main" id="{165EE8F6-BC88-4998-99E3-4B569E5339AA}"/>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114</xdr:row>
          <xdr:rowOff>9525</xdr:rowOff>
        </xdr:from>
        <xdr:to>
          <xdr:col>3</xdr:col>
          <xdr:colOff>19050</xdr:colOff>
          <xdr:row>114</xdr:row>
          <xdr:rowOff>485775</xdr:rowOff>
        </xdr:to>
        <xdr:sp macro="" textlink="">
          <xdr:nvSpPr>
            <xdr:cNvPr id="1138" name="Check Box 114" hidden="1">
              <a:extLst>
                <a:ext uri="{63B3BB69-23CF-44E3-9099-C40C66FF867C}">
                  <a14:compatExt spid="_x0000_s1138"/>
                </a:ext>
                <a:ext uri="{FF2B5EF4-FFF2-40B4-BE49-F238E27FC236}">
                  <a16:creationId xmlns:a16="http://schemas.microsoft.com/office/drawing/2014/main" id="{9CB574B1-CA7F-47DE-B511-118D93E2B19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115</xdr:row>
          <xdr:rowOff>9525</xdr:rowOff>
        </xdr:from>
        <xdr:to>
          <xdr:col>3</xdr:col>
          <xdr:colOff>19050</xdr:colOff>
          <xdr:row>115</xdr:row>
          <xdr:rowOff>485775</xdr:rowOff>
        </xdr:to>
        <xdr:sp macro="" textlink="">
          <xdr:nvSpPr>
            <xdr:cNvPr id="1139" name="Check Box 115" hidden="1">
              <a:extLst>
                <a:ext uri="{63B3BB69-23CF-44E3-9099-C40C66FF867C}">
                  <a14:compatExt spid="_x0000_s1139"/>
                </a:ext>
                <a:ext uri="{FF2B5EF4-FFF2-40B4-BE49-F238E27FC236}">
                  <a16:creationId xmlns:a16="http://schemas.microsoft.com/office/drawing/2014/main" id="{D1A978EE-5EBE-4081-92CB-B905F242D214}"/>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116</xdr:row>
          <xdr:rowOff>9525</xdr:rowOff>
        </xdr:from>
        <xdr:to>
          <xdr:col>3</xdr:col>
          <xdr:colOff>19050</xdr:colOff>
          <xdr:row>116</xdr:row>
          <xdr:rowOff>485775</xdr:rowOff>
        </xdr:to>
        <xdr:sp macro="" textlink="">
          <xdr:nvSpPr>
            <xdr:cNvPr id="1140" name="Check Box 116" hidden="1">
              <a:extLst>
                <a:ext uri="{63B3BB69-23CF-44E3-9099-C40C66FF867C}">
                  <a14:compatExt spid="_x0000_s1140"/>
                </a:ext>
                <a:ext uri="{FF2B5EF4-FFF2-40B4-BE49-F238E27FC236}">
                  <a16:creationId xmlns:a16="http://schemas.microsoft.com/office/drawing/2014/main" id="{BF710159-C298-43CF-B9CB-DD162A9E6AC2}"/>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117</xdr:row>
          <xdr:rowOff>9525</xdr:rowOff>
        </xdr:from>
        <xdr:to>
          <xdr:col>3</xdr:col>
          <xdr:colOff>19050</xdr:colOff>
          <xdr:row>117</xdr:row>
          <xdr:rowOff>485775</xdr:rowOff>
        </xdr:to>
        <xdr:sp macro="" textlink="">
          <xdr:nvSpPr>
            <xdr:cNvPr id="1141" name="Check Box 117" hidden="1">
              <a:extLst>
                <a:ext uri="{63B3BB69-23CF-44E3-9099-C40C66FF867C}">
                  <a14:compatExt spid="_x0000_s1141"/>
                </a:ext>
                <a:ext uri="{FF2B5EF4-FFF2-40B4-BE49-F238E27FC236}">
                  <a16:creationId xmlns:a16="http://schemas.microsoft.com/office/drawing/2014/main" id="{9B8E44B6-28E4-4413-8D6C-988D2F8C8BE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118</xdr:row>
          <xdr:rowOff>9525</xdr:rowOff>
        </xdr:from>
        <xdr:to>
          <xdr:col>3</xdr:col>
          <xdr:colOff>19050</xdr:colOff>
          <xdr:row>118</xdr:row>
          <xdr:rowOff>485775</xdr:rowOff>
        </xdr:to>
        <xdr:sp macro="" textlink="">
          <xdr:nvSpPr>
            <xdr:cNvPr id="1142" name="Check Box 118" hidden="1">
              <a:extLst>
                <a:ext uri="{63B3BB69-23CF-44E3-9099-C40C66FF867C}">
                  <a14:compatExt spid="_x0000_s1142"/>
                </a:ext>
                <a:ext uri="{FF2B5EF4-FFF2-40B4-BE49-F238E27FC236}">
                  <a16:creationId xmlns:a16="http://schemas.microsoft.com/office/drawing/2014/main" id="{6FEC80F5-F7A3-4AFA-A885-0A29C2BB286D}"/>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119</xdr:row>
          <xdr:rowOff>9525</xdr:rowOff>
        </xdr:from>
        <xdr:to>
          <xdr:col>3</xdr:col>
          <xdr:colOff>19050</xdr:colOff>
          <xdr:row>119</xdr:row>
          <xdr:rowOff>485775</xdr:rowOff>
        </xdr:to>
        <xdr:sp macro="" textlink="">
          <xdr:nvSpPr>
            <xdr:cNvPr id="1143" name="Check Box 119" hidden="1">
              <a:extLst>
                <a:ext uri="{63B3BB69-23CF-44E3-9099-C40C66FF867C}">
                  <a14:compatExt spid="_x0000_s1143"/>
                </a:ext>
                <a:ext uri="{FF2B5EF4-FFF2-40B4-BE49-F238E27FC236}">
                  <a16:creationId xmlns:a16="http://schemas.microsoft.com/office/drawing/2014/main" id="{29C7EE64-E178-45C7-B900-3F438FA3583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120</xdr:row>
          <xdr:rowOff>9525</xdr:rowOff>
        </xdr:from>
        <xdr:to>
          <xdr:col>3</xdr:col>
          <xdr:colOff>19050</xdr:colOff>
          <xdr:row>120</xdr:row>
          <xdr:rowOff>485775</xdr:rowOff>
        </xdr:to>
        <xdr:sp macro="" textlink="">
          <xdr:nvSpPr>
            <xdr:cNvPr id="1144" name="Check Box 120" hidden="1">
              <a:extLst>
                <a:ext uri="{63B3BB69-23CF-44E3-9099-C40C66FF867C}">
                  <a14:compatExt spid="_x0000_s1144"/>
                </a:ext>
                <a:ext uri="{FF2B5EF4-FFF2-40B4-BE49-F238E27FC236}">
                  <a16:creationId xmlns:a16="http://schemas.microsoft.com/office/drawing/2014/main" id="{B71A427A-57CA-494F-B7A9-37C55FF88E3D}"/>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121</xdr:row>
          <xdr:rowOff>9525</xdr:rowOff>
        </xdr:from>
        <xdr:to>
          <xdr:col>3</xdr:col>
          <xdr:colOff>19050</xdr:colOff>
          <xdr:row>121</xdr:row>
          <xdr:rowOff>485775</xdr:rowOff>
        </xdr:to>
        <xdr:sp macro="" textlink="">
          <xdr:nvSpPr>
            <xdr:cNvPr id="1145" name="Check Box 121" hidden="1">
              <a:extLst>
                <a:ext uri="{63B3BB69-23CF-44E3-9099-C40C66FF867C}">
                  <a14:compatExt spid="_x0000_s1145"/>
                </a:ext>
                <a:ext uri="{FF2B5EF4-FFF2-40B4-BE49-F238E27FC236}">
                  <a16:creationId xmlns:a16="http://schemas.microsoft.com/office/drawing/2014/main" id="{90A0DF2D-5641-4A8C-9065-A05B1F83D04B}"/>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122</xdr:row>
          <xdr:rowOff>9525</xdr:rowOff>
        </xdr:from>
        <xdr:to>
          <xdr:col>3</xdr:col>
          <xdr:colOff>19050</xdr:colOff>
          <xdr:row>122</xdr:row>
          <xdr:rowOff>485775</xdr:rowOff>
        </xdr:to>
        <xdr:sp macro="" textlink="">
          <xdr:nvSpPr>
            <xdr:cNvPr id="1146" name="Check Box 122" hidden="1">
              <a:extLst>
                <a:ext uri="{63B3BB69-23CF-44E3-9099-C40C66FF867C}">
                  <a14:compatExt spid="_x0000_s1146"/>
                </a:ext>
                <a:ext uri="{FF2B5EF4-FFF2-40B4-BE49-F238E27FC236}">
                  <a16:creationId xmlns:a16="http://schemas.microsoft.com/office/drawing/2014/main" id="{8D90B8CC-7349-43D5-A666-52C43529D8EB}"/>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123</xdr:row>
          <xdr:rowOff>9525</xdr:rowOff>
        </xdr:from>
        <xdr:to>
          <xdr:col>3</xdr:col>
          <xdr:colOff>19050</xdr:colOff>
          <xdr:row>123</xdr:row>
          <xdr:rowOff>485775</xdr:rowOff>
        </xdr:to>
        <xdr:sp macro="" textlink="">
          <xdr:nvSpPr>
            <xdr:cNvPr id="1147" name="Check Box 123" hidden="1">
              <a:extLst>
                <a:ext uri="{63B3BB69-23CF-44E3-9099-C40C66FF867C}">
                  <a14:compatExt spid="_x0000_s1147"/>
                </a:ext>
                <a:ext uri="{FF2B5EF4-FFF2-40B4-BE49-F238E27FC236}">
                  <a16:creationId xmlns:a16="http://schemas.microsoft.com/office/drawing/2014/main" id="{30D833A0-DC6F-4C10-B899-6F01E8432CBD}"/>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124</xdr:row>
          <xdr:rowOff>9525</xdr:rowOff>
        </xdr:from>
        <xdr:to>
          <xdr:col>3</xdr:col>
          <xdr:colOff>19050</xdr:colOff>
          <xdr:row>124</xdr:row>
          <xdr:rowOff>485775</xdr:rowOff>
        </xdr:to>
        <xdr:sp macro="" textlink="">
          <xdr:nvSpPr>
            <xdr:cNvPr id="1148" name="Check Box 124" hidden="1">
              <a:extLst>
                <a:ext uri="{63B3BB69-23CF-44E3-9099-C40C66FF867C}">
                  <a14:compatExt spid="_x0000_s1148"/>
                </a:ext>
                <a:ext uri="{FF2B5EF4-FFF2-40B4-BE49-F238E27FC236}">
                  <a16:creationId xmlns:a16="http://schemas.microsoft.com/office/drawing/2014/main" id="{FA897EDE-A416-4641-AD8D-486858BBDA17}"/>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125</xdr:row>
          <xdr:rowOff>9525</xdr:rowOff>
        </xdr:from>
        <xdr:to>
          <xdr:col>3</xdr:col>
          <xdr:colOff>19050</xdr:colOff>
          <xdr:row>125</xdr:row>
          <xdr:rowOff>485775</xdr:rowOff>
        </xdr:to>
        <xdr:sp macro="" textlink="">
          <xdr:nvSpPr>
            <xdr:cNvPr id="1149" name="Check Box 125" hidden="1">
              <a:extLst>
                <a:ext uri="{63B3BB69-23CF-44E3-9099-C40C66FF867C}">
                  <a14:compatExt spid="_x0000_s1149"/>
                </a:ext>
                <a:ext uri="{FF2B5EF4-FFF2-40B4-BE49-F238E27FC236}">
                  <a16:creationId xmlns:a16="http://schemas.microsoft.com/office/drawing/2014/main" id="{4B418368-755C-4D95-AF04-F59FAF794BCE}"/>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126</xdr:row>
          <xdr:rowOff>9525</xdr:rowOff>
        </xdr:from>
        <xdr:to>
          <xdr:col>3</xdr:col>
          <xdr:colOff>19050</xdr:colOff>
          <xdr:row>126</xdr:row>
          <xdr:rowOff>485775</xdr:rowOff>
        </xdr:to>
        <xdr:sp macro="" textlink="">
          <xdr:nvSpPr>
            <xdr:cNvPr id="1150" name="Check Box 126" hidden="1">
              <a:extLst>
                <a:ext uri="{63B3BB69-23CF-44E3-9099-C40C66FF867C}">
                  <a14:compatExt spid="_x0000_s1150"/>
                </a:ext>
                <a:ext uri="{FF2B5EF4-FFF2-40B4-BE49-F238E27FC236}">
                  <a16:creationId xmlns:a16="http://schemas.microsoft.com/office/drawing/2014/main" id="{C54C2007-282B-43F8-96A9-A7741C300424}"/>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127</xdr:row>
          <xdr:rowOff>9525</xdr:rowOff>
        </xdr:from>
        <xdr:to>
          <xdr:col>3</xdr:col>
          <xdr:colOff>19050</xdr:colOff>
          <xdr:row>127</xdr:row>
          <xdr:rowOff>485775</xdr:rowOff>
        </xdr:to>
        <xdr:sp macro="" textlink="">
          <xdr:nvSpPr>
            <xdr:cNvPr id="1151" name="Check Box 127" hidden="1">
              <a:extLst>
                <a:ext uri="{63B3BB69-23CF-44E3-9099-C40C66FF867C}">
                  <a14:compatExt spid="_x0000_s1151"/>
                </a:ext>
                <a:ext uri="{FF2B5EF4-FFF2-40B4-BE49-F238E27FC236}">
                  <a16:creationId xmlns:a16="http://schemas.microsoft.com/office/drawing/2014/main" id="{83E65098-F5F7-4ECB-B754-01E1BAFC81AA}"/>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128</xdr:row>
          <xdr:rowOff>9525</xdr:rowOff>
        </xdr:from>
        <xdr:to>
          <xdr:col>3</xdr:col>
          <xdr:colOff>19050</xdr:colOff>
          <xdr:row>128</xdr:row>
          <xdr:rowOff>485775</xdr:rowOff>
        </xdr:to>
        <xdr:sp macro="" textlink="">
          <xdr:nvSpPr>
            <xdr:cNvPr id="1152" name="Check Box 128" hidden="1">
              <a:extLst>
                <a:ext uri="{63B3BB69-23CF-44E3-9099-C40C66FF867C}">
                  <a14:compatExt spid="_x0000_s1152"/>
                </a:ext>
                <a:ext uri="{FF2B5EF4-FFF2-40B4-BE49-F238E27FC236}">
                  <a16:creationId xmlns:a16="http://schemas.microsoft.com/office/drawing/2014/main" id="{E228166A-F0DE-4520-A143-A25C756DACD9}"/>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129</xdr:row>
          <xdr:rowOff>9525</xdr:rowOff>
        </xdr:from>
        <xdr:to>
          <xdr:col>3</xdr:col>
          <xdr:colOff>19050</xdr:colOff>
          <xdr:row>129</xdr:row>
          <xdr:rowOff>485775</xdr:rowOff>
        </xdr:to>
        <xdr:sp macro="" textlink="">
          <xdr:nvSpPr>
            <xdr:cNvPr id="1153" name="Check Box 129" hidden="1">
              <a:extLst>
                <a:ext uri="{63B3BB69-23CF-44E3-9099-C40C66FF867C}">
                  <a14:compatExt spid="_x0000_s1153"/>
                </a:ext>
                <a:ext uri="{FF2B5EF4-FFF2-40B4-BE49-F238E27FC236}">
                  <a16:creationId xmlns:a16="http://schemas.microsoft.com/office/drawing/2014/main" id="{F47C03A6-4C9E-4B84-9AA0-15FBC09584FA}"/>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130</xdr:row>
          <xdr:rowOff>9525</xdr:rowOff>
        </xdr:from>
        <xdr:to>
          <xdr:col>3</xdr:col>
          <xdr:colOff>19050</xdr:colOff>
          <xdr:row>130</xdr:row>
          <xdr:rowOff>485775</xdr:rowOff>
        </xdr:to>
        <xdr:sp macro="" textlink="">
          <xdr:nvSpPr>
            <xdr:cNvPr id="1154" name="Check Box 130" hidden="1">
              <a:extLst>
                <a:ext uri="{63B3BB69-23CF-44E3-9099-C40C66FF867C}">
                  <a14:compatExt spid="_x0000_s1154"/>
                </a:ext>
                <a:ext uri="{FF2B5EF4-FFF2-40B4-BE49-F238E27FC236}">
                  <a16:creationId xmlns:a16="http://schemas.microsoft.com/office/drawing/2014/main" id="{B0BDC261-915C-44BF-9F73-9279EA3BCA4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131</xdr:row>
          <xdr:rowOff>9525</xdr:rowOff>
        </xdr:from>
        <xdr:to>
          <xdr:col>3</xdr:col>
          <xdr:colOff>19050</xdr:colOff>
          <xdr:row>131</xdr:row>
          <xdr:rowOff>485775</xdr:rowOff>
        </xdr:to>
        <xdr:sp macro="" textlink="">
          <xdr:nvSpPr>
            <xdr:cNvPr id="1155" name="Check Box 131" hidden="1">
              <a:extLst>
                <a:ext uri="{63B3BB69-23CF-44E3-9099-C40C66FF867C}">
                  <a14:compatExt spid="_x0000_s1155"/>
                </a:ext>
                <a:ext uri="{FF2B5EF4-FFF2-40B4-BE49-F238E27FC236}">
                  <a16:creationId xmlns:a16="http://schemas.microsoft.com/office/drawing/2014/main" id="{BE61AF8D-50C0-4B79-84AB-B1F8A7EEDB78}"/>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132</xdr:row>
          <xdr:rowOff>9525</xdr:rowOff>
        </xdr:from>
        <xdr:to>
          <xdr:col>3</xdr:col>
          <xdr:colOff>19050</xdr:colOff>
          <xdr:row>132</xdr:row>
          <xdr:rowOff>485775</xdr:rowOff>
        </xdr:to>
        <xdr:sp macro="" textlink="">
          <xdr:nvSpPr>
            <xdr:cNvPr id="1156" name="Check Box 132" hidden="1">
              <a:extLst>
                <a:ext uri="{63B3BB69-23CF-44E3-9099-C40C66FF867C}">
                  <a14:compatExt spid="_x0000_s1156"/>
                </a:ext>
                <a:ext uri="{FF2B5EF4-FFF2-40B4-BE49-F238E27FC236}">
                  <a16:creationId xmlns:a16="http://schemas.microsoft.com/office/drawing/2014/main" id="{679EEA01-0EFE-44FA-A979-963004139519}"/>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133</xdr:row>
          <xdr:rowOff>9525</xdr:rowOff>
        </xdr:from>
        <xdr:to>
          <xdr:col>3</xdr:col>
          <xdr:colOff>19050</xdr:colOff>
          <xdr:row>133</xdr:row>
          <xdr:rowOff>485775</xdr:rowOff>
        </xdr:to>
        <xdr:sp macro="" textlink="">
          <xdr:nvSpPr>
            <xdr:cNvPr id="1157" name="Check Box 133" hidden="1">
              <a:extLst>
                <a:ext uri="{63B3BB69-23CF-44E3-9099-C40C66FF867C}">
                  <a14:compatExt spid="_x0000_s1157"/>
                </a:ext>
                <a:ext uri="{FF2B5EF4-FFF2-40B4-BE49-F238E27FC236}">
                  <a16:creationId xmlns:a16="http://schemas.microsoft.com/office/drawing/2014/main" id="{62A3F5AA-8BC2-4A78-8AA1-228215191D6D}"/>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134</xdr:row>
          <xdr:rowOff>9525</xdr:rowOff>
        </xdr:from>
        <xdr:to>
          <xdr:col>3</xdr:col>
          <xdr:colOff>19050</xdr:colOff>
          <xdr:row>134</xdr:row>
          <xdr:rowOff>485775</xdr:rowOff>
        </xdr:to>
        <xdr:sp macro="" textlink="">
          <xdr:nvSpPr>
            <xdr:cNvPr id="1158" name="Check Box 134" hidden="1">
              <a:extLst>
                <a:ext uri="{63B3BB69-23CF-44E3-9099-C40C66FF867C}">
                  <a14:compatExt spid="_x0000_s1158"/>
                </a:ext>
                <a:ext uri="{FF2B5EF4-FFF2-40B4-BE49-F238E27FC236}">
                  <a16:creationId xmlns:a16="http://schemas.microsoft.com/office/drawing/2014/main" id="{9520AAD7-8976-4676-9F76-265938FFA26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135</xdr:row>
          <xdr:rowOff>9525</xdr:rowOff>
        </xdr:from>
        <xdr:to>
          <xdr:col>3</xdr:col>
          <xdr:colOff>19050</xdr:colOff>
          <xdr:row>135</xdr:row>
          <xdr:rowOff>485775</xdr:rowOff>
        </xdr:to>
        <xdr:sp macro="" textlink="">
          <xdr:nvSpPr>
            <xdr:cNvPr id="1159" name="Check Box 135" hidden="1">
              <a:extLst>
                <a:ext uri="{63B3BB69-23CF-44E3-9099-C40C66FF867C}">
                  <a14:compatExt spid="_x0000_s1159"/>
                </a:ext>
                <a:ext uri="{FF2B5EF4-FFF2-40B4-BE49-F238E27FC236}">
                  <a16:creationId xmlns:a16="http://schemas.microsoft.com/office/drawing/2014/main" id="{3246F9DC-558F-48B9-8FE1-1EBFCB8700EA}"/>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136</xdr:row>
          <xdr:rowOff>9525</xdr:rowOff>
        </xdr:from>
        <xdr:to>
          <xdr:col>3</xdr:col>
          <xdr:colOff>19050</xdr:colOff>
          <xdr:row>136</xdr:row>
          <xdr:rowOff>485775</xdr:rowOff>
        </xdr:to>
        <xdr:sp macro="" textlink="">
          <xdr:nvSpPr>
            <xdr:cNvPr id="1160" name="Check Box 136" hidden="1">
              <a:extLst>
                <a:ext uri="{63B3BB69-23CF-44E3-9099-C40C66FF867C}">
                  <a14:compatExt spid="_x0000_s1160"/>
                </a:ext>
                <a:ext uri="{FF2B5EF4-FFF2-40B4-BE49-F238E27FC236}">
                  <a16:creationId xmlns:a16="http://schemas.microsoft.com/office/drawing/2014/main" id="{EB4D7B75-1658-4F31-9468-299CD31263E1}"/>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137</xdr:row>
          <xdr:rowOff>9525</xdr:rowOff>
        </xdr:from>
        <xdr:to>
          <xdr:col>3</xdr:col>
          <xdr:colOff>19050</xdr:colOff>
          <xdr:row>137</xdr:row>
          <xdr:rowOff>485775</xdr:rowOff>
        </xdr:to>
        <xdr:sp macro="" textlink="">
          <xdr:nvSpPr>
            <xdr:cNvPr id="1161" name="Check Box 137" hidden="1">
              <a:extLst>
                <a:ext uri="{63B3BB69-23CF-44E3-9099-C40C66FF867C}">
                  <a14:compatExt spid="_x0000_s1161"/>
                </a:ext>
                <a:ext uri="{FF2B5EF4-FFF2-40B4-BE49-F238E27FC236}">
                  <a16:creationId xmlns:a16="http://schemas.microsoft.com/office/drawing/2014/main" id="{7AE1243F-D2B9-4768-A85B-A8C23593FCFD}"/>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138</xdr:row>
          <xdr:rowOff>9525</xdr:rowOff>
        </xdr:from>
        <xdr:to>
          <xdr:col>3</xdr:col>
          <xdr:colOff>19050</xdr:colOff>
          <xdr:row>138</xdr:row>
          <xdr:rowOff>485775</xdr:rowOff>
        </xdr:to>
        <xdr:sp macro="" textlink="">
          <xdr:nvSpPr>
            <xdr:cNvPr id="1162" name="Check Box 138" hidden="1">
              <a:extLst>
                <a:ext uri="{63B3BB69-23CF-44E3-9099-C40C66FF867C}">
                  <a14:compatExt spid="_x0000_s1162"/>
                </a:ext>
                <a:ext uri="{FF2B5EF4-FFF2-40B4-BE49-F238E27FC236}">
                  <a16:creationId xmlns:a16="http://schemas.microsoft.com/office/drawing/2014/main" id="{B78D275F-B791-4A9E-8E8D-AAD9FABE9B95}"/>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139</xdr:row>
          <xdr:rowOff>9525</xdr:rowOff>
        </xdr:from>
        <xdr:to>
          <xdr:col>3</xdr:col>
          <xdr:colOff>19050</xdr:colOff>
          <xdr:row>139</xdr:row>
          <xdr:rowOff>485775</xdr:rowOff>
        </xdr:to>
        <xdr:sp macro="" textlink="">
          <xdr:nvSpPr>
            <xdr:cNvPr id="1163" name="Check Box 139" hidden="1">
              <a:extLst>
                <a:ext uri="{63B3BB69-23CF-44E3-9099-C40C66FF867C}">
                  <a14:compatExt spid="_x0000_s1163"/>
                </a:ext>
                <a:ext uri="{FF2B5EF4-FFF2-40B4-BE49-F238E27FC236}">
                  <a16:creationId xmlns:a16="http://schemas.microsoft.com/office/drawing/2014/main" id="{2E37C4D0-CEF4-4CFE-BEF3-C460655B0E47}"/>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140</xdr:row>
          <xdr:rowOff>9525</xdr:rowOff>
        </xdr:from>
        <xdr:to>
          <xdr:col>3</xdr:col>
          <xdr:colOff>19050</xdr:colOff>
          <xdr:row>140</xdr:row>
          <xdr:rowOff>485775</xdr:rowOff>
        </xdr:to>
        <xdr:sp macro="" textlink="">
          <xdr:nvSpPr>
            <xdr:cNvPr id="1164" name="Check Box 140" hidden="1">
              <a:extLst>
                <a:ext uri="{63B3BB69-23CF-44E3-9099-C40C66FF867C}">
                  <a14:compatExt spid="_x0000_s1164"/>
                </a:ext>
                <a:ext uri="{FF2B5EF4-FFF2-40B4-BE49-F238E27FC236}">
                  <a16:creationId xmlns:a16="http://schemas.microsoft.com/office/drawing/2014/main" id="{124E9C7C-6957-4237-B4E8-3A2E1971485A}"/>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141</xdr:row>
          <xdr:rowOff>9525</xdr:rowOff>
        </xdr:from>
        <xdr:to>
          <xdr:col>3</xdr:col>
          <xdr:colOff>19050</xdr:colOff>
          <xdr:row>141</xdr:row>
          <xdr:rowOff>485775</xdr:rowOff>
        </xdr:to>
        <xdr:sp macro="" textlink="">
          <xdr:nvSpPr>
            <xdr:cNvPr id="1165" name="Check Box 141" hidden="1">
              <a:extLst>
                <a:ext uri="{63B3BB69-23CF-44E3-9099-C40C66FF867C}">
                  <a14:compatExt spid="_x0000_s1165"/>
                </a:ext>
                <a:ext uri="{FF2B5EF4-FFF2-40B4-BE49-F238E27FC236}">
                  <a16:creationId xmlns:a16="http://schemas.microsoft.com/office/drawing/2014/main" id="{CD359014-A1C8-432C-927A-4EE82A96877D}"/>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142</xdr:row>
          <xdr:rowOff>9525</xdr:rowOff>
        </xdr:from>
        <xdr:to>
          <xdr:col>3</xdr:col>
          <xdr:colOff>19050</xdr:colOff>
          <xdr:row>142</xdr:row>
          <xdr:rowOff>485775</xdr:rowOff>
        </xdr:to>
        <xdr:sp macro="" textlink="">
          <xdr:nvSpPr>
            <xdr:cNvPr id="1166" name="Check Box 142" hidden="1">
              <a:extLst>
                <a:ext uri="{63B3BB69-23CF-44E3-9099-C40C66FF867C}">
                  <a14:compatExt spid="_x0000_s1166"/>
                </a:ext>
                <a:ext uri="{FF2B5EF4-FFF2-40B4-BE49-F238E27FC236}">
                  <a16:creationId xmlns:a16="http://schemas.microsoft.com/office/drawing/2014/main" id="{D8E11447-B877-4A79-8DEA-3B7D67A3DE7E}"/>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143</xdr:row>
          <xdr:rowOff>9525</xdr:rowOff>
        </xdr:from>
        <xdr:to>
          <xdr:col>3</xdr:col>
          <xdr:colOff>19050</xdr:colOff>
          <xdr:row>143</xdr:row>
          <xdr:rowOff>485775</xdr:rowOff>
        </xdr:to>
        <xdr:sp macro="" textlink="">
          <xdr:nvSpPr>
            <xdr:cNvPr id="1167" name="Check Box 143" hidden="1">
              <a:extLst>
                <a:ext uri="{63B3BB69-23CF-44E3-9099-C40C66FF867C}">
                  <a14:compatExt spid="_x0000_s1167"/>
                </a:ext>
                <a:ext uri="{FF2B5EF4-FFF2-40B4-BE49-F238E27FC236}">
                  <a16:creationId xmlns:a16="http://schemas.microsoft.com/office/drawing/2014/main" id="{1551865E-5DCA-4EE5-97CB-D376C45F393A}"/>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144</xdr:row>
          <xdr:rowOff>9525</xdr:rowOff>
        </xdr:from>
        <xdr:to>
          <xdr:col>3</xdr:col>
          <xdr:colOff>19050</xdr:colOff>
          <xdr:row>144</xdr:row>
          <xdr:rowOff>485775</xdr:rowOff>
        </xdr:to>
        <xdr:sp macro="" textlink="">
          <xdr:nvSpPr>
            <xdr:cNvPr id="1168" name="Check Box 144" hidden="1">
              <a:extLst>
                <a:ext uri="{63B3BB69-23CF-44E3-9099-C40C66FF867C}">
                  <a14:compatExt spid="_x0000_s1168"/>
                </a:ext>
                <a:ext uri="{FF2B5EF4-FFF2-40B4-BE49-F238E27FC236}">
                  <a16:creationId xmlns:a16="http://schemas.microsoft.com/office/drawing/2014/main" id="{82D92D94-5094-4F67-8D64-3A19CFD21F5C}"/>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145</xdr:row>
          <xdr:rowOff>9525</xdr:rowOff>
        </xdr:from>
        <xdr:to>
          <xdr:col>3</xdr:col>
          <xdr:colOff>19050</xdr:colOff>
          <xdr:row>145</xdr:row>
          <xdr:rowOff>485775</xdr:rowOff>
        </xdr:to>
        <xdr:sp macro="" textlink="">
          <xdr:nvSpPr>
            <xdr:cNvPr id="1169" name="Check Box 145" hidden="1">
              <a:extLst>
                <a:ext uri="{63B3BB69-23CF-44E3-9099-C40C66FF867C}">
                  <a14:compatExt spid="_x0000_s1169"/>
                </a:ext>
                <a:ext uri="{FF2B5EF4-FFF2-40B4-BE49-F238E27FC236}">
                  <a16:creationId xmlns:a16="http://schemas.microsoft.com/office/drawing/2014/main" id="{337D3E21-3C1E-475E-B133-BDAE21498D2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146</xdr:row>
          <xdr:rowOff>9525</xdr:rowOff>
        </xdr:from>
        <xdr:to>
          <xdr:col>3</xdr:col>
          <xdr:colOff>19050</xdr:colOff>
          <xdr:row>146</xdr:row>
          <xdr:rowOff>485775</xdr:rowOff>
        </xdr:to>
        <xdr:sp macro="" textlink="">
          <xdr:nvSpPr>
            <xdr:cNvPr id="1170" name="Check Box 146" hidden="1">
              <a:extLst>
                <a:ext uri="{63B3BB69-23CF-44E3-9099-C40C66FF867C}">
                  <a14:compatExt spid="_x0000_s1170"/>
                </a:ext>
                <a:ext uri="{FF2B5EF4-FFF2-40B4-BE49-F238E27FC236}">
                  <a16:creationId xmlns:a16="http://schemas.microsoft.com/office/drawing/2014/main" id="{DCABD0C8-2625-4B19-8C3D-7D49BE3D688B}"/>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147</xdr:row>
          <xdr:rowOff>9525</xdr:rowOff>
        </xdr:from>
        <xdr:to>
          <xdr:col>3</xdr:col>
          <xdr:colOff>19050</xdr:colOff>
          <xdr:row>147</xdr:row>
          <xdr:rowOff>485775</xdr:rowOff>
        </xdr:to>
        <xdr:sp macro="" textlink="">
          <xdr:nvSpPr>
            <xdr:cNvPr id="1171" name="Check Box 147" hidden="1">
              <a:extLst>
                <a:ext uri="{63B3BB69-23CF-44E3-9099-C40C66FF867C}">
                  <a14:compatExt spid="_x0000_s1171"/>
                </a:ext>
                <a:ext uri="{FF2B5EF4-FFF2-40B4-BE49-F238E27FC236}">
                  <a16:creationId xmlns:a16="http://schemas.microsoft.com/office/drawing/2014/main" id="{ED22FF98-DE3C-4FE2-AA27-0988581BA358}"/>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148</xdr:row>
          <xdr:rowOff>9525</xdr:rowOff>
        </xdr:from>
        <xdr:to>
          <xdr:col>3</xdr:col>
          <xdr:colOff>19050</xdr:colOff>
          <xdr:row>148</xdr:row>
          <xdr:rowOff>485775</xdr:rowOff>
        </xdr:to>
        <xdr:sp macro="" textlink="">
          <xdr:nvSpPr>
            <xdr:cNvPr id="1172" name="Check Box 148" hidden="1">
              <a:extLst>
                <a:ext uri="{63B3BB69-23CF-44E3-9099-C40C66FF867C}">
                  <a14:compatExt spid="_x0000_s1172"/>
                </a:ext>
                <a:ext uri="{FF2B5EF4-FFF2-40B4-BE49-F238E27FC236}">
                  <a16:creationId xmlns:a16="http://schemas.microsoft.com/office/drawing/2014/main" id="{8FFD3E6C-ABEB-40DB-B090-FC1FAE0BB026}"/>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149</xdr:row>
          <xdr:rowOff>9525</xdr:rowOff>
        </xdr:from>
        <xdr:to>
          <xdr:col>3</xdr:col>
          <xdr:colOff>19050</xdr:colOff>
          <xdr:row>149</xdr:row>
          <xdr:rowOff>485775</xdr:rowOff>
        </xdr:to>
        <xdr:sp macro="" textlink="">
          <xdr:nvSpPr>
            <xdr:cNvPr id="1173" name="Check Box 149" hidden="1">
              <a:extLst>
                <a:ext uri="{63B3BB69-23CF-44E3-9099-C40C66FF867C}">
                  <a14:compatExt spid="_x0000_s1173"/>
                </a:ext>
                <a:ext uri="{FF2B5EF4-FFF2-40B4-BE49-F238E27FC236}">
                  <a16:creationId xmlns:a16="http://schemas.microsoft.com/office/drawing/2014/main" id="{E19492AD-8559-4D05-969F-EA68A550B1A1}"/>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150</xdr:row>
          <xdr:rowOff>9525</xdr:rowOff>
        </xdr:from>
        <xdr:to>
          <xdr:col>3</xdr:col>
          <xdr:colOff>19050</xdr:colOff>
          <xdr:row>150</xdr:row>
          <xdr:rowOff>485775</xdr:rowOff>
        </xdr:to>
        <xdr:sp macro="" textlink="">
          <xdr:nvSpPr>
            <xdr:cNvPr id="1174" name="Check Box 150" hidden="1">
              <a:extLst>
                <a:ext uri="{63B3BB69-23CF-44E3-9099-C40C66FF867C}">
                  <a14:compatExt spid="_x0000_s1174"/>
                </a:ext>
                <a:ext uri="{FF2B5EF4-FFF2-40B4-BE49-F238E27FC236}">
                  <a16:creationId xmlns:a16="http://schemas.microsoft.com/office/drawing/2014/main" id="{627DB28A-3AAB-4968-9AEB-D1FBB826F4B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151</xdr:row>
          <xdr:rowOff>9525</xdr:rowOff>
        </xdr:from>
        <xdr:to>
          <xdr:col>3</xdr:col>
          <xdr:colOff>19050</xdr:colOff>
          <xdr:row>151</xdr:row>
          <xdr:rowOff>485775</xdr:rowOff>
        </xdr:to>
        <xdr:sp macro="" textlink="">
          <xdr:nvSpPr>
            <xdr:cNvPr id="1175" name="Check Box 151" hidden="1">
              <a:extLst>
                <a:ext uri="{63B3BB69-23CF-44E3-9099-C40C66FF867C}">
                  <a14:compatExt spid="_x0000_s1175"/>
                </a:ext>
                <a:ext uri="{FF2B5EF4-FFF2-40B4-BE49-F238E27FC236}">
                  <a16:creationId xmlns:a16="http://schemas.microsoft.com/office/drawing/2014/main" id="{A36E36B7-91F5-477D-A30E-E91AD272407D}"/>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152</xdr:row>
          <xdr:rowOff>9525</xdr:rowOff>
        </xdr:from>
        <xdr:to>
          <xdr:col>3</xdr:col>
          <xdr:colOff>19050</xdr:colOff>
          <xdr:row>152</xdr:row>
          <xdr:rowOff>485775</xdr:rowOff>
        </xdr:to>
        <xdr:sp macro="" textlink="">
          <xdr:nvSpPr>
            <xdr:cNvPr id="1176" name="Check Box 152" hidden="1">
              <a:extLst>
                <a:ext uri="{63B3BB69-23CF-44E3-9099-C40C66FF867C}">
                  <a14:compatExt spid="_x0000_s1176"/>
                </a:ext>
                <a:ext uri="{FF2B5EF4-FFF2-40B4-BE49-F238E27FC236}">
                  <a16:creationId xmlns:a16="http://schemas.microsoft.com/office/drawing/2014/main" id="{3B0C51BD-A77F-49B0-8DD6-E7D24B54590B}"/>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153</xdr:row>
          <xdr:rowOff>9525</xdr:rowOff>
        </xdr:from>
        <xdr:to>
          <xdr:col>3</xdr:col>
          <xdr:colOff>19050</xdr:colOff>
          <xdr:row>153</xdr:row>
          <xdr:rowOff>485775</xdr:rowOff>
        </xdr:to>
        <xdr:sp macro="" textlink="">
          <xdr:nvSpPr>
            <xdr:cNvPr id="1177" name="Check Box 153" hidden="1">
              <a:extLst>
                <a:ext uri="{63B3BB69-23CF-44E3-9099-C40C66FF867C}">
                  <a14:compatExt spid="_x0000_s1177"/>
                </a:ext>
                <a:ext uri="{FF2B5EF4-FFF2-40B4-BE49-F238E27FC236}">
                  <a16:creationId xmlns:a16="http://schemas.microsoft.com/office/drawing/2014/main" id="{2E55AC43-7523-424E-AC99-71724DE3F8C3}"/>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154</xdr:row>
          <xdr:rowOff>9525</xdr:rowOff>
        </xdr:from>
        <xdr:to>
          <xdr:col>3</xdr:col>
          <xdr:colOff>19050</xdr:colOff>
          <xdr:row>154</xdr:row>
          <xdr:rowOff>485775</xdr:rowOff>
        </xdr:to>
        <xdr:sp macro="" textlink="">
          <xdr:nvSpPr>
            <xdr:cNvPr id="1178" name="Check Box 154" hidden="1">
              <a:extLst>
                <a:ext uri="{63B3BB69-23CF-44E3-9099-C40C66FF867C}">
                  <a14:compatExt spid="_x0000_s1178"/>
                </a:ext>
                <a:ext uri="{FF2B5EF4-FFF2-40B4-BE49-F238E27FC236}">
                  <a16:creationId xmlns:a16="http://schemas.microsoft.com/office/drawing/2014/main" id="{98917CCB-C4DF-43E5-86FA-6035087B8A4B}"/>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155</xdr:row>
          <xdr:rowOff>9525</xdr:rowOff>
        </xdr:from>
        <xdr:to>
          <xdr:col>3</xdr:col>
          <xdr:colOff>19050</xdr:colOff>
          <xdr:row>155</xdr:row>
          <xdr:rowOff>485775</xdr:rowOff>
        </xdr:to>
        <xdr:sp macro="" textlink="">
          <xdr:nvSpPr>
            <xdr:cNvPr id="1179" name="Check Box 155" hidden="1">
              <a:extLst>
                <a:ext uri="{63B3BB69-23CF-44E3-9099-C40C66FF867C}">
                  <a14:compatExt spid="_x0000_s1179"/>
                </a:ext>
                <a:ext uri="{FF2B5EF4-FFF2-40B4-BE49-F238E27FC236}">
                  <a16:creationId xmlns:a16="http://schemas.microsoft.com/office/drawing/2014/main" id="{E964B516-F0B6-478C-9BD6-F5A965EA5313}"/>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156</xdr:row>
          <xdr:rowOff>9525</xdr:rowOff>
        </xdr:from>
        <xdr:to>
          <xdr:col>3</xdr:col>
          <xdr:colOff>19050</xdr:colOff>
          <xdr:row>156</xdr:row>
          <xdr:rowOff>485775</xdr:rowOff>
        </xdr:to>
        <xdr:sp macro="" textlink="">
          <xdr:nvSpPr>
            <xdr:cNvPr id="1180" name="Check Box 156" hidden="1">
              <a:extLst>
                <a:ext uri="{63B3BB69-23CF-44E3-9099-C40C66FF867C}">
                  <a14:compatExt spid="_x0000_s1180"/>
                </a:ext>
                <a:ext uri="{FF2B5EF4-FFF2-40B4-BE49-F238E27FC236}">
                  <a16:creationId xmlns:a16="http://schemas.microsoft.com/office/drawing/2014/main" id="{AB5DA4C5-222F-4CA5-BFEB-A72C656E521E}"/>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157</xdr:row>
          <xdr:rowOff>9525</xdr:rowOff>
        </xdr:from>
        <xdr:to>
          <xdr:col>3</xdr:col>
          <xdr:colOff>19050</xdr:colOff>
          <xdr:row>157</xdr:row>
          <xdr:rowOff>485775</xdr:rowOff>
        </xdr:to>
        <xdr:sp macro="" textlink="">
          <xdr:nvSpPr>
            <xdr:cNvPr id="1181" name="Check Box 157" hidden="1">
              <a:extLst>
                <a:ext uri="{63B3BB69-23CF-44E3-9099-C40C66FF867C}">
                  <a14:compatExt spid="_x0000_s1181"/>
                </a:ext>
                <a:ext uri="{FF2B5EF4-FFF2-40B4-BE49-F238E27FC236}">
                  <a16:creationId xmlns:a16="http://schemas.microsoft.com/office/drawing/2014/main" id="{351CE36C-F317-422D-901F-5A1BF77FA849}"/>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158</xdr:row>
          <xdr:rowOff>9525</xdr:rowOff>
        </xdr:from>
        <xdr:to>
          <xdr:col>3</xdr:col>
          <xdr:colOff>19050</xdr:colOff>
          <xdr:row>158</xdr:row>
          <xdr:rowOff>485775</xdr:rowOff>
        </xdr:to>
        <xdr:sp macro="" textlink="">
          <xdr:nvSpPr>
            <xdr:cNvPr id="1182" name="Check Box 158" hidden="1">
              <a:extLst>
                <a:ext uri="{63B3BB69-23CF-44E3-9099-C40C66FF867C}">
                  <a14:compatExt spid="_x0000_s1182"/>
                </a:ext>
                <a:ext uri="{FF2B5EF4-FFF2-40B4-BE49-F238E27FC236}">
                  <a16:creationId xmlns:a16="http://schemas.microsoft.com/office/drawing/2014/main" id="{8D903308-4403-49F5-9A87-F45DA32CF601}"/>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159</xdr:row>
          <xdr:rowOff>9525</xdr:rowOff>
        </xdr:from>
        <xdr:to>
          <xdr:col>3</xdr:col>
          <xdr:colOff>19050</xdr:colOff>
          <xdr:row>159</xdr:row>
          <xdr:rowOff>485775</xdr:rowOff>
        </xdr:to>
        <xdr:sp macro="" textlink="">
          <xdr:nvSpPr>
            <xdr:cNvPr id="1183" name="Check Box 159" hidden="1">
              <a:extLst>
                <a:ext uri="{63B3BB69-23CF-44E3-9099-C40C66FF867C}">
                  <a14:compatExt spid="_x0000_s1183"/>
                </a:ext>
                <a:ext uri="{FF2B5EF4-FFF2-40B4-BE49-F238E27FC236}">
                  <a16:creationId xmlns:a16="http://schemas.microsoft.com/office/drawing/2014/main" id="{749E9E36-FC78-422E-A5DF-6354CBA0B651}"/>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160</xdr:row>
          <xdr:rowOff>9525</xdr:rowOff>
        </xdr:from>
        <xdr:to>
          <xdr:col>3</xdr:col>
          <xdr:colOff>19050</xdr:colOff>
          <xdr:row>160</xdr:row>
          <xdr:rowOff>485775</xdr:rowOff>
        </xdr:to>
        <xdr:sp macro="" textlink="">
          <xdr:nvSpPr>
            <xdr:cNvPr id="1184" name="Check Box 160" hidden="1">
              <a:extLst>
                <a:ext uri="{63B3BB69-23CF-44E3-9099-C40C66FF867C}">
                  <a14:compatExt spid="_x0000_s1184"/>
                </a:ext>
                <a:ext uri="{FF2B5EF4-FFF2-40B4-BE49-F238E27FC236}">
                  <a16:creationId xmlns:a16="http://schemas.microsoft.com/office/drawing/2014/main" id="{4E4AF789-04BE-4896-9BA6-2F4554C3E729}"/>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161</xdr:row>
          <xdr:rowOff>9525</xdr:rowOff>
        </xdr:from>
        <xdr:to>
          <xdr:col>3</xdr:col>
          <xdr:colOff>19050</xdr:colOff>
          <xdr:row>161</xdr:row>
          <xdr:rowOff>485775</xdr:rowOff>
        </xdr:to>
        <xdr:sp macro="" textlink="">
          <xdr:nvSpPr>
            <xdr:cNvPr id="1185" name="Check Box 161" hidden="1">
              <a:extLst>
                <a:ext uri="{63B3BB69-23CF-44E3-9099-C40C66FF867C}">
                  <a14:compatExt spid="_x0000_s1185"/>
                </a:ext>
                <a:ext uri="{FF2B5EF4-FFF2-40B4-BE49-F238E27FC236}">
                  <a16:creationId xmlns:a16="http://schemas.microsoft.com/office/drawing/2014/main" id="{8EC8CC40-EB5F-4066-B16E-2204239A694D}"/>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162</xdr:row>
          <xdr:rowOff>9525</xdr:rowOff>
        </xdr:from>
        <xdr:to>
          <xdr:col>3</xdr:col>
          <xdr:colOff>19050</xdr:colOff>
          <xdr:row>162</xdr:row>
          <xdr:rowOff>485775</xdr:rowOff>
        </xdr:to>
        <xdr:sp macro="" textlink="">
          <xdr:nvSpPr>
            <xdr:cNvPr id="1186" name="Check Box 162" hidden="1">
              <a:extLst>
                <a:ext uri="{63B3BB69-23CF-44E3-9099-C40C66FF867C}">
                  <a14:compatExt spid="_x0000_s1186"/>
                </a:ext>
                <a:ext uri="{FF2B5EF4-FFF2-40B4-BE49-F238E27FC236}">
                  <a16:creationId xmlns:a16="http://schemas.microsoft.com/office/drawing/2014/main" id="{954C857B-480F-4DF4-BBBC-F64813BCCB86}"/>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163</xdr:row>
          <xdr:rowOff>9525</xdr:rowOff>
        </xdr:from>
        <xdr:to>
          <xdr:col>3</xdr:col>
          <xdr:colOff>19050</xdr:colOff>
          <xdr:row>163</xdr:row>
          <xdr:rowOff>485775</xdr:rowOff>
        </xdr:to>
        <xdr:sp macro="" textlink="">
          <xdr:nvSpPr>
            <xdr:cNvPr id="1187" name="Check Box 163" hidden="1">
              <a:extLst>
                <a:ext uri="{63B3BB69-23CF-44E3-9099-C40C66FF867C}">
                  <a14:compatExt spid="_x0000_s1187"/>
                </a:ext>
                <a:ext uri="{FF2B5EF4-FFF2-40B4-BE49-F238E27FC236}">
                  <a16:creationId xmlns:a16="http://schemas.microsoft.com/office/drawing/2014/main" id="{06EEFF3F-6775-43C6-BB67-D0EB974FA542}"/>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164</xdr:row>
          <xdr:rowOff>9525</xdr:rowOff>
        </xdr:from>
        <xdr:to>
          <xdr:col>3</xdr:col>
          <xdr:colOff>19050</xdr:colOff>
          <xdr:row>164</xdr:row>
          <xdr:rowOff>485775</xdr:rowOff>
        </xdr:to>
        <xdr:sp macro="" textlink="">
          <xdr:nvSpPr>
            <xdr:cNvPr id="1188" name="Check Box 164" hidden="1">
              <a:extLst>
                <a:ext uri="{63B3BB69-23CF-44E3-9099-C40C66FF867C}">
                  <a14:compatExt spid="_x0000_s1188"/>
                </a:ext>
                <a:ext uri="{FF2B5EF4-FFF2-40B4-BE49-F238E27FC236}">
                  <a16:creationId xmlns:a16="http://schemas.microsoft.com/office/drawing/2014/main" id="{6A24E90A-5A73-475A-BFB7-B8898338BF99}"/>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165</xdr:row>
          <xdr:rowOff>9525</xdr:rowOff>
        </xdr:from>
        <xdr:to>
          <xdr:col>3</xdr:col>
          <xdr:colOff>19050</xdr:colOff>
          <xdr:row>165</xdr:row>
          <xdr:rowOff>485775</xdr:rowOff>
        </xdr:to>
        <xdr:sp macro="" textlink="">
          <xdr:nvSpPr>
            <xdr:cNvPr id="1189" name="Check Box 165" hidden="1">
              <a:extLst>
                <a:ext uri="{63B3BB69-23CF-44E3-9099-C40C66FF867C}">
                  <a14:compatExt spid="_x0000_s1189"/>
                </a:ext>
                <a:ext uri="{FF2B5EF4-FFF2-40B4-BE49-F238E27FC236}">
                  <a16:creationId xmlns:a16="http://schemas.microsoft.com/office/drawing/2014/main" id="{C29202E0-B25A-4281-90A8-D9A45624418A}"/>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166</xdr:row>
          <xdr:rowOff>9525</xdr:rowOff>
        </xdr:from>
        <xdr:to>
          <xdr:col>3</xdr:col>
          <xdr:colOff>19050</xdr:colOff>
          <xdr:row>166</xdr:row>
          <xdr:rowOff>485775</xdr:rowOff>
        </xdr:to>
        <xdr:sp macro="" textlink="">
          <xdr:nvSpPr>
            <xdr:cNvPr id="1190" name="Check Box 166" hidden="1">
              <a:extLst>
                <a:ext uri="{63B3BB69-23CF-44E3-9099-C40C66FF867C}">
                  <a14:compatExt spid="_x0000_s1190"/>
                </a:ext>
                <a:ext uri="{FF2B5EF4-FFF2-40B4-BE49-F238E27FC236}">
                  <a16:creationId xmlns:a16="http://schemas.microsoft.com/office/drawing/2014/main" id="{FDF5CA36-13DC-4B7E-A0EC-F12D5802DDA4}"/>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167</xdr:row>
          <xdr:rowOff>9525</xdr:rowOff>
        </xdr:from>
        <xdr:to>
          <xdr:col>3</xdr:col>
          <xdr:colOff>19050</xdr:colOff>
          <xdr:row>167</xdr:row>
          <xdr:rowOff>485775</xdr:rowOff>
        </xdr:to>
        <xdr:sp macro="" textlink="">
          <xdr:nvSpPr>
            <xdr:cNvPr id="1191" name="Check Box 167" hidden="1">
              <a:extLst>
                <a:ext uri="{63B3BB69-23CF-44E3-9099-C40C66FF867C}">
                  <a14:compatExt spid="_x0000_s1191"/>
                </a:ext>
                <a:ext uri="{FF2B5EF4-FFF2-40B4-BE49-F238E27FC236}">
                  <a16:creationId xmlns:a16="http://schemas.microsoft.com/office/drawing/2014/main" id="{B2D9FE06-AC4C-40B1-98EE-19376AA74B7C}"/>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168</xdr:row>
          <xdr:rowOff>9525</xdr:rowOff>
        </xdr:from>
        <xdr:to>
          <xdr:col>3</xdr:col>
          <xdr:colOff>19050</xdr:colOff>
          <xdr:row>168</xdr:row>
          <xdr:rowOff>485775</xdr:rowOff>
        </xdr:to>
        <xdr:sp macro="" textlink="">
          <xdr:nvSpPr>
            <xdr:cNvPr id="1192" name="Check Box 168" hidden="1">
              <a:extLst>
                <a:ext uri="{63B3BB69-23CF-44E3-9099-C40C66FF867C}">
                  <a14:compatExt spid="_x0000_s1192"/>
                </a:ext>
                <a:ext uri="{FF2B5EF4-FFF2-40B4-BE49-F238E27FC236}">
                  <a16:creationId xmlns:a16="http://schemas.microsoft.com/office/drawing/2014/main" id="{955DA33D-3373-4FEB-9B25-4B805DAD8368}"/>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169</xdr:row>
          <xdr:rowOff>9525</xdr:rowOff>
        </xdr:from>
        <xdr:to>
          <xdr:col>3</xdr:col>
          <xdr:colOff>19050</xdr:colOff>
          <xdr:row>169</xdr:row>
          <xdr:rowOff>485775</xdr:rowOff>
        </xdr:to>
        <xdr:sp macro="" textlink="">
          <xdr:nvSpPr>
            <xdr:cNvPr id="1193" name="Check Box 169" hidden="1">
              <a:extLst>
                <a:ext uri="{63B3BB69-23CF-44E3-9099-C40C66FF867C}">
                  <a14:compatExt spid="_x0000_s1193"/>
                </a:ext>
                <a:ext uri="{FF2B5EF4-FFF2-40B4-BE49-F238E27FC236}">
                  <a16:creationId xmlns:a16="http://schemas.microsoft.com/office/drawing/2014/main" id="{D59221CC-9F3C-450D-A686-2FA9542B02D3}"/>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170</xdr:row>
          <xdr:rowOff>9525</xdr:rowOff>
        </xdr:from>
        <xdr:to>
          <xdr:col>3</xdr:col>
          <xdr:colOff>19050</xdr:colOff>
          <xdr:row>170</xdr:row>
          <xdr:rowOff>485775</xdr:rowOff>
        </xdr:to>
        <xdr:sp macro="" textlink="">
          <xdr:nvSpPr>
            <xdr:cNvPr id="1194" name="Check Box 170" hidden="1">
              <a:extLst>
                <a:ext uri="{63B3BB69-23CF-44E3-9099-C40C66FF867C}">
                  <a14:compatExt spid="_x0000_s1194"/>
                </a:ext>
                <a:ext uri="{FF2B5EF4-FFF2-40B4-BE49-F238E27FC236}">
                  <a16:creationId xmlns:a16="http://schemas.microsoft.com/office/drawing/2014/main" id="{ECEF9300-4E8C-48F2-9128-FCD20A3685B9}"/>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171</xdr:row>
          <xdr:rowOff>9525</xdr:rowOff>
        </xdr:from>
        <xdr:to>
          <xdr:col>3</xdr:col>
          <xdr:colOff>19050</xdr:colOff>
          <xdr:row>171</xdr:row>
          <xdr:rowOff>485775</xdr:rowOff>
        </xdr:to>
        <xdr:sp macro="" textlink="">
          <xdr:nvSpPr>
            <xdr:cNvPr id="1195" name="Check Box 171" hidden="1">
              <a:extLst>
                <a:ext uri="{63B3BB69-23CF-44E3-9099-C40C66FF867C}">
                  <a14:compatExt spid="_x0000_s1195"/>
                </a:ext>
                <a:ext uri="{FF2B5EF4-FFF2-40B4-BE49-F238E27FC236}">
                  <a16:creationId xmlns:a16="http://schemas.microsoft.com/office/drawing/2014/main" id="{63492D5F-DA5B-45F4-A614-E5257B9F85A8}"/>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172</xdr:row>
          <xdr:rowOff>9525</xdr:rowOff>
        </xdr:from>
        <xdr:to>
          <xdr:col>3</xdr:col>
          <xdr:colOff>19050</xdr:colOff>
          <xdr:row>172</xdr:row>
          <xdr:rowOff>485775</xdr:rowOff>
        </xdr:to>
        <xdr:sp macro="" textlink="">
          <xdr:nvSpPr>
            <xdr:cNvPr id="1196" name="Check Box 172" hidden="1">
              <a:extLst>
                <a:ext uri="{63B3BB69-23CF-44E3-9099-C40C66FF867C}">
                  <a14:compatExt spid="_x0000_s1196"/>
                </a:ext>
                <a:ext uri="{FF2B5EF4-FFF2-40B4-BE49-F238E27FC236}">
                  <a16:creationId xmlns:a16="http://schemas.microsoft.com/office/drawing/2014/main" id="{5C09E2B0-D921-40CF-8D1F-A0928866EA8A}"/>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173</xdr:row>
          <xdr:rowOff>9525</xdr:rowOff>
        </xdr:from>
        <xdr:to>
          <xdr:col>3</xdr:col>
          <xdr:colOff>19050</xdr:colOff>
          <xdr:row>173</xdr:row>
          <xdr:rowOff>485775</xdr:rowOff>
        </xdr:to>
        <xdr:sp macro="" textlink="">
          <xdr:nvSpPr>
            <xdr:cNvPr id="1197" name="Check Box 173" hidden="1">
              <a:extLst>
                <a:ext uri="{63B3BB69-23CF-44E3-9099-C40C66FF867C}">
                  <a14:compatExt spid="_x0000_s1197"/>
                </a:ext>
                <a:ext uri="{FF2B5EF4-FFF2-40B4-BE49-F238E27FC236}">
                  <a16:creationId xmlns:a16="http://schemas.microsoft.com/office/drawing/2014/main" id="{5A792352-2FDE-4651-86AF-26DA473FDA42}"/>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174</xdr:row>
          <xdr:rowOff>9525</xdr:rowOff>
        </xdr:from>
        <xdr:to>
          <xdr:col>3</xdr:col>
          <xdr:colOff>19050</xdr:colOff>
          <xdr:row>174</xdr:row>
          <xdr:rowOff>485775</xdr:rowOff>
        </xdr:to>
        <xdr:sp macro="" textlink="">
          <xdr:nvSpPr>
            <xdr:cNvPr id="1198" name="Check Box 174" hidden="1">
              <a:extLst>
                <a:ext uri="{63B3BB69-23CF-44E3-9099-C40C66FF867C}">
                  <a14:compatExt spid="_x0000_s1198"/>
                </a:ext>
                <a:ext uri="{FF2B5EF4-FFF2-40B4-BE49-F238E27FC236}">
                  <a16:creationId xmlns:a16="http://schemas.microsoft.com/office/drawing/2014/main" id="{E31D8C67-666E-46B6-A9F6-599EDA388A8D}"/>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175</xdr:row>
          <xdr:rowOff>9525</xdr:rowOff>
        </xdr:from>
        <xdr:to>
          <xdr:col>3</xdr:col>
          <xdr:colOff>19050</xdr:colOff>
          <xdr:row>175</xdr:row>
          <xdr:rowOff>485775</xdr:rowOff>
        </xdr:to>
        <xdr:sp macro="" textlink="">
          <xdr:nvSpPr>
            <xdr:cNvPr id="1199" name="Check Box 175" hidden="1">
              <a:extLst>
                <a:ext uri="{63B3BB69-23CF-44E3-9099-C40C66FF867C}">
                  <a14:compatExt spid="_x0000_s1199"/>
                </a:ext>
                <a:ext uri="{FF2B5EF4-FFF2-40B4-BE49-F238E27FC236}">
                  <a16:creationId xmlns:a16="http://schemas.microsoft.com/office/drawing/2014/main" id="{CFC98D78-AA77-4374-AA26-EA810E9402E6}"/>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176</xdr:row>
          <xdr:rowOff>9525</xdr:rowOff>
        </xdr:from>
        <xdr:to>
          <xdr:col>3</xdr:col>
          <xdr:colOff>19050</xdr:colOff>
          <xdr:row>176</xdr:row>
          <xdr:rowOff>485775</xdr:rowOff>
        </xdr:to>
        <xdr:sp macro="" textlink="">
          <xdr:nvSpPr>
            <xdr:cNvPr id="1200" name="Check Box 176" hidden="1">
              <a:extLst>
                <a:ext uri="{63B3BB69-23CF-44E3-9099-C40C66FF867C}">
                  <a14:compatExt spid="_x0000_s1200"/>
                </a:ext>
                <a:ext uri="{FF2B5EF4-FFF2-40B4-BE49-F238E27FC236}">
                  <a16:creationId xmlns:a16="http://schemas.microsoft.com/office/drawing/2014/main" id="{B16B5E87-4FE7-4DAC-9B69-74661E378766}"/>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177</xdr:row>
          <xdr:rowOff>9525</xdr:rowOff>
        </xdr:from>
        <xdr:to>
          <xdr:col>3</xdr:col>
          <xdr:colOff>19050</xdr:colOff>
          <xdr:row>177</xdr:row>
          <xdr:rowOff>485775</xdr:rowOff>
        </xdr:to>
        <xdr:sp macro="" textlink="">
          <xdr:nvSpPr>
            <xdr:cNvPr id="1201" name="Check Box 177" hidden="1">
              <a:extLst>
                <a:ext uri="{63B3BB69-23CF-44E3-9099-C40C66FF867C}">
                  <a14:compatExt spid="_x0000_s1201"/>
                </a:ext>
                <a:ext uri="{FF2B5EF4-FFF2-40B4-BE49-F238E27FC236}">
                  <a16:creationId xmlns:a16="http://schemas.microsoft.com/office/drawing/2014/main" id="{C4DF5C90-ADE2-44A5-BD93-397A3D424EEE}"/>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178</xdr:row>
          <xdr:rowOff>9525</xdr:rowOff>
        </xdr:from>
        <xdr:to>
          <xdr:col>3</xdr:col>
          <xdr:colOff>19050</xdr:colOff>
          <xdr:row>178</xdr:row>
          <xdr:rowOff>485775</xdr:rowOff>
        </xdr:to>
        <xdr:sp macro="" textlink="">
          <xdr:nvSpPr>
            <xdr:cNvPr id="1202" name="Check Box 178" hidden="1">
              <a:extLst>
                <a:ext uri="{63B3BB69-23CF-44E3-9099-C40C66FF867C}">
                  <a14:compatExt spid="_x0000_s1202"/>
                </a:ext>
                <a:ext uri="{FF2B5EF4-FFF2-40B4-BE49-F238E27FC236}">
                  <a16:creationId xmlns:a16="http://schemas.microsoft.com/office/drawing/2014/main" id="{DCAC468E-9A46-497D-B108-8AEFC2B858E4}"/>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179</xdr:row>
          <xdr:rowOff>9525</xdr:rowOff>
        </xdr:from>
        <xdr:to>
          <xdr:col>3</xdr:col>
          <xdr:colOff>19050</xdr:colOff>
          <xdr:row>179</xdr:row>
          <xdr:rowOff>485775</xdr:rowOff>
        </xdr:to>
        <xdr:sp macro="" textlink="">
          <xdr:nvSpPr>
            <xdr:cNvPr id="1203" name="Check Box 179" hidden="1">
              <a:extLst>
                <a:ext uri="{63B3BB69-23CF-44E3-9099-C40C66FF867C}">
                  <a14:compatExt spid="_x0000_s1203"/>
                </a:ext>
                <a:ext uri="{FF2B5EF4-FFF2-40B4-BE49-F238E27FC236}">
                  <a16:creationId xmlns:a16="http://schemas.microsoft.com/office/drawing/2014/main" id="{2832388F-3707-415B-AFDB-D596291D5BC8}"/>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180</xdr:row>
          <xdr:rowOff>9525</xdr:rowOff>
        </xdr:from>
        <xdr:to>
          <xdr:col>3</xdr:col>
          <xdr:colOff>19050</xdr:colOff>
          <xdr:row>180</xdr:row>
          <xdr:rowOff>485775</xdr:rowOff>
        </xdr:to>
        <xdr:sp macro="" textlink="">
          <xdr:nvSpPr>
            <xdr:cNvPr id="1204" name="Check Box 180" hidden="1">
              <a:extLst>
                <a:ext uri="{63B3BB69-23CF-44E3-9099-C40C66FF867C}">
                  <a14:compatExt spid="_x0000_s1204"/>
                </a:ext>
                <a:ext uri="{FF2B5EF4-FFF2-40B4-BE49-F238E27FC236}">
                  <a16:creationId xmlns:a16="http://schemas.microsoft.com/office/drawing/2014/main" id="{69DDEE3F-4943-4597-9195-DA40CDCAEEDE}"/>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181</xdr:row>
          <xdr:rowOff>9525</xdr:rowOff>
        </xdr:from>
        <xdr:to>
          <xdr:col>3</xdr:col>
          <xdr:colOff>19050</xdr:colOff>
          <xdr:row>181</xdr:row>
          <xdr:rowOff>485775</xdr:rowOff>
        </xdr:to>
        <xdr:sp macro="" textlink="">
          <xdr:nvSpPr>
            <xdr:cNvPr id="1205" name="Check Box 181" hidden="1">
              <a:extLst>
                <a:ext uri="{63B3BB69-23CF-44E3-9099-C40C66FF867C}">
                  <a14:compatExt spid="_x0000_s1205"/>
                </a:ext>
                <a:ext uri="{FF2B5EF4-FFF2-40B4-BE49-F238E27FC236}">
                  <a16:creationId xmlns:a16="http://schemas.microsoft.com/office/drawing/2014/main" id="{3B32DEDA-406D-40A4-B775-A79AB219CAF6}"/>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182</xdr:row>
          <xdr:rowOff>9525</xdr:rowOff>
        </xdr:from>
        <xdr:to>
          <xdr:col>3</xdr:col>
          <xdr:colOff>19050</xdr:colOff>
          <xdr:row>182</xdr:row>
          <xdr:rowOff>485775</xdr:rowOff>
        </xdr:to>
        <xdr:sp macro="" textlink="">
          <xdr:nvSpPr>
            <xdr:cNvPr id="1206" name="Check Box 182" hidden="1">
              <a:extLst>
                <a:ext uri="{63B3BB69-23CF-44E3-9099-C40C66FF867C}">
                  <a14:compatExt spid="_x0000_s1206"/>
                </a:ext>
                <a:ext uri="{FF2B5EF4-FFF2-40B4-BE49-F238E27FC236}">
                  <a16:creationId xmlns:a16="http://schemas.microsoft.com/office/drawing/2014/main" id="{2B0A1F15-0F4F-4DBE-BD7D-DAB70826E247}"/>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183</xdr:row>
          <xdr:rowOff>9525</xdr:rowOff>
        </xdr:from>
        <xdr:to>
          <xdr:col>3</xdr:col>
          <xdr:colOff>19050</xdr:colOff>
          <xdr:row>183</xdr:row>
          <xdr:rowOff>485775</xdr:rowOff>
        </xdr:to>
        <xdr:sp macro="" textlink="">
          <xdr:nvSpPr>
            <xdr:cNvPr id="1207" name="Check Box 183" hidden="1">
              <a:extLst>
                <a:ext uri="{63B3BB69-23CF-44E3-9099-C40C66FF867C}">
                  <a14:compatExt spid="_x0000_s1207"/>
                </a:ext>
                <a:ext uri="{FF2B5EF4-FFF2-40B4-BE49-F238E27FC236}">
                  <a16:creationId xmlns:a16="http://schemas.microsoft.com/office/drawing/2014/main" id="{E3FA82D7-B43F-4E0A-BFBB-5873D215DFBB}"/>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184</xdr:row>
          <xdr:rowOff>9525</xdr:rowOff>
        </xdr:from>
        <xdr:to>
          <xdr:col>3</xdr:col>
          <xdr:colOff>19050</xdr:colOff>
          <xdr:row>184</xdr:row>
          <xdr:rowOff>485775</xdr:rowOff>
        </xdr:to>
        <xdr:sp macro="" textlink="">
          <xdr:nvSpPr>
            <xdr:cNvPr id="1208" name="Check Box 184" hidden="1">
              <a:extLst>
                <a:ext uri="{63B3BB69-23CF-44E3-9099-C40C66FF867C}">
                  <a14:compatExt spid="_x0000_s1208"/>
                </a:ext>
                <a:ext uri="{FF2B5EF4-FFF2-40B4-BE49-F238E27FC236}">
                  <a16:creationId xmlns:a16="http://schemas.microsoft.com/office/drawing/2014/main" id="{D445E92F-3796-4A45-8812-930F75060A53}"/>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185</xdr:row>
          <xdr:rowOff>9525</xdr:rowOff>
        </xdr:from>
        <xdr:to>
          <xdr:col>3</xdr:col>
          <xdr:colOff>19050</xdr:colOff>
          <xdr:row>185</xdr:row>
          <xdr:rowOff>485775</xdr:rowOff>
        </xdr:to>
        <xdr:sp macro="" textlink="">
          <xdr:nvSpPr>
            <xdr:cNvPr id="1209" name="Check Box 185" hidden="1">
              <a:extLst>
                <a:ext uri="{63B3BB69-23CF-44E3-9099-C40C66FF867C}">
                  <a14:compatExt spid="_x0000_s1209"/>
                </a:ext>
                <a:ext uri="{FF2B5EF4-FFF2-40B4-BE49-F238E27FC236}">
                  <a16:creationId xmlns:a16="http://schemas.microsoft.com/office/drawing/2014/main" id="{0A21C081-7234-41EF-96C9-5A3C32CAE895}"/>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186</xdr:row>
          <xdr:rowOff>9525</xdr:rowOff>
        </xdr:from>
        <xdr:to>
          <xdr:col>3</xdr:col>
          <xdr:colOff>19050</xdr:colOff>
          <xdr:row>186</xdr:row>
          <xdr:rowOff>485775</xdr:rowOff>
        </xdr:to>
        <xdr:sp macro="" textlink="">
          <xdr:nvSpPr>
            <xdr:cNvPr id="1210" name="Check Box 186" hidden="1">
              <a:extLst>
                <a:ext uri="{63B3BB69-23CF-44E3-9099-C40C66FF867C}">
                  <a14:compatExt spid="_x0000_s1210"/>
                </a:ext>
                <a:ext uri="{FF2B5EF4-FFF2-40B4-BE49-F238E27FC236}">
                  <a16:creationId xmlns:a16="http://schemas.microsoft.com/office/drawing/2014/main" id="{2B613460-8CF6-4EED-B2BA-00415F83C22A}"/>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187</xdr:row>
          <xdr:rowOff>9525</xdr:rowOff>
        </xdr:from>
        <xdr:to>
          <xdr:col>3</xdr:col>
          <xdr:colOff>19050</xdr:colOff>
          <xdr:row>187</xdr:row>
          <xdr:rowOff>485775</xdr:rowOff>
        </xdr:to>
        <xdr:sp macro="" textlink="">
          <xdr:nvSpPr>
            <xdr:cNvPr id="1211" name="Check Box 187" hidden="1">
              <a:extLst>
                <a:ext uri="{63B3BB69-23CF-44E3-9099-C40C66FF867C}">
                  <a14:compatExt spid="_x0000_s1211"/>
                </a:ext>
                <a:ext uri="{FF2B5EF4-FFF2-40B4-BE49-F238E27FC236}">
                  <a16:creationId xmlns:a16="http://schemas.microsoft.com/office/drawing/2014/main" id="{1B4F33A4-04D8-4D2B-8168-9CAB6B4A790C}"/>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188</xdr:row>
          <xdr:rowOff>9525</xdr:rowOff>
        </xdr:from>
        <xdr:to>
          <xdr:col>3</xdr:col>
          <xdr:colOff>19050</xdr:colOff>
          <xdr:row>188</xdr:row>
          <xdr:rowOff>485775</xdr:rowOff>
        </xdr:to>
        <xdr:sp macro="" textlink="">
          <xdr:nvSpPr>
            <xdr:cNvPr id="1212" name="Check Box 188" hidden="1">
              <a:extLst>
                <a:ext uri="{63B3BB69-23CF-44E3-9099-C40C66FF867C}">
                  <a14:compatExt spid="_x0000_s1212"/>
                </a:ext>
                <a:ext uri="{FF2B5EF4-FFF2-40B4-BE49-F238E27FC236}">
                  <a16:creationId xmlns:a16="http://schemas.microsoft.com/office/drawing/2014/main" id="{31457B9D-3157-4EA9-957A-7FE2999B643C}"/>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189</xdr:row>
          <xdr:rowOff>9525</xdr:rowOff>
        </xdr:from>
        <xdr:to>
          <xdr:col>3</xdr:col>
          <xdr:colOff>19050</xdr:colOff>
          <xdr:row>189</xdr:row>
          <xdr:rowOff>485775</xdr:rowOff>
        </xdr:to>
        <xdr:sp macro="" textlink="">
          <xdr:nvSpPr>
            <xdr:cNvPr id="1213" name="Check Box 189" hidden="1">
              <a:extLst>
                <a:ext uri="{63B3BB69-23CF-44E3-9099-C40C66FF867C}">
                  <a14:compatExt spid="_x0000_s1213"/>
                </a:ext>
                <a:ext uri="{FF2B5EF4-FFF2-40B4-BE49-F238E27FC236}">
                  <a16:creationId xmlns:a16="http://schemas.microsoft.com/office/drawing/2014/main" id="{A810F792-A4BA-4CC1-8916-C7D34FA91D3C}"/>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190</xdr:row>
          <xdr:rowOff>9525</xdr:rowOff>
        </xdr:from>
        <xdr:to>
          <xdr:col>3</xdr:col>
          <xdr:colOff>19050</xdr:colOff>
          <xdr:row>190</xdr:row>
          <xdr:rowOff>485775</xdr:rowOff>
        </xdr:to>
        <xdr:sp macro="" textlink="">
          <xdr:nvSpPr>
            <xdr:cNvPr id="1214" name="Check Box 190" hidden="1">
              <a:extLst>
                <a:ext uri="{63B3BB69-23CF-44E3-9099-C40C66FF867C}">
                  <a14:compatExt spid="_x0000_s1214"/>
                </a:ext>
                <a:ext uri="{FF2B5EF4-FFF2-40B4-BE49-F238E27FC236}">
                  <a16:creationId xmlns:a16="http://schemas.microsoft.com/office/drawing/2014/main" id="{785B49EB-E8D9-443A-89C9-158F603E1B98}"/>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191</xdr:row>
          <xdr:rowOff>9525</xdr:rowOff>
        </xdr:from>
        <xdr:to>
          <xdr:col>3</xdr:col>
          <xdr:colOff>19050</xdr:colOff>
          <xdr:row>191</xdr:row>
          <xdr:rowOff>485775</xdr:rowOff>
        </xdr:to>
        <xdr:sp macro="" textlink="">
          <xdr:nvSpPr>
            <xdr:cNvPr id="1215" name="Check Box 191" hidden="1">
              <a:extLst>
                <a:ext uri="{63B3BB69-23CF-44E3-9099-C40C66FF867C}">
                  <a14:compatExt spid="_x0000_s1215"/>
                </a:ext>
                <a:ext uri="{FF2B5EF4-FFF2-40B4-BE49-F238E27FC236}">
                  <a16:creationId xmlns:a16="http://schemas.microsoft.com/office/drawing/2014/main" id="{30816C9B-4331-45F8-8C33-53CD221EFCD6}"/>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192</xdr:row>
          <xdr:rowOff>9525</xdr:rowOff>
        </xdr:from>
        <xdr:to>
          <xdr:col>3</xdr:col>
          <xdr:colOff>19050</xdr:colOff>
          <xdr:row>192</xdr:row>
          <xdr:rowOff>485775</xdr:rowOff>
        </xdr:to>
        <xdr:sp macro="" textlink="">
          <xdr:nvSpPr>
            <xdr:cNvPr id="1216" name="Check Box 192" hidden="1">
              <a:extLst>
                <a:ext uri="{63B3BB69-23CF-44E3-9099-C40C66FF867C}">
                  <a14:compatExt spid="_x0000_s1216"/>
                </a:ext>
                <a:ext uri="{FF2B5EF4-FFF2-40B4-BE49-F238E27FC236}">
                  <a16:creationId xmlns:a16="http://schemas.microsoft.com/office/drawing/2014/main" id="{63914CB0-4F3E-42D5-91C1-F28682621D4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193</xdr:row>
          <xdr:rowOff>9525</xdr:rowOff>
        </xdr:from>
        <xdr:to>
          <xdr:col>3</xdr:col>
          <xdr:colOff>19050</xdr:colOff>
          <xdr:row>193</xdr:row>
          <xdr:rowOff>485775</xdr:rowOff>
        </xdr:to>
        <xdr:sp macro="" textlink="">
          <xdr:nvSpPr>
            <xdr:cNvPr id="1217" name="Check Box 193" hidden="1">
              <a:extLst>
                <a:ext uri="{63B3BB69-23CF-44E3-9099-C40C66FF867C}">
                  <a14:compatExt spid="_x0000_s1217"/>
                </a:ext>
                <a:ext uri="{FF2B5EF4-FFF2-40B4-BE49-F238E27FC236}">
                  <a16:creationId xmlns:a16="http://schemas.microsoft.com/office/drawing/2014/main" id="{3889FE82-81BA-4A02-9562-FFF651A220BC}"/>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194</xdr:row>
          <xdr:rowOff>9525</xdr:rowOff>
        </xdr:from>
        <xdr:to>
          <xdr:col>3</xdr:col>
          <xdr:colOff>19050</xdr:colOff>
          <xdr:row>194</xdr:row>
          <xdr:rowOff>485775</xdr:rowOff>
        </xdr:to>
        <xdr:sp macro="" textlink="">
          <xdr:nvSpPr>
            <xdr:cNvPr id="1218" name="Check Box 194" hidden="1">
              <a:extLst>
                <a:ext uri="{63B3BB69-23CF-44E3-9099-C40C66FF867C}">
                  <a14:compatExt spid="_x0000_s1218"/>
                </a:ext>
                <a:ext uri="{FF2B5EF4-FFF2-40B4-BE49-F238E27FC236}">
                  <a16:creationId xmlns:a16="http://schemas.microsoft.com/office/drawing/2014/main" id="{74627488-5686-4CDE-96C4-2F95D055E431}"/>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195</xdr:row>
          <xdr:rowOff>9525</xdr:rowOff>
        </xdr:from>
        <xdr:to>
          <xdr:col>3</xdr:col>
          <xdr:colOff>19050</xdr:colOff>
          <xdr:row>195</xdr:row>
          <xdr:rowOff>485775</xdr:rowOff>
        </xdr:to>
        <xdr:sp macro="" textlink="">
          <xdr:nvSpPr>
            <xdr:cNvPr id="1219" name="Check Box 195" hidden="1">
              <a:extLst>
                <a:ext uri="{63B3BB69-23CF-44E3-9099-C40C66FF867C}">
                  <a14:compatExt spid="_x0000_s1219"/>
                </a:ext>
                <a:ext uri="{FF2B5EF4-FFF2-40B4-BE49-F238E27FC236}">
                  <a16:creationId xmlns:a16="http://schemas.microsoft.com/office/drawing/2014/main" id="{7F59FC3B-BE3D-4A85-A799-ADF191788424}"/>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196</xdr:row>
          <xdr:rowOff>9525</xdr:rowOff>
        </xdr:from>
        <xdr:to>
          <xdr:col>3</xdr:col>
          <xdr:colOff>19050</xdr:colOff>
          <xdr:row>196</xdr:row>
          <xdr:rowOff>485775</xdr:rowOff>
        </xdr:to>
        <xdr:sp macro="" textlink="">
          <xdr:nvSpPr>
            <xdr:cNvPr id="1220" name="Check Box 196" hidden="1">
              <a:extLst>
                <a:ext uri="{63B3BB69-23CF-44E3-9099-C40C66FF867C}">
                  <a14:compatExt spid="_x0000_s1220"/>
                </a:ext>
                <a:ext uri="{FF2B5EF4-FFF2-40B4-BE49-F238E27FC236}">
                  <a16:creationId xmlns:a16="http://schemas.microsoft.com/office/drawing/2014/main" id="{356D7DF5-E28C-4304-B03E-7CDADD06A2ED}"/>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197</xdr:row>
          <xdr:rowOff>9525</xdr:rowOff>
        </xdr:from>
        <xdr:to>
          <xdr:col>3</xdr:col>
          <xdr:colOff>19050</xdr:colOff>
          <xdr:row>197</xdr:row>
          <xdr:rowOff>485775</xdr:rowOff>
        </xdr:to>
        <xdr:sp macro="" textlink="">
          <xdr:nvSpPr>
            <xdr:cNvPr id="1221" name="Check Box 197" hidden="1">
              <a:extLst>
                <a:ext uri="{63B3BB69-23CF-44E3-9099-C40C66FF867C}">
                  <a14:compatExt spid="_x0000_s1221"/>
                </a:ext>
                <a:ext uri="{FF2B5EF4-FFF2-40B4-BE49-F238E27FC236}">
                  <a16:creationId xmlns:a16="http://schemas.microsoft.com/office/drawing/2014/main" id="{01CC3512-4AF2-4662-80A9-A59C3F19EACC}"/>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198</xdr:row>
          <xdr:rowOff>9525</xdr:rowOff>
        </xdr:from>
        <xdr:to>
          <xdr:col>3</xdr:col>
          <xdr:colOff>19050</xdr:colOff>
          <xdr:row>198</xdr:row>
          <xdr:rowOff>485775</xdr:rowOff>
        </xdr:to>
        <xdr:sp macro="" textlink="">
          <xdr:nvSpPr>
            <xdr:cNvPr id="1222" name="Check Box 198" hidden="1">
              <a:extLst>
                <a:ext uri="{63B3BB69-23CF-44E3-9099-C40C66FF867C}">
                  <a14:compatExt spid="_x0000_s1222"/>
                </a:ext>
                <a:ext uri="{FF2B5EF4-FFF2-40B4-BE49-F238E27FC236}">
                  <a16:creationId xmlns:a16="http://schemas.microsoft.com/office/drawing/2014/main" id="{4F9A0BFF-4BF0-4683-B0CB-289FBD7E61ED}"/>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199</xdr:row>
          <xdr:rowOff>9525</xdr:rowOff>
        </xdr:from>
        <xdr:to>
          <xdr:col>3</xdr:col>
          <xdr:colOff>19050</xdr:colOff>
          <xdr:row>199</xdr:row>
          <xdr:rowOff>485775</xdr:rowOff>
        </xdr:to>
        <xdr:sp macro="" textlink="">
          <xdr:nvSpPr>
            <xdr:cNvPr id="1223" name="Check Box 199" hidden="1">
              <a:extLst>
                <a:ext uri="{63B3BB69-23CF-44E3-9099-C40C66FF867C}">
                  <a14:compatExt spid="_x0000_s1223"/>
                </a:ext>
                <a:ext uri="{FF2B5EF4-FFF2-40B4-BE49-F238E27FC236}">
                  <a16:creationId xmlns:a16="http://schemas.microsoft.com/office/drawing/2014/main" id="{037CE664-CDB5-4F27-9E89-AE56C932A4A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200</xdr:row>
          <xdr:rowOff>9525</xdr:rowOff>
        </xdr:from>
        <xdr:to>
          <xdr:col>3</xdr:col>
          <xdr:colOff>19050</xdr:colOff>
          <xdr:row>200</xdr:row>
          <xdr:rowOff>485775</xdr:rowOff>
        </xdr:to>
        <xdr:sp macro="" textlink="">
          <xdr:nvSpPr>
            <xdr:cNvPr id="1224" name="Check Box 200" hidden="1">
              <a:extLst>
                <a:ext uri="{63B3BB69-23CF-44E3-9099-C40C66FF867C}">
                  <a14:compatExt spid="_x0000_s1224"/>
                </a:ext>
                <a:ext uri="{FF2B5EF4-FFF2-40B4-BE49-F238E27FC236}">
                  <a16:creationId xmlns:a16="http://schemas.microsoft.com/office/drawing/2014/main" id="{B612AF1B-8FFB-47C9-9640-02B36694584F}"/>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201</xdr:row>
          <xdr:rowOff>9525</xdr:rowOff>
        </xdr:from>
        <xdr:to>
          <xdr:col>3</xdr:col>
          <xdr:colOff>19050</xdr:colOff>
          <xdr:row>201</xdr:row>
          <xdr:rowOff>485775</xdr:rowOff>
        </xdr:to>
        <xdr:sp macro="" textlink="">
          <xdr:nvSpPr>
            <xdr:cNvPr id="1225" name="Check Box 201" hidden="1">
              <a:extLst>
                <a:ext uri="{63B3BB69-23CF-44E3-9099-C40C66FF867C}">
                  <a14:compatExt spid="_x0000_s1225"/>
                </a:ext>
                <a:ext uri="{FF2B5EF4-FFF2-40B4-BE49-F238E27FC236}">
                  <a16:creationId xmlns:a16="http://schemas.microsoft.com/office/drawing/2014/main" id="{99F424FE-3E35-48EE-B8AB-859F580C2243}"/>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202</xdr:row>
          <xdr:rowOff>9525</xdr:rowOff>
        </xdr:from>
        <xdr:to>
          <xdr:col>3</xdr:col>
          <xdr:colOff>19050</xdr:colOff>
          <xdr:row>202</xdr:row>
          <xdr:rowOff>485775</xdr:rowOff>
        </xdr:to>
        <xdr:sp macro="" textlink="">
          <xdr:nvSpPr>
            <xdr:cNvPr id="1226" name="Check Box 202" hidden="1">
              <a:extLst>
                <a:ext uri="{63B3BB69-23CF-44E3-9099-C40C66FF867C}">
                  <a14:compatExt spid="_x0000_s1226"/>
                </a:ext>
                <a:ext uri="{FF2B5EF4-FFF2-40B4-BE49-F238E27FC236}">
                  <a16:creationId xmlns:a16="http://schemas.microsoft.com/office/drawing/2014/main" id="{C810AAB6-F90D-423C-9123-74A4B5D3FADE}"/>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203</xdr:row>
          <xdr:rowOff>9525</xdr:rowOff>
        </xdr:from>
        <xdr:to>
          <xdr:col>3</xdr:col>
          <xdr:colOff>19050</xdr:colOff>
          <xdr:row>203</xdr:row>
          <xdr:rowOff>485775</xdr:rowOff>
        </xdr:to>
        <xdr:sp macro="" textlink="">
          <xdr:nvSpPr>
            <xdr:cNvPr id="1227" name="Check Box 203" hidden="1">
              <a:extLst>
                <a:ext uri="{63B3BB69-23CF-44E3-9099-C40C66FF867C}">
                  <a14:compatExt spid="_x0000_s1227"/>
                </a:ext>
                <a:ext uri="{FF2B5EF4-FFF2-40B4-BE49-F238E27FC236}">
                  <a16:creationId xmlns:a16="http://schemas.microsoft.com/office/drawing/2014/main" id="{23DE9EBF-A693-48A5-BCEF-0DF8AA9F3A98}"/>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204</xdr:row>
          <xdr:rowOff>9525</xdr:rowOff>
        </xdr:from>
        <xdr:to>
          <xdr:col>3</xdr:col>
          <xdr:colOff>19050</xdr:colOff>
          <xdr:row>204</xdr:row>
          <xdr:rowOff>485775</xdr:rowOff>
        </xdr:to>
        <xdr:sp macro="" textlink="">
          <xdr:nvSpPr>
            <xdr:cNvPr id="1228" name="Check Box 204" hidden="1">
              <a:extLst>
                <a:ext uri="{63B3BB69-23CF-44E3-9099-C40C66FF867C}">
                  <a14:compatExt spid="_x0000_s1228"/>
                </a:ext>
                <a:ext uri="{FF2B5EF4-FFF2-40B4-BE49-F238E27FC236}">
                  <a16:creationId xmlns:a16="http://schemas.microsoft.com/office/drawing/2014/main" id="{F79747C4-DCFF-481A-9478-C767046D8F5E}"/>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205</xdr:row>
          <xdr:rowOff>9525</xdr:rowOff>
        </xdr:from>
        <xdr:to>
          <xdr:col>3</xdr:col>
          <xdr:colOff>19050</xdr:colOff>
          <xdr:row>205</xdr:row>
          <xdr:rowOff>485775</xdr:rowOff>
        </xdr:to>
        <xdr:sp macro="" textlink="">
          <xdr:nvSpPr>
            <xdr:cNvPr id="1229" name="Check Box 205" hidden="1">
              <a:extLst>
                <a:ext uri="{63B3BB69-23CF-44E3-9099-C40C66FF867C}">
                  <a14:compatExt spid="_x0000_s1229"/>
                </a:ext>
                <a:ext uri="{FF2B5EF4-FFF2-40B4-BE49-F238E27FC236}">
                  <a16:creationId xmlns:a16="http://schemas.microsoft.com/office/drawing/2014/main" id="{34057DDA-E53E-41E2-9FDF-25AB8C548EDA}"/>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206</xdr:row>
          <xdr:rowOff>9525</xdr:rowOff>
        </xdr:from>
        <xdr:to>
          <xdr:col>3</xdr:col>
          <xdr:colOff>19050</xdr:colOff>
          <xdr:row>206</xdr:row>
          <xdr:rowOff>485775</xdr:rowOff>
        </xdr:to>
        <xdr:sp macro="" textlink="">
          <xdr:nvSpPr>
            <xdr:cNvPr id="1230" name="Check Box 206" hidden="1">
              <a:extLst>
                <a:ext uri="{63B3BB69-23CF-44E3-9099-C40C66FF867C}">
                  <a14:compatExt spid="_x0000_s1230"/>
                </a:ext>
                <a:ext uri="{FF2B5EF4-FFF2-40B4-BE49-F238E27FC236}">
                  <a16:creationId xmlns:a16="http://schemas.microsoft.com/office/drawing/2014/main" id="{2483429C-BAEF-4AEB-9627-2A37BAF31E05}"/>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207</xdr:row>
          <xdr:rowOff>9525</xdr:rowOff>
        </xdr:from>
        <xdr:to>
          <xdr:col>3</xdr:col>
          <xdr:colOff>19050</xdr:colOff>
          <xdr:row>207</xdr:row>
          <xdr:rowOff>485775</xdr:rowOff>
        </xdr:to>
        <xdr:sp macro="" textlink="">
          <xdr:nvSpPr>
            <xdr:cNvPr id="1231" name="Check Box 207" hidden="1">
              <a:extLst>
                <a:ext uri="{63B3BB69-23CF-44E3-9099-C40C66FF867C}">
                  <a14:compatExt spid="_x0000_s1231"/>
                </a:ext>
                <a:ext uri="{FF2B5EF4-FFF2-40B4-BE49-F238E27FC236}">
                  <a16:creationId xmlns:a16="http://schemas.microsoft.com/office/drawing/2014/main" id="{924BF378-2EBD-4F80-B9E8-D5D9C9BADB2F}"/>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208</xdr:row>
          <xdr:rowOff>9525</xdr:rowOff>
        </xdr:from>
        <xdr:to>
          <xdr:col>3</xdr:col>
          <xdr:colOff>19050</xdr:colOff>
          <xdr:row>208</xdr:row>
          <xdr:rowOff>485775</xdr:rowOff>
        </xdr:to>
        <xdr:sp macro="" textlink="">
          <xdr:nvSpPr>
            <xdr:cNvPr id="1232" name="Check Box 208" hidden="1">
              <a:extLst>
                <a:ext uri="{63B3BB69-23CF-44E3-9099-C40C66FF867C}">
                  <a14:compatExt spid="_x0000_s1232"/>
                </a:ext>
                <a:ext uri="{FF2B5EF4-FFF2-40B4-BE49-F238E27FC236}">
                  <a16:creationId xmlns:a16="http://schemas.microsoft.com/office/drawing/2014/main" id="{CC693C11-36F9-4C2C-B74C-E297A90430C5}"/>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209</xdr:row>
          <xdr:rowOff>9525</xdr:rowOff>
        </xdr:from>
        <xdr:to>
          <xdr:col>3</xdr:col>
          <xdr:colOff>19050</xdr:colOff>
          <xdr:row>209</xdr:row>
          <xdr:rowOff>485775</xdr:rowOff>
        </xdr:to>
        <xdr:sp macro="" textlink="">
          <xdr:nvSpPr>
            <xdr:cNvPr id="1233" name="Check Box 209" hidden="1">
              <a:extLst>
                <a:ext uri="{63B3BB69-23CF-44E3-9099-C40C66FF867C}">
                  <a14:compatExt spid="_x0000_s1233"/>
                </a:ext>
                <a:ext uri="{FF2B5EF4-FFF2-40B4-BE49-F238E27FC236}">
                  <a16:creationId xmlns:a16="http://schemas.microsoft.com/office/drawing/2014/main" id="{F73E483E-74B3-4728-AF90-6D76DB0C7CB4}"/>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210</xdr:row>
          <xdr:rowOff>9525</xdr:rowOff>
        </xdr:from>
        <xdr:to>
          <xdr:col>3</xdr:col>
          <xdr:colOff>19050</xdr:colOff>
          <xdr:row>210</xdr:row>
          <xdr:rowOff>485775</xdr:rowOff>
        </xdr:to>
        <xdr:sp macro="" textlink="">
          <xdr:nvSpPr>
            <xdr:cNvPr id="1234" name="Check Box 210" hidden="1">
              <a:extLst>
                <a:ext uri="{63B3BB69-23CF-44E3-9099-C40C66FF867C}">
                  <a14:compatExt spid="_x0000_s1234"/>
                </a:ext>
                <a:ext uri="{FF2B5EF4-FFF2-40B4-BE49-F238E27FC236}">
                  <a16:creationId xmlns:a16="http://schemas.microsoft.com/office/drawing/2014/main" id="{F2E6E7A4-7768-4F2E-A6DC-722E724FA311}"/>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211</xdr:row>
          <xdr:rowOff>9525</xdr:rowOff>
        </xdr:from>
        <xdr:to>
          <xdr:col>3</xdr:col>
          <xdr:colOff>19050</xdr:colOff>
          <xdr:row>211</xdr:row>
          <xdr:rowOff>485775</xdr:rowOff>
        </xdr:to>
        <xdr:sp macro="" textlink="">
          <xdr:nvSpPr>
            <xdr:cNvPr id="1235" name="Check Box 211" hidden="1">
              <a:extLst>
                <a:ext uri="{63B3BB69-23CF-44E3-9099-C40C66FF867C}">
                  <a14:compatExt spid="_x0000_s1235"/>
                </a:ext>
                <a:ext uri="{FF2B5EF4-FFF2-40B4-BE49-F238E27FC236}">
                  <a16:creationId xmlns:a16="http://schemas.microsoft.com/office/drawing/2014/main" id="{A271D957-EA38-4919-8445-15A465E2E077}"/>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212</xdr:row>
          <xdr:rowOff>9525</xdr:rowOff>
        </xdr:from>
        <xdr:to>
          <xdr:col>3</xdr:col>
          <xdr:colOff>19050</xdr:colOff>
          <xdr:row>212</xdr:row>
          <xdr:rowOff>485775</xdr:rowOff>
        </xdr:to>
        <xdr:sp macro="" textlink="">
          <xdr:nvSpPr>
            <xdr:cNvPr id="1236" name="Check Box 212" hidden="1">
              <a:extLst>
                <a:ext uri="{63B3BB69-23CF-44E3-9099-C40C66FF867C}">
                  <a14:compatExt spid="_x0000_s1236"/>
                </a:ext>
                <a:ext uri="{FF2B5EF4-FFF2-40B4-BE49-F238E27FC236}">
                  <a16:creationId xmlns:a16="http://schemas.microsoft.com/office/drawing/2014/main" id="{237529CE-D6AF-4633-B089-D9EB99137ECF}"/>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213</xdr:row>
          <xdr:rowOff>9525</xdr:rowOff>
        </xdr:from>
        <xdr:to>
          <xdr:col>3</xdr:col>
          <xdr:colOff>19050</xdr:colOff>
          <xdr:row>213</xdr:row>
          <xdr:rowOff>485775</xdr:rowOff>
        </xdr:to>
        <xdr:sp macro="" textlink="">
          <xdr:nvSpPr>
            <xdr:cNvPr id="1237" name="Check Box 213" hidden="1">
              <a:extLst>
                <a:ext uri="{63B3BB69-23CF-44E3-9099-C40C66FF867C}">
                  <a14:compatExt spid="_x0000_s1237"/>
                </a:ext>
                <a:ext uri="{FF2B5EF4-FFF2-40B4-BE49-F238E27FC236}">
                  <a16:creationId xmlns:a16="http://schemas.microsoft.com/office/drawing/2014/main" id="{E68B3523-FE46-4C18-A70F-DB39BF87708E}"/>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214</xdr:row>
          <xdr:rowOff>9525</xdr:rowOff>
        </xdr:from>
        <xdr:to>
          <xdr:col>3</xdr:col>
          <xdr:colOff>19050</xdr:colOff>
          <xdr:row>214</xdr:row>
          <xdr:rowOff>485775</xdr:rowOff>
        </xdr:to>
        <xdr:sp macro="" textlink="">
          <xdr:nvSpPr>
            <xdr:cNvPr id="1238" name="Check Box 214" hidden="1">
              <a:extLst>
                <a:ext uri="{63B3BB69-23CF-44E3-9099-C40C66FF867C}">
                  <a14:compatExt spid="_x0000_s1238"/>
                </a:ext>
                <a:ext uri="{FF2B5EF4-FFF2-40B4-BE49-F238E27FC236}">
                  <a16:creationId xmlns:a16="http://schemas.microsoft.com/office/drawing/2014/main" id="{D208A775-9E3B-4F64-BB45-E664B8C4F5F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215</xdr:row>
          <xdr:rowOff>9525</xdr:rowOff>
        </xdr:from>
        <xdr:to>
          <xdr:col>3</xdr:col>
          <xdr:colOff>19050</xdr:colOff>
          <xdr:row>215</xdr:row>
          <xdr:rowOff>485775</xdr:rowOff>
        </xdr:to>
        <xdr:sp macro="" textlink="">
          <xdr:nvSpPr>
            <xdr:cNvPr id="1239" name="Check Box 215" hidden="1">
              <a:extLst>
                <a:ext uri="{63B3BB69-23CF-44E3-9099-C40C66FF867C}">
                  <a14:compatExt spid="_x0000_s1239"/>
                </a:ext>
                <a:ext uri="{FF2B5EF4-FFF2-40B4-BE49-F238E27FC236}">
                  <a16:creationId xmlns:a16="http://schemas.microsoft.com/office/drawing/2014/main" id="{713C9B7F-7705-4ECE-8EA4-AA3E7716311B}"/>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216</xdr:row>
          <xdr:rowOff>9525</xdr:rowOff>
        </xdr:from>
        <xdr:to>
          <xdr:col>3</xdr:col>
          <xdr:colOff>19050</xdr:colOff>
          <xdr:row>216</xdr:row>
          <xdr:rowOff>485775</xdr:rowOff>
        </xdr:to>
        <xdr:sp macro="" textlink="">
          <xdr:nvSpPr>
            <xdr:cNvPr id="1240" name="Check Box 216" hidden="1">
              <a:extLst>
                <a:ext uri="{63B3BB69-23CF-44E3-9099-C40C66FF867C}">
                  <a14:compatExt spid="_x0000_s1240"/>
                </a:ext>
                <a:ext uri="{FF2B5EF4-FFF2-40B4-BE49-F238E27FC236}">
                  <a16:creationId xmlns:a16="http://schemas.microsoft.com/office/drawing/2014/main" id="{CAFAC0D3-4924-4072-A1D8-57C7AE013194}"/>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217</xdr:row>
          <xdr:rowOff>9525</xdr:rowOff>
        </xdr:from>
        <xdr:to>
          <xdr:col>3</xdr:col>
          <xdr:colOff>19050</xdr:colOff>
          <xdr:row>217</xdr:row>
          <xdr:rowOff>485775</xdr:rowOff>
        </xdr:to>
        <xdr:sp macro="" textlink="">
          <xdr:nvSpPr>
            <xdr:cNvPr id="1241" name="Check Box 217" hidden="1">
              <a:extLst>
                <a:ext uri="{63B3BB69-23CF-44E3-9099-C40C66FF867C}">
                  <a14:compatExt spid="_x0000_s1241"/>
                </a:ext>
                <a:ext uri="{FF2B5EF4-FFF2-40B4-BE49-F238E27FC236}">
                  <a16:creationId xmlns:a16="http://schemas.microsoft.com/office/drawing/2014/main" id="{EFFDA3A6-D09C-42CC-B537-6D3C8B4F52C9}"/>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218</xdr:row>
          <xdr:rowOff>9525</xdr:rowOff>
        </xdr:from>
        <xdr:to>
          <xdr:col>3</xdr:col>
          <xdr:colOff>19050</xdr:colOff>
          <xdr:row>218</xdr:row>
          <xdr:rowOff>485775</xdr:rowOff>
        </xdr:to>
        <xdr:sp macro="" textlink="">
          <xdr:nvSpPr>
            <xdr:cNvPr id="1242" name="Check Box 218" hidden="1">
              <a:extLst>
                <a:ext uri="{63B3BB69-23CF-44E3-9099-C40C66FF867C}">
                  <a14:compatExt spid="_x0000_s1242"/>
                </a:ext>
                <a:ext uri="{FF2B5EF4-FFF2-40B4-BE49-F238E27FC236}">
                  <a16:creationId xmlns:a16="http://schemas.microsoft.com/office/drawing/2014/main" id="{70246D99-2E90-4E09-B26E-F5D81B8C3998}"/>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219</xdr:row>
          <xdr:rowOff>9525</xdr:rowOff>
        </xdr:from>
        <xdr:to>
          <xdr:col>3</xdr:col>
          <xdr:colOff>19050</xdr:colOff>
          <xdr:row>219</xdr:row>
          <xdr:rowOff>485775</xdr:rowOff>
        </xdr:to>
        <xdr:sp macro="" textlink="">
          <xdr:nvSpPr>
            <xdr:cNvPr id="1243" name="Check Box 219" hidden="1">
              <a:extLst>
                <a:ext uri="{63B3BB69-23CF-44E3-9099-C40C66FF867C}">
                  <a14:compatExt spid="_x0000_s1243"/>
                </a:ext>
                <a:ext uri="{FF2B5EF4-FFF2-40B4-BE49-F238E27FC236}">
                  <a16:creationId xmlns:a16="http://schemas.microsoft.com/office/drawing/2014/main" id="{6F3DADC1-7DB4-434E-9678-A4730E9202CA}"/>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220</xdr:row>
          <xdr:rowOff>9525</xdr:rowOff>
        </xdr:from>
        <xdr:to>
          <xdr:col>3</xdr:col>
          <xdr:colOff>19050</xdr:colOff>
          <xdr:row>220</xdr:row>
          <xdr:rowOff>485775</xdr:rowOff>
        </xdr:to>
        <xdr:sp macro="" textlink="">
          <xdr:nvSpPr>
            <xdr:cNvPr id="1244" name="Check Box 220" hidden="1">
              <a:extLst>
                <a:ext uri="{63B3BB69-23CF-44E3-9099-C40C66FF867C}">
                  <a14:compatExt spid="_x0000_s1244"/>
                </a:ext>
                <a:ext uri="{FF2B5EF4-FFF2-40B4-BE49-F238E27FC236}">
                  <a16:creationId xmlns:a16="http://schemas.microsoft.com/office/drawing/2014/main" id="{861F372B-13AF-410F-BF2B-6269F95938D7}"/>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221</xdr:row>
          <xdr:rowOff>9525</xdr:rowOff>
        </xdr:from>
        <xdr:to>
          <xdr:col>3</xdr:col>
          <xdr:colOff>19050</xdr:colOff>
          <xdr:row>221</xdr:row>
          <xdr:rowOff>485775</xdr:rowOff>
        </xdr:to>
        <xdr:sp macro="" textlink="">
          <xdr:nvSpPr>
            <xdr:cNvPr id="1245" name="Check Box 221" hidden="1">
              <a:extLst>
                <a:ext uri="{63B3BB69-23CF-44E3-9099-C40C66FF867C}">
                  <a14:compatExt spid="_x0000_s1245"/>
                </a:ext>
                <a:ext uri="{FF2B5EF4-FFF2-40B4-BE49-F238E27FC236}">
                  <a16:creationId xmlns:a16="http://schemas.microsoft.com/office/drawing/2014/main" id="{D71CBD51-762E-43B6-A597-82978BFC1CE2}"/>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222</xdr:row>
          <xdr:rowOff>9525</xdr:rowOff>
        </xdr:from>
        <xdr:to>
          <xdr:col>3</xdr:col>
          <xdr:colOff>19050</xdr:colOff>
          <xdr:row>222</xdr:row>
          <xdr:rowOff>485775</xdr:rowOff>
        </xdr:to>
        <xdr:sp macro="" textlink="">
          <xdr:nvSpPr>
            <xdr:cNvPr id="1246" name="Check Box 222" hidden="1">
              <a:extLst>
                <a:ext uri="{63B3BB69-23CF-44E3-9099-C40C66FF867C}">
                  <a14:compatExt spid="_x0000_s1246"/>
                </a:ext>
                <a:ext uri="{FF2B5EF4-FFF2-40B4-BE49-F238E27FC236}">
                  <a16:creationId xmlns:a16="http://schemas.microsoft.com/office/drawing/2014/main" id="{BFFAEAEB-12D9-464B-8EBD-4F8363888C34}"/>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223</xdr:row>
          <xdr:rowOff>9525</xdr:rowOff>
        </xdr:from>
        <xdr:to>
          <xdr:col>3</xdr:col>
          <xdr:colOff>19050</xdr:colOff>
          <xdr:row>223</xdr:row>
          <xdr:rowOff>485775</xdr:rowOff>
        </xdr:to>
        <xdr:sp macro="" textlink="">
          <xdr:nvSpPr>
            <xdr:cNvPr id="1247" name="Check Box 223" hidden="1">
              <a:extLst>
                <a:ext uri="{63B3BB69-23CF-44E3-9099-C40C66FF867C}">
                  <a14:compatExt spid="_x0000_s1247"/>
                </a:ext>
                <a:ext uri="{FF2B5EF4-FFF2-40B4-BE49-F238E27FC236}">
                  <a16:creationId xmlns:a16="http://schemas.microsoft.com/office/drawing/2014/main" id="{26CBFF6C-E57C-4526-A5ED-7DEDC2058702}"/>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224</xdr:row>
          <xdr:rowOff>9525</xdr:rowOff>
        </xdr:from>
        <xdr:to>
          <xdr:col>3</xdr:col>
          <xdr:colOff>19050</xdr:colOff>
          <xdr:row>224</xdr:row>
          <xdr:rowOff>485775</xdr:rowOff>
        </xdr:to>
        <xdr:sp macro="" textlink="">
          <xdr:nvSpPr>
            <xdr:cNvPr id="1248" name="Check Box 224" hidden="1">
              <a:extLst>
                <a:ext uri="{63B3BB69-23CF-44E3-9099-C40C66FF867C}">
                  <a14:compatExt spid="_x0000_s1248"/>
                </a:ext>
                <a:ext uri="{FF2B5EF4-FFF2-40B4-BE49-F238E27FC236}">
                  <a16:creationId xmlns:a16="http://schemas.microsoft.com/office/drawing/2014/main" id="{9C4891E8-0926-4336-8C70-D098869DDEF9}"/>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225</xdr:row>
          <xdr:rowOff>9525</xdr:rowOff>
        </xdr:from>
        <xdr:to>
          <xdr:col>3</xdr:col>
          <xdr:colOff>19050</xdr:colOff>
          <xdr:row>225</xdr:row>
          <xdr:rowOff>485775</xdr:rowOff>
        </xdr:to>
        <xdr:sp macro="" textlink="">
          <xdr:nvSpPr>
            <xdr:cNvPr id="1249" name="Check Box 225" hidden="1">
              <a:extLst>
                <a:ext uri="{63B3BB69-23CF-44E3-9099-C40C66FF867C}">
                  <a14:compatExt spid="_x0000_s1249"/>
                </a:ext>
                <a:ext uri="{FF2B5EF4-FFF2-40B4-BE49-F238E27FC236}">
                  <a16:creationId xmlns:a16="http://schemas.microsoft.com/office/drawing/2014/main" id="{BCBCDD9F-B33A-46FE-A094-E609B7A6E03A}"/>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226</xdr:row>
          <xdr:rowOff>9525</xdr:rowOff>
        </xdr:from>
        <xdr:to>
          <xdr:col>3</xdr:col>
          <xdr:colOff>19050</xdr:colOff>
          <xdr:row>226</xdr:row>
          <xdr:rowOff>485775</xdr:rowOff>
        </xdr:to>
        <xdr:sp macro="" textlink="">
          <xdr:nvSpPr>
            <xdr:cNvPr id="1250" name="Check Box 226" hidden="1">
              <a:extLst>
                <a:ext uri="{63B3BB69-23CF-44E3-9099-C40C66FF867C}">
                  <a14:compatExt spid="_x0000_s1250"/>
                </a:ext>
                <a:ext uri="{FF2B5EF4-FFF2-40B4-BE49-F238E27FC236}">
                  <a16:creationId xmlns:a16="http://schemas.microsoft.com/office/drawing/2014/main" id="{8BC13307-54F5-49F7-B269-E29E9665152F}"/>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227</xdr:row>
          <xdr:rowOff>9525</xdr:rowOff>
        </xdr:from>
        <xdr:to>
          <xdr:col>3</xdr:col>
          <xdr:colOff>19050</xdr:colOff>
          <xdr:row>227</xdr:row>
          <xdr:rowOff>485775</xdr:rowOff>
        </xdr:to>
        <xdr:sp macro="" textlink="">
          <xdr:nvSpPr>
            <xdr:cNvPr id="1251" name="Check Box 227" hidden="1">
              <a:extLst>
                <a:ext uri="{63B3BB69-23CF-44E3-9099-C40C66FF867C}">
                  <a14:compatExt spid="_x0000_s1251"/>
                </a:ext>
                <a:ext uri="{FF2B5EF4-FFF2-40B4-BE49-F238E27FC236}">
                  <a16:creationId xmlns:a16="http://schemas.microsoft.com/office/drawing/2014/main" id="{97C178DE-3735-4C4E-991B-1FC9FBC43C5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228</xdr:row>
          <xdr:rowOff>9525</xdr:rowOff>
        </xdr:from>
        <xdr:to>
          <xdr:col>3</xdr:col>
          <xdr:colOff>19050</xdr:colOff>
          <xdr:row>228</xdr:row>
          <xdr:rowOff>485775</xdr:rowOff>
        </xdr:to>
        <xdr:sp macro="" textlink="">
          <xdr:nvSpPr>
            <xdr:cNvPr id="1252" name="Check Box 228" hidden="1">
              <a:extLst>
                <a:ext uri="{63B3BB69-23CF-44E3-9099-C40C66FF867C}">
                  <a14:compatExt spid="_x0000_s1252"/>
                </a:ext>
                <a:ext uri="{FF2B5EF4-FFF2-40B4-BE49-F238E27FC236}">
                  <a16:creationId xmlns:a16="http://schemas.microsoft.com/office/drawing/2014/main" id="{EAF8D896-9556-4E86-B7C0-0B86D0480C6D}"/>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229</xdr:row>
          <xdr:rowOff>9525</xdr:rowOff>
        </xdr:from>
        <xdr:to>
          <xdr:col>3</xdr:col>
          <xdr:colOff>19050</xdr:colOff>
          <xdr:row>229</xdr:row>
          <xdr:rowOff>485775</xdr:rowOff>
        </xdr:to>
        <xdr:sp macro="" textlink="">
          <xdr:nvSpPr>
            <xdr:cNvPr id="1253" name="Check Box 229" hidden="1">
              <a:extLst>
                <a:ext uri="{63B3BB69-23CF-44E3-9099-C40C66FF867C}">
                  <a14:compatExt spid="_x0000_s1253"/>
                </a:ext>
                <a:ext uri="{FF2B5EF4-FFF2-40B4-BE49-F238E27FC236}">
                  <a16:creationId xmlns:a16="http://schemas.microsoft.com/office/drawing/2014/main" id="{6B0D2253-04EA-45BD-B0A6-1234926CC4D4}"/>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230</xdr:row>
          <xdr:rowOff>9525</xdr:rowOff>
        </xdr:from>
        <xdr:to>
          <xdr:col>3</xdr:col>
          <xdr:colOff>19050</xdr:colOff>
          <xdr:row>230</xdr:row>
          <xdr:rowOff>485775</xdr:rowOff>
        </xdr:to>
        <xdr:sp macro="" textlink="">
          <xdr:nvSpPr>
            <xdr:cNvPr id="1254" name="Check Box 230" hidden="1">
              <a:extLst>
                <a:ext uri="{63B3BB69-23CF-44E3-9099-C40C66FF867C}">
                  <a14:compatExt spid="_x0000_s1254"/>
                </a:ext>
                <a:ext uri="{FF2B5EF4-FFF2-40B4-BE49-F238E27FC236}">
                  <a16:creationId xmlns:a16="http://schemas.microsoft.com/office/drawing/2014/main" id="{F2B7B06F-CF9D-4C76-BDBD-92BB11F004E2}"/>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231</xdr:row>
          <xdr:rowOff>9525</xdr:rowOff>
        </xdr:from>
        <xdr:to>
          <xdr:col>3</xdr:col>
          <xdr:colOff>19050</xdr:colOff>
          <xdr:row>231</xdr:row>
          <xdr:rowOff>485775</xdr:rowOff>
        </xdr:to>
        <xdr:sp macro="" textlink="">
          <xdr:nvSpPr>
            <xdr:cNvPr id="1255" name="Check Box 231" hidden="1">
              <a:extLst>
                <a:ext uri="{63B3BB69-23CF-44E3-9099-C40C66FF867C}">
                  <a14:compatExt spid="_x0000_s1255"/>
                </a:ext>
                <a:ext uri="{FF2B5EF4-FFF2-40B4-BE49-F238E27FC236}">
                  <a16:creationId xmlns:a16="http://schemas.microsoft.com/office/drawing/2014/main" id="{56D8329C-5FF4-423C-9504-CDD06691B43F}"/>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232</xdr:row>
          <xdr:rowOff>9525</xdr:rowOff>
        </xdr:from>
        <xdr:to>
          <xdr:col>3</xdr:col>
          <xdr:colOff>19050</xdr:colOff>
          <xdr:row>232</xdr:row>
          <xdr:rowOff>485775</xdr:rowOff>
        </xdr:to>
        <xdr:sp macro="" textlink="">
          <xdr:nvSpPr>
            <xdr:cNvPr id="1256" name="Check Box 232" hidden="1">
              <a:extLst>
                <a:ext uri="{63B3BB69-23CF-44E3-9099-C40C66FF867C}">
                  <a14:compatExt spid="_x0000_s1256"/>
                </a:ext>
                <a:ext uri="{FF2B5EF4-FFF2-40B4-BE49-F238E27FC236}">
                  <a16:creationId xmlns:a16="http://schemas.microsoft.com/office/drawing/2014/main" id="{F91E32C0-8172-406A-8C81-12658AFA601F}"/>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233</xdr:row>
          <xdr:rowOff>9525</xdr:rowOff>
        </xdr:from>
        <xdr:to>
          <xdr:col>3</xdr:col>
          <xdr:colOff>19050</xdr:colOff>
          <xdr:row>233</xdr:row>
          <xdr:rowOff>485775</xdr:rowOff>
        </xdr:to>
        <xdr:sp macro="" textlink="">
          <xdr:nvSpPr>
            <xdr:cNvPr id="1257" name="Check Box 233" hidden="1">
              <a:extLst>
                <a:ext uri="{63B3BB69-23CF-44E3-9099-C40C66FF867C}">
                  <a14:compatExt spid="_x0000_s1257"/>
                </a:ext>
                <a:ext uri="{FF2B5EF4-FFF2-40B4-BE49-F238E27FC236}">
                  <a16:creationId xmlns:a16="http://schemas.microsoft.com/office/drawing/2014/main" id="{A9665AA6-52E5-4CB5-BA77-CF786971ACF1}"/>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234</xdr:row>
          <xdr:rowOff>9525</xdr:rowOff>
        </xdr:from>
        <xdr:to>
          <xdr:col>3</xdr:col>
          <xdr:colOff>19050</xdr:colOff>
          <xdr:row>234</xdr:row>
          <xdr:rowOff>485775</xdr:rowOff>
        </xdr:to>
        <xdr:sp macro="" textlink="">
          <xdr:nvSpPr>
            <xdr:cNvPr id="1258" name="Check Box 234" hidden="1">
              <a:extLst>
                <a:ext uri="{63B3BB69-23CF-44E3-9099-C40C66FF867C}">
                  <a14:compatExt spid="_x0000_s1258"/>
                </a:ext>
                <a:ext uri="{FF2B5EF4-FFF2-40B4-BE49-F238E27FC236}">
                  <a16:creationId xmlns:a16="http://schemas.microsoft.com/office/drawing/2014/main" id="{9BA0024E-E31A-4424-AE12-8BBCA90E5FB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235</xdr:row>
          <xdr:rowOff>9525</xdr:rowOff>
        </xdr:from>
        <xdr:to>
          <xdr:col>3</xdr:col>
          <xdr:colOff>19050</xdr:colOff>
          <xdr:row>235</xdr:row>
          <xdr:rowOff>485775</xdr:rowOff>
        </xdr:to>
        <xdr:sp macro="" textlink="">
          <xdr:nvSpPr>
            <xdr:cNvPr id="1259" name="Check Box 235" hidden="1">
              <a:extLst>
                <a:ext uri="{63B3BB69-23CF-44E3-9099-C40C66FF867C}">
                  <a14:compatExt spid="_x0000_s1259"/>
                </a:ext>
                <a:ext uri="{FF2B5EF4-FFF2-40B4-BE49-F238E27FC236}">
                  <a16:creationId xmlns:a16="http://schemas.microsoft.com/office/drawing/2014/main" id="{94166403-3DBD-4798-9DB2-27F3BED6AB15}"/>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236</xdr:row>
          <xdr:rowOff>9525</xdr:rowOff>
        </xdr:from>
        <xdr:to>
          <xdr:col>3</xdr:col>
          <xdr:colOff>19050</xdr:colOff>
          <xdr:row>236</xdr:row>
          <xdr:rowOff>485775</xdr:rowOff>
        </xdr:to>
        <xdr:sp macro="" textlink="">
          <xdr:nvSpPr>
            <xdr:cNvPr id="1260" name="Check Box 236" hidden="1">
              <a:extLst>
                <a:ext uri="{63B3BB69-23CF-44E3-9099-C40C66FF867C}">
                  <a14:compatExt spid="_x0000_s1260"/>
                </a:ext>
                <a:ext uri="{FF2B5EF4-FFF2-40B4-BE49-F238E27FC236}">
                  <a16:creationId xmlns:a16="http://schemas.microsoft.com/office/drawing/2014/main" id="{3DD9D0C9-809F-4A35-9EB8-351D74CE628D}"/>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237</xdr:row>
          <xdr:rowOff>9525</xdr:rowOff>
        </xdr:from>
        <xdr:to>
          <xdr:col>3</xdr:col>
          <xdr:colOff>19050</xdr:colOff>
          <xdr:row>237</xdr:row>
          <xdr:rowOff>485775</xdr:rowOff>
        </xdr:to>
        <xdr:sp macro="" textlink="">
          <xdr:nvSpPr>
            <xdr:cNvPr id="1261" name="Check Box 237" hidden="1">
              <a:extLst>
                <a:ext uri="{63B3BB69-23CF-44E3-9099-C40C66FF867C}">
                  <a14:compatExt spid="_x0000_s1261"/>
                </a:ext>
                <a:ext uri="{FF2B5EF4-FFF2-40B4-BE49-F238E27FC236}">
                  <a16:creationId xmlns:a16="http://schemas.microsoft.com/office/drawing/2014/main" id="{CA8DFAF7-A525-48CD-9C7C-FC8D35BA06C5}"/>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238</xdr:row>
          <xdr:rowOff>9525</xdr:rowOff>
        </xdr:from>
        <xdr:to>
          <xdr:col>3</xdr:col>
          <xdr:colOff>19050</xdr:colOff>
          <xdr:row>238</xdr:row>
          <xdr:rowOff>485775</xdr:rowOff>
        </xdr:to>
        <xdr:sp macro="" textlink="">
          <xdr:nvSpPr>
            <xdr:cNvPr id="1262" name="Check Box 238" hidden="1">
              <a:extLst>
                <a:ext uri="{63B3BB69-23CF-44E3-9099-C40C66FF867C}">
                  <a14:compatExt spid="_x0000_s1262"/>
                </a:ext>
                <a:ext uri="{FF2B5EF4-FFF2-40B4-BE49-F238E27FC236}">
                  <a16:creationId xmlns:a16="http://schemas.microsoft.com/office/drawing/2014/main" id="{2BC56241-6EED-4B0D-B427-17AE08C2E0C1}"/>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239</xdr:row>
          <xdr:rowOff>9525</xdr:rowOff>
        </xdr:from>
        <xdr:to>
          <xdr:col>3</xdr:col>
          <xdr:colOff>19050</xdr:colOff>
          <xdr:row>239</xdr:row>
          <xdr:rowOff>485775</xdr:rowOff>
        </xdr:to>
        <xdr:sp macro="" textlink="">
          <xdr:nvSpPr>
            <xdr:cNvPr id="1263" name="Check Box 239" hidden="1">
              <a:extLst>
                <a:ext uri="{63B3BB69-23CF-44E3-9099-C40C66FF867C}">
                  <a14:compatExt spid="_x0000_s1263"/>
                </a:ext>
                <a:ext uri="{FF2B5EF4-FFF2-40B4-BE49-F238E27FC236}">
                  <a16:creationId xmlns:a16="http://schemas.microsoft.com/office/drawing/2014/main" id="{109EB748-7B69-443B-87FB-ADC960E6C268}"/>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240</xdr:row>
          <xdr:rowOff>9525</xdr:rowOff>
        </xdr:from>
        <xdr:to>
          <xdr:col>3</xdr:col>
          <xdr:colOff>19050</xdr:colOff>
          <xdr:row>240</xdr:row>
          <xdr:rowOff>485775</xdr:rowOff>
        </xdr:to>
        <xdr:sp macro="" textlink="">
          <xdr:nvSpPr>
            <xdr:cNvPr id="1264" name="Check Box 240" hidden="1">
              <a:extLst>
                <a:ext uri="{63B3BB69-23CF-44E3-9099-C40C66FF867C}">
                  <a14:compatExt spid="_x0000_s1264"/>
                </a:ext>
                <a:ext uri="{FF2B5EF4-FFF2-40B4-BE49-F238E27FC236}">
                  <a16:creationId xmlns:a16="http://schemas.microsoft.com/office/drawing/2014/main" id="{A3D02331-5DAC-413B-9636-782C12160B18}"/>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241</xdr:row>
          <xdr:rowOff>9525</xdr:rowOff>
        </xdr:from>
        <xdr:to>
          <xdr:col>3</xdr:col>
          <xdr:colOff>19050</xdr:colOff>
          <xdr:row>241</xdr:row>
          <xdr:rowOff>485775</xdr:rowOff>
        </xdr:to>
        <xdr:sp macro="" textlink="">
          <xdr:nvSpPr>
            <xdr:cNvPr id="1265" name="Check Box 241" hidden="1">
              <a:extLst>
                <a:ext uri="{63B3BB69-23CF-44E3-9099-C40C66FF867C}">
                  <a14:compatExt spid="_x0000_s1265"/>
                </a:ext>
                <a:ext uri="{FF2B5EF4-FFF2-40B4-BE49-F238E27FC236}">
                  <a16:creationId xmlns:a16="http://schemas.microsoft.com/office/drawing/2014/main" id="{D1DCDBC2-47C9-4E12-93B6-D85F0B3A4C3E}"/>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242</xdr:row>
          <xdr:rowOff>9525</xdr:rowOff>
        </xdr:from>
        <xdr:to>
          <xdr:col>3</xdr:col>
          <xdr:colOff>19050</xdr:colOff>
          <xdr:row>242</xdr:row>
          <xdr:rowOff>485775</xdr:rowOff>
        </xdr:to>
        <xdr:sp macro="" textlink="">
          <xdr:nvSpPr>
            <xdr:cNvPr id="1266" name="Check Box 242" hidden="1">
              <a:extLst>
                <a:ext uri="{63B3BB69-23CF-44E3-9099-C40C66FF867C}">
                  <a14:compatExt spid="_x0000_s1266"/>
                </a:ext>
                <a:ext uri="{FF2B5EF4-FFF2-40B4-BE49-F238E27FC236}">
                  <a16:creationId xmlns:a16="http://schemas.microsoft.com/office/drawing/2014/main" id="{E2C042D1-ADD8-4B41-B0C1-67A684C1260B}"/>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243</xdr:row>
          <xdr:rowOff>9525</xdr:rowOff>
        </xdr:from>
        <xdr:to>
          <xdr:col>3</xdr:col>
          <xdr:colOff>19050</xdr:colOff>
          <xdr:row>243</xdr:row>
          <xdr:rowOff>485775</xdr:rowOff>
        </xdr:to>
        <xdr:sp macro="" textlink="">
          <xdr:nvSpPr>
            <xdr:cNvPr id="1267" name="Check Box 243" hidden="1">
              <a:extLst>
                <a:ext uri="{63B3BB69-23CF-44E3-9099-C40C66FF867C}">
                  <a14:compatExt spid="_x0000_s1267"/>
                </a:ext>
                <a:ext uri="{FF2B5EF4-FFF2-40B4-BE49-F238E27FC236}">
                  <a16:creationId xmlns:a16="http://schemas.microsoft.com/office/drawing/2014/main" id="{35A427AB-D0AA-4F8B-95BC-C847405F3CB7}"/>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244</xdr:row>
          <xdr:rowOff>9525</xdr:rowOff>
        </xdr:from>
        <xdr:to>
          <xdr:col>3</xdr:col>
          <xdr:colOff>19050</xdr:colOff>
          <xdr:row>244</xdr:row>
          <xdr:rowOff>485775</xdr:rowOff>
        </xdr:to>
        <xdr:sp macro="" textlink="">
          <xdr:nvSpPr>
            <xdr:cNvPr id="1268" name="Check Box 244" hidden="1">
              <a:extLst>
                <a:ext uri="{63B3BB69-23CF-44E3-9099-C40C66FF867C}">
                  <a14:compatExt spid="_x0000_s1268"/>
                </a:ext>
                <a:ext uri="{FF2B5EF4-FFF2-40B4-BE49-F238E27FC236}">
                  <a16:creationId xmlns:a16="http://schemas.microsoft.com/office/drawing/2014/main" id="{8AD58727-8FF6-4B82-B381-31BC1AADD32A}"/>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245</xdr:row>
          <xdr:rowOff>9525</xdr:rowOff>
        </xdr:from>
        <xdr:to>
          <xdr:col>3</xdr:col>
          <xdr:colOff>19050</xdr:colOff>
          <xdr:row>245</xdr:row>
          <xdr:rowOff>485775</xdr:rowOff>
        </xdr:to>
        <xdr:sp macro="" textlink="">
          <xdr:nvSpPr>
            <xdr:cNvPr id="1269" name="Check Box 245" hidden="1">
              <a:extLst>
                <a:ext uri="{63B3BB69-23CF-44E3-9099-C40C66FF867C}">
                  <a14:compatExt spid="_x0000_s1269"/>
                </a:ext>
                <a:ext uri="{FF2B5EF4-FFF2-40B4-BE49-F238E27FC236}">
                  <a16:creationId xmlns:a16="http://schemas.microsoft.com/office/drawing/2014/main" id="{2FF7B862-44B3-4DDD-8BA6-19B3C394D74A}"/>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246</xdr:row>
          <xdr:rowOff>9525</xdr:rowOff>
        </xdr:from>
        <xdr:to>
          <xdr:col>3</xdr:col>
          <xdr:colOff>19050</xdr:colOff>
          <xdr:row>246</xdr:row>
          <xdr:rowOff>485775</xdr:rowOff>
        </xdr:to>
        <xdr:sp macro="" textlink="">
          <xdr:nvSpPr>
            <xdr:cNvPr id="1270" name="Check Box 246" hidden="1">
              <a:extLst>
                <a:ext uri="{63B3BB69-23CF-44E3-9099-C40C66FF867C}">
                  <a14:compatExt spid="_x0000_s1270"/>
                </a:ext>
                <a:ext uri="{FF2B5EF4-FFF2-40B4-BE49-F238E27FC236}">
                  <a16:creationId xmlns:a16="http://schemas.microsoft.com/office/drawing/2014/main" id="{D4CF1C58-B65C-4918-828A-FBE1E1B15E4D}"/>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247</xdr:row>
          <xdr:rowOff>9525</xdr:rowOff>
        </xdr:from>
        <xdr:to>
          <xdr:col>3</xdr:col>
          <xdr:colOff>19050</xdr:colOff>
          <xdr:row>247</xdr:row>
          <xdr:rowOff>485775</xdr:rowOff>
        </xdr:to>
        <xdr:sp macro="" textlink="">
          <xdr:nvSpPr>
            <xdr:cNvPr id="1271" name="Check Box 247" hidden="1">
              <a:extLst>
                <a:ext uri="{63B3BB69-23CF-44E3-9099-C40C66FF867C}">
                  <a14:compatExt spid="_x0000_s1271"/>
                </a:ext>
                <a:ext uri="{FF2B5EF4-FFF2-40B4-BE49-F238E27FC236}">
                  <a16:creationId xmlns:a16="http://schemas.microsoft.com/office/drawing/2014/main" id="{8C53CACF-FA9D-4DAD-92D4-F64E94F8A054}"/>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248</xdr:row>
          <xdr:rowOff>9525</xdr:rowOff>
        </xdr:from>
        <xdr:to>
          <xdr:col>3</xdr:col>
          <xdr:colOff>19050</xdr:colOff>
          <xdr:row>248</xdr:row>
          <xdr:rowOff>485775</xdr:rowOff>
        </xdr:to>
        <xdr:sp macro="" textlink="">
          <xdr:nvSpPr>
            <xdr:cNvPr id="1272" name="Check Box 248" hidden="1">
              <a:extLst>
                <a:ext uri="{63B3BB69-23CF-44E3-9099-C40C66FF867C}">
                  <a14:compatExt spid="_x0000_s1272"/>
                </a:ext>
                <a:ext uri="{FF2B5EF4-FFF2-40B4-BE49-F238E27FC236}">
                  <a16:creationId xmlns:a16="http://schemas.microsoft.com/office/drawing/2014/main" id="{01DA2769-C440-4563-AF1D-F24A381E5731}"/>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249</xdr:row>
          <xdr:rowOff>9525</xdr:rowOff>
        </xdr:from>
        <xdr:to>
          <xdr:col>3</xdr:col>
          <xdr:colOff>19050</xdr:colOff>
          <xdr:row>249</xdr:row>
          <xdr:rowOff>485775</xdr:rowOff>
        </xdr:to>
        <xdr:sp macro="" textlink="">
          <xdr:nvSpPr>
            <xdr:cNvPr id="1273" name="Check Box 249" hidden="1">
              <a:extLst>
                <a:ext uri="{63B3BB69-23CF-44E3-9099-C40C66FF867C}">
                  <a14:compatExt spid="_x0000_s1273"/>
                </a:ext>
                <a:ext uri="{FF2B5EF4-FFF2-40B4-BE49-F238E27FC236}">
                  <a16:creationId xmlns:a16="http://schemas.microsoft.com/office/drawing/2014/main" id="{A73CC302-C6A7-4C72-A87A-00F89BB2C57E}"/>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250</xdr:row>
          <xdr:rowOff>9525</xdr:rowOff>
        </xdr:from>
        <xdr:to>
          <xdr:col>3</xdr:col>
          <xdr:colOff>19050</xdr:colOff>
          <xdr:row>250</xdr:row>
          <xdr:rowOff>485775</xdr:rowOff>
        </xdr:to>
        <xdr:sp macro="" textlink="">
          <xdr:nvSpPr>
            <xdr:cNvPr id="1274" name="Check Box 250" hidden="1">
              <a:extLst>
                <a:ext uri="{63B3BB69-23CF-44E3-9099-C40C66FF867C}">
                  <a14:compatExt spid="_x0000_s1274"/>
                </a:ext>
                <a:ext uri="{FF2B5EF4-FFF2-40B4-BE49-F238E27FC236}">
                  <a16:creationId xmlns:a16="http://schemas.microsoft.com/office/drawing/2014/main" id="{28576602-E54A-485E-A214-150A595685D1}"/>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251</xdr:row>
          <xdr:rowOff>9525</xdr:rowOff>
        </xdr:from>
        <xdr:to>
          <xdr:col>3</xdr:col>
          <xdr:colOff>19050</xdr:colOff>
          <xdr:row>251</xdr:row>
          <xdr:rowOff>485775</xdr:rowOff>
        </xdr:to>
        <xdr:sp macro="" textlink="">
          <xdr:nvSpPr>
            <xdr:cNvPr id="1275" name="Check Box 251" hidden="1">
              <a:extLst>
                <a:ext uri="{63B3BB69-23CF-44E3-9099-C40C66FF867C}">
                  <a14:compatExt spid="_x0000_s1275"/>
                </a:ext>
                <a:ext uri="{FF2B5EF4-FFF2-40B4-BE49-F238E27FC236}">
                  <a16:creationId xmlns:a16="http://schemas.microsoft.com/office/drawing/2014/main" id="{06974668-D4C7-4112-88D6-658F97011D5E}"/>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252</xdr:row>
          <xdr:rowOff>9525</xdr:rowOff>
        </xdr:from>
        <xdr:to>
          <xdr:col>3</xdr:col>
          <xdr:colOff>19050</xdr:colOff>
          <xdr:row>252</xdr:row>
          <xdr:rowOff>485775</xdr:rowOff>
        </xdr:to>
        <xdr:sp macro="" textlink="">
          <xdr:nvSpPr>
            <xdr:cNvPr id="1276" name="Check Box 252" hidden="1">
              <a:extLst>
                <a:ext uri="{63B3BB69-23CF-44E3-9099-C40C66FF867C}">
                  <a14:compatExt spid="_x0000_s1276"/>
                </a:ext>
                <a:ext uri="{FF2B5EF4-FFF2-40B4-BE49-F238E27FC236}">
                  <a16:creationId xmlns:a16="http://schemas.microsoft.com/office/drawing/2014/main" id="{225D5462-6192-4833-B3B3-B5D8B1F2EC21}"/>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253</xdr:row>
          <xdr:rowOff>9525</xdr:rowOff>
        </xdr:from>
        <xdr:to>
          <xdr:col>3</xdr:col>
          <xdr:colOff>19050</xdr:colOff>
          <xdr:row>253</xdr:row>
          <xdr:rowOff>485775</xdr:rowOff>
        </xdr:to>
        <xdr:sp macro="" textlink="">
          <xdr:nvSpPr>
            <xdr:cNvPr id="1277" name="Check Box 253" hidden="1">
              <a:extLst>
                <a:ext uri="{63B3BB69-23CF-44E3-9099-C40C66FF867C}">
                  <a14:compatExt spid="_x0000_s1277"/>
                </a:ext>
                <a:ext uri="{FF2B5EF4-FFF2-40B4-BE49-F238E27FC236}">
                  <a16:creationId xmlns:a16="http://schemas.microsoft.com/office/drawing/2014/main" id="{3670DC11-5E5B-4C1E-B3C9-AD68AC8BE0D2}"/>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254</xdr:row>
          <xdr:rowOff>9525</xdr:rowOff>
        </xdr:from>
        <xdr:to>
          <xdr:col>3</xdr:col>
          <xdr:colOff>19050</xdr:colOff>
          <xdr:row>254</xdr:row>
          <xdr:rowOff>485775</xdr:rowOff>
        </xdr:to>
        <xdr:sp macro="" textlink="">
          <xdr:nvSpPr>
            <xdr:cNvPr id="1278" name="Check Box 254" hidden="1">
              <a:extLst>
                <a:ext uri="{63B3BB69-23CF-44E3-9099-C40C66FF867C}">
                  <a14:compatExt spid="_x0000_s1278"/>
                </a:ext>
                <a:ext uri="{FF2B5EF4-FFF2-40B4-BE49-F238E27FC236}">
                  <a16:creationId xmlns:a16="http://schemas.microsoft.com/office/drawing/2014/main" id="{A3DBF581-E406-4CF7-A231-36EE552A6A4D}"/>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255</xdr:row>
          <xdr:rowOff>9525</xdr:rowOff>
        </xdr:from>
        <xdr:to>
          <xdr:col>3</xdr:col>
          <xdr:colOff>19050</xdr:colOff>
          <xdr:row>255</xdr:row>
          <xdr:rowOff>485775</xdr:rowOff>
        </xdr:to>
        <xdr:sp macro="" textlink="">
          <xdr:nvSpPr>
            <xdr:cNvPr id="1279" name="Check Box 255" hidden="1">
              <a:extLst>
                <a:ext uri="{63B3BB69-23CF-44E3-9099-C40C66FF867C}">
                  <a14:compatExt spid="_x0000_s1279"/>
                </a:ext>
                <a:ext uri="{FF2B5EF4-FFF2-40B4-BE49-F238E27FC236}">
                  <a16:creationId xmlns:a16="http://schemas.microsoft.com/office/drawing/2014/main" id="{25249061-7B22-4744-8A37-D62D7609E37C}"/>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256</xdr:row>
          <xdr:rowOff>9525</xdr:rowOff>
        </xdr:from>
        <xdr:to>
          <xdr:col>3</xdr:col>
          <xdr:colOff>19050</xdr:colOff>
          <xdr:row>256</xdr:row>
          <xdr:rowOff>485775</xdr:rowOff>
        </xdr:to>
        <xdr:sp macro="" textlink="">
          <xdr:nvSpPr>
            <xdr:cNvPr id="1280" name="Check Box 256" hidden="1">
              <a:extLst>
                <a:ext uri="{63B3BB69-23CF-44E3-9099-C40C66FF867C}">
                  <a14:compatExt spid="_x0000_s1280"/>
                </a:ext>
                <a:ext uri="{FF2B5EF4-FFF2-40B4-BE49-F238E27FC236}">
                  <a16:creationId xmlns:a16="http://schemas.microsoft.com/office/drawing/2014/main" id="{EC9E0F25-DAF6-4ED4-A2EA-DFEB4649B414}"/>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257</xdr:row>
          <xdr:rowOff>9525</xdr:rowOff>
        </xdr:from>
        <xdr:to>
          <xdr:col>3</xdr:col>
          <xdr:colOff>19050</xdr:colOff>
          <xdr:row>257</xdr:row>
          <xdr:rowOff>485775</xdr:rowOff>
        </xdr:to>
        <xdr:sp macro="" textlink="">
          <xdr:nvSpPr>
            <xdr:cNvPr id="1281" name="Check Box 257" hidden="1">
              <a:extLst>
                <a:ext uri="{63B3BB69-23CF-44E3-9099-C40C66FF867C}">
                  <a14:compatExt spid="_x0000_s1281"/>
                </a:ext>
                <a:ext uri="{FF2B5EF4-FFF2-40B4-BE49-F238E27FC236}">
                  <a16:creationId xmlns:a16="http://schemas.microsoft.com/office/drawing/2014/main" id="{094B4536-3FBD-41B6-8182-DFA46FD2AE83}"/>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258</xdr:row>
          <xdr:rowOff>9525</xdr:rowOff>
        </xdr:from>
        <xdr:to>
          <xdr:col>3</xdr:col>
          <xdr:colOff>19050</xdr:colOff>
          <xdr:row>258</xdr:row>
          <xdr:rowOff>485775</xdr:rowOff>
        </xdr:to>
        <xdr:sp macro="" textlink="">
          <xdr:nvSpPr>
            <xdr:cNvPr id="1282" name="Check Box 258" hidden="1">
              <a:extLst>
                <a:ext uri="{63B3BB69-23CF-44E3-9099-C40C66FF867C}">
                  <a14:compatExt spid="_x0000_s1282"/>
                </a:ext>
                <a:ext uri="{FF2B5EF4-FFF2-40B4-BE49-F238E27FC236}">
                  <a16:creationId xmlns:a16="http://schemas.microsoft.com/office/drawing/2014/main" id="{111AB23A-633B-4AC4-B4C9-8027D117C46B}"/>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259</xdr:row>
          <xdr:rowOff>9525</xdr:rowOff>
        </xdr:from>
        <xdr:to>
          <xdr:col>3</xdr:col>
          <xdr:colOff>19050</xdr:colOff>
          <xdr:row>259</xdr:row>
          <xdr:rowOff>485775</xdr:rowOff>
        </xdr:to>
        <xdr:sp macro="" textlink="">
          <xdr:nvSpPr>
            <xdr:cNvPr id="1283" name="Check Box 259" hidden="1">
              <a:extLst>
                <a:ext uri="{63B3BB69-23CF-44E3-9099-C40C66FF867C}">
                  <a14:compatExt spid="_x0000_s1283"/>
                </a:ext>
                <a:ext uri="{FF2B5EF4-FFF2-40B4-BE49-F238E27FC236}">
                  <a16:creationId xmlns:a16="http://schemas.microsoft.com/office/drawing/2014/main" id="{FA5EA9BA-54E7-4D3D-B09B-D682908F912C}"/>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260</xdr:row>
          <xdr:rowOff>9525</xdr:rowOff>
        </xdr:from>
        <xdr:to>
          <xdr:col>3</xdr:col>
          <xdr:colOff>19050</xdr:colOff>
          <xdr:row>260</xdr:row>
          <xdr:rowOff>485775</xdr:rowOff>
        </xdr:to>
        <xdr:sp macro="" textlink="">
          <xdr:nvSpPr>
            <xdr:cNvPr id="1284" name="Check Box 260" hidden="1">
              <a:extLst>
                <a:ext uri="{63B3BB69-23CF-44E3-9099-C40C66FF867C}">
                  <a14:compatExt spid="_x0000_s1284"/>
                </a:ext>
                <a:ext uri="{FF2B5EF4-FFF2-40B4-BE49-F238E27FC236}">
                  <a16:creationId xmlns:a16="http://schemas.microsoft.com/office/drawing/2014/main" id="{63377F1C-C180-437C-8FBD-94BD0C584085}"/>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261</xdr:row>
          <xdr:rowOff>9525</xdr:rowOff>
        </xdr:from>
        <xdr:to>
          <xdr:col>3</xdr:col>
          <xdr:colOff>19050</xdr:colOff>
          <xdr:row>261</xdr:row>
          <xdr:rowOff>485775</xdr:rowOff>
        </xdr:to>
        <xdr:sp macro="" textlink="">
          <xdr:nvSpPr>
            <xdr:cNvPr id="1285" name="Check Box 261" hidden="1">
              <a:extLst>
                <a:ext uri="{63B3BB69-23CF-44E3-9099-C40C66FF867C}">
                  <a14:compatExt spid="_x0000_s1285"/>
                </a:ext>
                <a:ext uri="{FF2B5EF4-FFF2-40B4-BE49-F238E27FC236}">
                  <a16:creationId xmlns:a16="http://schemas.microsoft.com/office/drawing/2014/main" id="{5B57ED4C-DA27-4890-981D-EFC082113388}"/>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262</xdr:row>
          <xdr:rowOff>9525</xdr:rowOff>
        </xdr:from>
        <xdr:to>
          <xdr:col>3</xdr:col>
          <xdr:colOff>19050</xdr:colOff>
          <xdr:row>262</xdr:row>
          <xdr:rowOff>485775</xdr:rowOff>
        </xdr:to>
        <xdr:sp macro="" textlink="">
          <xdr:nvSpPr>
            <xdr:cNvPr id="1286" name="Check Box 262" hidden="1">
              <a:extLst>
                <a:ext uri="{63B3BB69-23CF-44E3-9099-C40C66FF867C}">
                  <a14:compatExt spid="_x0000_s1286"/>
                </a:ext>
                <a:ext uri="{FF2B5EF4-FFF2-40B4-BE49-F238E27FC236}">
                  <a16:creationId xmlns:a16="http://schemas.microsoft.com/office/drawing/2014/main" id="{6422DC06-3C1E-43A5-ABA0-A1A6EF220F2B}"/>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263</xdr:row>
          <xdr:rowOff>9525</xdr:rowOff>
        </xdr:from>
        <xdr:to>
          <xdr:col>3</xdr:col>
          <xdr:colOff>19050</xdr:colOff>
          <xdr:row>263</xdr:row>
          <xdr:rowOff>485775</xdr:rowOff>
        </xdr:to>
        <xdr:sp macro="" textlink="">
          <xdr:nvSpPr>
            <xdr:cNvPr id="1287" name="Check Box 263" hidden="1">
              <a:extLst>
                <a:ext uri="{63B3BB69-23CF-44E3-9099-C40C66FF867C}">
                  <a14:compatExt spid="_x0000_s1287"/>
                </a:ext>
                <a:ext uri="{FF2B5EF4-FFF2-40B4-BE49-F238E27FC236}">
                  <a16:creationId xmlns:a16="http://schemas.microsoft.com/office/drawing/2014/main" id="{00BFD07D-F38B-441C-909B-A8A900155BD2}"/>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264</xdr:row>
          <xdr:rowOff>9525</xdr:rowOff>
        </xdr:from>
        <xdr:to>
          <xdr:col>3</xdr:col>
          <xdr:colOff>19050</xdr:colOff>
          <xdr:row>264</xdr:row>
          <xdr:rowOff>485775</xdr:rowOff>
        </xdr:to>
        <xdr:sp macro="" textlink="">
          <xdr:nvSpPr>
            <xdr:cNvPr id="1288" name="Check Box 264" hidden="1">
              <a:extLst>
                <a:ext uri="{63B3BB69-23CF-44E3-9099-C40C66FF867C}">
                  <a14:compatExt spid="_x0000_s1288"/>
                </a:ext>
                <a:ext uri="{FF2B5EF4-FFF2-40B4-BE49-F238E27FC236}">
                  <a16:creationId xmlns:a16="http://schemas.microsoft.com/office/drawing/2014/main" id="{5529622C-8FFB-4C4F-BF32-24E8EBFDCDF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265</xdr:row>
          <xdr:rowOff>9525</xdr:rowOff>
        </xdr:from>
        <xdr:to>
          <xdr:col>3</xdr:col>
          <xdr:colOff>19050</xdr:colOff>
          <xdr:row>265</xdr:row>
          <xdr:rowOff>485775</xdr:rowOff>
        </xdr:to>
        <xdr:sp macro="" textlink="">
          <xdr:nvSpPr>
            <xdr:cNvPr id="1289" name="Check Box 265" hidden="1">
              <a:extLst>
                <a:ext uri="{63B3BB69-23CF-44E3-9099-C40C66FF867C}">
                  <a14:compatExt spid="_x0000_s1289"/>
                </a:ext>
                <a:ext uri="{FF2B5EF4-FFF2-40B4-BE49-F238E27FC236}">
                  <a16:creationId xmlns:a16="http://schemas.microsoft.com/office/drawing/2014/main" id="{5422AC20-1D7A-451F-87A1-A095BDF63581}"/>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266</xdr:row>
          <xdr:rowOff>9525</xdr:rowOff>
        </xdr:from>
        <xdr:to>
          <xdr:col>3</xdr:col>
          <xdr:colOff>19050</xdr:colOff>
          <xdr:row>266</xdr:row>
          <xdr:rowOff>485775</xdr:rowOff>
        </xdr:to>
        <xdr:sp macro="" textlink="">
          <xdr:nvSpPr>
            <xdr:cNvPr id="1290" name="Check Box 266" hidden="1">
              <a:extLst>
                <a:ext uri="{63B3BB69-23CF-44E3-9099-C40C66FF867C}">
                  <a14:compatExt spid="_x0000_s1290"/>
                </a:ext>
                <a:ext uri="{FF2B5EF4-FFF2-40B4-BE49-F238E27FC236}">
                  <a16:creationId xmlns:a16="http://schemas.microsoft.com/office/drawing/2014/main" id="{1FAF8D7E-ACD1-4A63-911D-D407D663058D}"/>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267</xdr:row>
          <xdr:rowOff>9525</xdr:rowOff>
        </xdr:from>
        <xdr:to>
          <xdr:col>3</xdr:col>
          <xdr:colOff>19050</xdr:colOff>
          <xdr:row>267</xdr:row>
          <xdr:rowOff>485775</xdr:rowOff>
        </xdr:to>
        <xdr:sp macro="" textlink="">
          <xdr:nvSpPr>
            <xdr:cNvPr id="1291" name="Check Box 267" hidden="1">
              <a:extLst>
                <a:ext uri="{63B3BB69-23CF-44E3-9099-C40C66FF867C}">
                  <a14:compatExt spid="_x0000_s1291"/>
                </a:ext>
                <a:ext uri="{FF2B5EF4-FFF2-40B4-BE49-F238E27FC236}">
                  <a16:creationId xmlns:a16="http://schemas.microsoft.com/office/drawing/2014/main" id="{4026CCE5-3947-479A-B6E6-7C2EB89DE5FF}"/>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268</xdr:row>
          <xdr:rowOff>9525</xdr:rowOff>
        </xdr:from>
        <xdr:to>
          <xdr:col>3</xdr:col>
          <xdr:colOff>19050</xdr:colOff>
          <xdr:row>268</xdr:row>
          <xdr:rowOff>485775</xdr:rowOff>
        </xdr:to>
        <xdr:sp macro="" textlink="">
          <xdr:nvSpPr>
            <xdr:cNvPr id="1292" name="Check Box 268" hidden="1">
              <a:extLst>
                <a:ext uri="{63B3BB69-23CF-44E3-9099-C40C66FF867C}">
                  <a14:compatExt spid="_x0000_s1292"/>
                </a:ext>
                <a:ext uri="{FF2B5EF4-FFF2-40B4-BE49-F238E27FC236}">
                  <a16:creationId xmlns:a16="http://schemas.microsoft.com/office/drawing/2014/main" id="{DC05D5AE-3738-410B-85CC-1E6F39C322C7}"/>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269</xdr:row>
          <xdr:rowOff>9525</xdr:rowOff>
        </xdr:from>
        <xdr:to>
          <xdr:col>3</xdr:col>
          <xdr:colOff>19050</xdr:colOff>
          <xdr:row>269</xdr:row>
          <xdr:rowOff>485775</xdr:rowOff>
        </xdr:to>
        <xdr:sp macro="" textlink="">
          <xdr:nvSpPr>
            <xdr:cNvPr id="1293" name="Check Box 269" hidden="1">
              <a:extLst>
                <a:ext uri="{63B3BB69-23CF-44E3-9099-C40C66FF867C}">
                  <a14:compatExt spid="_x0000_s1293"/>
                </a:ext>
                <a:ext uri="{FF2B5EF4-FFF2-40B4-BE49-F238E27FC236}">
                  <a16:creationId xmlns:a16="http://schemas.microsoft.com/office/drawing/2014/main" id="{EB0CA7EF-CBA9-4C61-B85A-355F1B1F199A}"/>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270</xdr:row>
          <xdr:rowOff>9525</xdr:rowOff>
        </xdr:from>
        <xdr:to>
          <xdr:col>3</xdr:col>
          <xdr:colOff>19050</xdr:colOff>
          <xdr:row>270</xdr:row>
          <xdr:rowOff>485775</xdr:rowOff>
        </xdr:to>
        <xdr:sp macro="" textlink="">
          <xdr:nvSpPr>
            <xdr:cNvPr id="1294" name="Check Box 270" hidden="1">
              <a:extLst>
                <a:ext uri="{63B3BB69-23CF-44E3-9099-C40C66FF867C}">
                  <a14:compatExt spid="_x0000_s1294"/>
                </a:ext>
                <a:ext uri="{FF2B5EF4-FFF2-40B4-BE49-F238E27FC236}">
                  <a16:creationId xmlns:a16="http://schemas.microsoft.com/office/drawing/2014/main" id="{5F8A6F0C-F01B-44A0-A1D6-F5B1E22A9BC9}"/>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271</xdr:row>
          <xdr:rowOff>9525</xdr:rowOff>
        </xdr:from>
        <xdr:to>
          <xdr:col>3</xdr:col>
          <xdr:colOff>19050</xdr:colOff>
          <xdr:row>271</xdr:row>
          <xdr:rowOff>485775</xdr:rowOff>
        </xdr:to>
        <xdr:sp macro="" textlink="">
          <xdr:nvSpPr>
            <xdr:cNvPr id="1295" name="Check Box 271" hidden="1">
              <a:extLst>
                <a:ext uri="{63B3BB69-23CF-44E3-9099-C40C66FF867C}">
                  <a14:compatExt spid="_x0000_s1295"/>
                </a:ext>
                <a:ext uri="{FF2B5EF4-FFF2-40B4-BE49-F238E27FC236}">
                  <a16:creationId xmlns:a16="http://schemas.microsoft.com/office/drawing/2014/main" id="{AE9C8E6F-CDB7-4155-AE90-188B0E8E637A}"/>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272</xdr:row>
          <xdr:rowOff>9525</xdr:rowOff>
        </xdr:from>
        <xdr:to>
          <xdr:col>3</xdr:col>
          <xdr:colOff>19050</xdr:colOff>
          <xdr:row>272</xdr:row>
          <xdr:rowOff>485775</xdr:rowOff>
        </xdr:to>
        <xdr:sp macro="" textlink="">
          <xdr:nvSpPr>
            <xdr:cNvPr id="1296" name="Check Box 272" hidden="1">
              <a:extLst>
                <a:ext uri="{63B3BB69-23CF-44E3-9099-C40C66FF867C}">
                  <a14:compatExt spid="_x0000_s1296"/>
                </a:ext>
                <a:ext uri="{FF2B5EF4-FFF2-40B4-BE49-F238E27FC236}">
                  <a16:creationId xmlns:a16="http://schemas.microsoft.com/office/drawing/2014/main" id="{35E22F2C-8979-4AB7-8708-A5D66691FF18}"/>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273</xdr:row>
          <xdr:rowOff>9525</xdr:rowOff>
        </xdr:from>
        <xdr:to>
          <xdr:col>3</xdr:col>
          <xdr:colOff>19050</xdr:colOff>
          <xdr:row>273</xdr:row>
          <xdr:rowOff>485775</xdr:rowOff>
        </xdr:to>
        <xdr:sp macro="" textlink="">
          <xdr:nvSpPr>
            <xdr:cNvPr id="1297" name="Check Box 273" hidden="1">
              <a:extLst>
                <a:ext uri="{63B3BB69-23CF-44E3-9099-C40C66FF867C}">
                  <a14:compatExt spid="_x0000_s1297"/>
                </a:ext>
                <a:ext uri="{FF2B5EF4-FFF2-40B4-BE49-F238E27FC236}">
                  <a16:creationId xmlns:a16="http://schemas.microsoft.com/office/drawing/2014/main" id="{FE3CCB31-CA32-43EA-8B3C-F72CC29F2D51}"/>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274</xdr:row>
          <xdr:rowOff>9525</xdr:rowOff>
        </xdr:from>
        <xdr:to>
          <xdr:col>3</xdr:col>
          <xdr:colOff>19050</xdr:colOff>
          <xdr:row>274</xdr:row>
          <xdr:rowOff>485775</xdr:rowOff>
        </xdr:to>
        <xdr:sp macro="" textlink="">
          <xdr:nvSpPr>
            <xdr:cNvPr id="1298" name="Check Box 274" hidden="1">
              <a:extLst>
                <a:ext uri="{63B3BB69-23CF-44E3-9099-C40C66FF867C}">
                  <a14:compatExt spid="_x0000_s1298"/>
                </a:ext>
                <a:ext uri="{FF2B5EF4-FFF2-40B4-BE49-F238E27FC236}">
                  <a16:creationId xmlns:a16="http://schemas.microsoft.com/office/drawing/2014/main" id="{C9F94F84-06EF-4526-8F5B-3AAC33C149CD}"/>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275</xdr:row>
          <xdr:rowOff>9525</xdr:rowOff>
        </xdr:from>
        <xdr:to>
          <xdr:col>3</xdr:col>
          <xdr:colOff>19050</xdr:colOff>
          <xdr:row>275</xdr:row>
          <xdr:rowOff>485775</xdr:rowOff>
        </xdr:to>
        <xdr:sp macro="" textlink="">
          <xdr:nvSpPr>
            <xdr:cNvPr id="1299" name="Check Box 275" hidden="1">
              <a:extLst>
                <a:ext uri="{63B3BB69-23CF-44E3-9099-C40C66FF867C}">
                  <a14:compatExt spid="_x0000_s1299"/>
                </a:ext>
                <a:ext uri="{FF2B5EF4-FFF2-40B4-BE49-F238E27FC236}">
                  <a16:creationId xmlns:a16="http://schemas.microsoft.com/office/drawing/2014/main" id="{665C87F5-DB4B-4A30-B377-78C5E50DE6B3}"/>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276</xdr:row>
          <xdr:rowOff>9525</xdr:rowOff>
        </xdr:from>
        <xdr:to>
          <xdr:col>3</xdr:col>
          <xdr:colOff>19050</xdr:colOff>
          <xdr:row>276</xdr:row>
          <xdr:rowOff>485775</xdr:rowOff>
        </xdr:to>
        <xdr:sp macro="" textlink="">
          <xdr:nvSpPr>
            <xdr:cNvPr id="1300" name="Check Box 276" hidden="1">
              <a:extLst>
                <a:ext uri="{63B3BB69-23CF-44E3-9099-C40C66FF867C}">
                  <a14:compatExt spid="_x0000_s1300"/>
                </a:ext>
                <a:ext uri="{FF2B5EF4-FFF2-40B4-BE49-F238E27FC236}">
                  <a16:creationId xmlns:a16="http://schemas.microsoft.com/office/drawing/2014/main" id="{6775802A-B740-477A-AC85-704D596562ED}"/>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277</xdr:row>
          <xdr:rowOff>9525</xdr:rowOff>
        </xdr:from>
        <xdr:to>
          <xdr:col>3</xdr:col>
          <xdr:colOff>19050</xdr:colOff>
          <xdr:row>277</xdr:row>
          <xdr:rowOff>485775</xdr:rowOff>
        </xdr:to>
        <xdr:sp macro="" textlink="">
          <xdr:nvSpPr>
            <xdr:cNvPr id="1301" name="Check Box 277" hidden="1">
              <a:extLst>
                <a:ext uri="{63B3BB69-23CF-44E3-9099-C40C66FF867C}">
                  <a14:compatExt spid="_x0000_s1301"/>
                </a:ext>
                <a:ext uri="{FF2B5EF4-FFF2-40B4-BE49-F238E27FC236}">
                  <a16:creationId xmlns:a16="http://schemas.microsoft.com/office/drawing/2014/main" id="{40CA786D-04ED-4D9A-A2DA-643C441EF91F}"/>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278</xdr:row>
          <xdr:rowOff>9525</xdr:rowOff>
        </xdr:from>
        <xdr:to>
          <xdr:col>3</xdr:col>
          <xdr:colOff>19050</xdr:colOff>
          <xdr:row>278</xdr:row>
          <xdr:rowOff>485775</xdr:rowOff>
        </xdr:to>
        <xdr:sp macro="" textlink="">
          <xdr:nvSpPr>
            <xdr:cNvPr id="1302" name="Check Box 278" hidden="1">
              <a:extLst>
                <a:ext uri="{63B3BB69-23CF-44E3-9099-C40C66FF867C}">
                  <a14:compatExt spid="_x0000_s1302"/>
                </a:ext>
                <a:ext uri="{FF2B5EF4-FFF2-40B4-BE49-F238E27FC236}">
                  <a16:creationId xmlns:a16="http://schemas.microsoft.com/office/drawing/2014/main" id="{651E1DF0-4656-4B1A-997A-2C2DD7CD17DE}"/>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279</xdr:row>
          <xdr:rowOff>9525</xdr:rowOff>
        </xdr:from>
        <xdr:to>
          <xdr:col>3</xdr:col>
          <xdr:colOff>19050</xdr:colOff>
          <xdr:row>279</xdr:row>
          <xdr:rowOff>485775</xdr:rowOff>
        </xdr:to>
        <xdr:sp macro="" textlink="">
          <xdr:nvSpPr>
            <xdr:cNvPr id="1303" name="Check Box 279" hidden="1">
              <a:extLst>
                <a:ext uri="{63B3BB69-23CF-44E3-9099-C40C66FF867C}">
                  <a14:compatExt spid="_x0000_s1303"/>
                </a:ext>
                <a:ext uri="{FF2B5EF4-FFF2-40B4-BE49-F238E27FC236}">
                  <a16:creationId xmlns:a16="http://schemas.microsoft.com/office/drawing/2014/main" id="{ED942044-2E1D-4308-9D83-12EB0EA05AA2}"/>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280</xdr:row>
          <xdr:rowOff>9525</xdr:rowOff>
        </xdr:from>
        <xdr:to>
          <xdr:col>3</xdr:col>
          <xdr:colOff>19050</xdr:colOff>
          <xdr:row>280</xdr:row>
          <xdr:rowOff>485775</xdr:rowOff>
        </xdr:to>
        <xdr:sp macro="" textlink="">
          <xdr:nvSpPr>
            <xdr:cNvPr id="1304" name="Check Box 280" hidden="1">
              <a:extLst>
                <a:ext uri="{63B3BB69-23CF-44E3-9099-C40C66FF867C}">
                  <a14:compatExt spid="_x0000_s1304"/>
                </a:ext>
                <a:ext uri="{FF2B5EF4-FFF2-40B4-BE49-F238E27FC236}">
                  <a16:creationId xmlns:a16="http://schemas.microsoft.com/office/drawing/2014/main" id="{99868F9D-7E01-4FB0-AFC7-E17964D3110D}"/>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281</xdr:row>
          <xdr:rowOff>9525</xdr:rowOff>
        </xdr:from>
        <xdr:to>
          <xdr:col>3</xdr:col>
          <xdr:colOff>19050</xdr:colOff>
          <xdr:row>281</xdr:row>
          <xdr:rowOff>485775</xdr:rowOff>
        </xdr:to>
        <xdr:sp macro="" textlink="">
          <xdr:nvSpPr>
            <xdr:cNvPr id="1305" name="Check Box 281" hidden="1">
              <a:extLst>
                <a:ext uri="{63B3BB69-23CF-44E3-9099-C40C66FF867C}">
                  <a14:compatExt spid="_x0000_s1305"/>
                </a:ext>
                <a:ext uri="{FF2B5EF4-FFF2-40B4-BE49-F238E27FC236}">
                  <a16:creationId xmlns:a16="http://schemas.microsoft.com/office/drawing/2014/main" id="{C7C6D40C-9684-4A6E-B811-2195B967CFA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282</xdr:row>
          <xdr:rowOff>9525</xdr:rowOff>
        </xdr:from>
        <xdr:to>
          <xdr:col>3</xdr:col>
          <xdr:colOff>19050</xdr:colOff>
          <xdr:row>282</xdr:row>
          <xdr:rowOff>485775</xdr:rowOff>
        </xdr:to>
        <xdr:sp macro="" textlink="">
          <xdr:nvSpPr>
            <xdr:cNvPr id="1306" name="Check Box 282" hidden="1">
              <a:extLst>
                <a:ext uri="{63B3BB69-23CF-44E3-9099-C40C66FF867C}">
                  <a14:compatExt spid="_x0000_s1306"/>
                </a:ext>
                <a:ext uri="{FF2B5EF4-FFF2-40B4-BE49-F238E27FC236}">
                  <a16:creationId xmlns:a16="http://schemas.microsoft.com/office/drawing/2014/main" id="{5563FBDC-B0F3-4323-957F-7E7CB880482F}"/>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283</xdr:row>
          <xdr:rowOff>9525</xdr:rowOff>
        </xdr:from>
        <xdr:to>
          <xdr:col>3</xdr:col>
          <xdr:colOff>19050</xdr:colOff>
          <xdr:row>283</xdr:row>
          <xdr:rowOff>485775</xdr:rowOff>
        </xdr:to>
        <xdr:sp macro="" textlink="">
          <xdr:nvSpPr>
            <xdr:cNvPr id="1307" name="Check Box 283" hidden="1">
              <a:extLst>
                <a:ext uri="{63B3BB69-23CF-44E3-9099-C40C66FF867C}">
                  <a14:compatExt spid="_x0000_s1307"/>
                </a:ext>
                <a:ext uri="{FF2B5EF4-FFF2-40B4-BE49-F238E27FC236}">
                  <a16:creationId xmlns:a16="http://schemas.microsoft.com/office/drawing/2014/main" id="{4D85B80A-79A0-4114-A507-1DD9BDD6F5F6}"/>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284</xdr:row>
          <xdr:rowOff>9525</xdr:rowOff>
        </xdr:from>
        <xdr:to>
          <xdr:col>3</xdr:col>
          <xdr:colOff>19050</xdr:colOff>
          <xdr:row>284</xdr:row>
          <xdr:rowOff>485775</xdr:rowOff>
        </xdr:to>
        <xdr:sp macro="" textlink="">
          <xdr:nvSpPr>
            <xdr:cNvPr id="1308" name="Check Box 284" hidden="1">
              <a:extLst>
                <a:ext uri="{63B3BB69-23CF-44E3-9099-C40C66FF867C}">
                  <a14:compatExt spid="_x0000_s1308"/>
                </a:ext>
                <a:ext uri="{FF2B5EF4-FFF2-40B4-BE49-F238E27FC236}">
                  <a16:creationId xmlns:a16="http://schemas.microsoft.com/office/drawing/2014/main" id="{30DDA67B-CD23-49E0-86D5-17123AD98F9B}"/>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285</xdr:row>
          <xdr:rowOff>9525</xdr:rowOff>
        </xdr:from>
        <xdr:to>
          <xdr:col>3</xdr:col>
          <xdr:colOff>19050</xdr:colOff>
          <xdr:row>285</xdr:row>
          <xdr:rowOff>485775</xdr:rowOff>
        </xdr:to>
        <xdr:sp macro="" textlink="">
          <xdr:nvSpPr>
            <xdr:cNvPr id="1309" name="Check Box 285" hidden="1">
              <a:extLst>
                <a:ext uri="{63B3BB69-23CF-44E3-9099-C40C66FF867C}">
                  <a14:compatExt spid="_x0000_s1309"/>
                </a:ext>
                <a:ext uri="{FF2B5EF4-FFF2-40B4-BE49-F238E27FC236}">
                  <a16:creationId xmlns:a16="http://schemas.microsoft.com/office/drawing/2014/main" id="{DFA49CFB-0476-4B7F-88B9-24368F68A74D}"/>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286</xdr:row>
          <xdr:rowOff>9525</xdr:rowOff>
        </xdr:from>
        <xdr:to>
          <xdr:col>3</xdr:col>
          <xdr:colOff>19050</xdr:colOff>
          <xdr:row>286</xdr:row>
          <xdr:rowOff>485775</xdr:rowOff>
        </xdr:to>
        <xdr:sp macro="" textlink="">
          <xdr:nvSpPr>
            <xdr:cNvPr id="1310" name="Check Box 286" hidden="1">
              <a:extLst>
                <a:ext uri="{63B3BB69-23CF-44E3-9099-C40C66FF867C}">
                  <a14:compatExt spid="_x0000_s1310"/>
                </a:ext>
                <a:ext uri="{FF2B5EF4-FFF2-40B4-BE49-F238E27FC236}">
                  <a16:creationId xmlns:a16="http://schemas.microsoft.com/office/drawing/2014/main" id="{5A3F1F1F-C7B9-4AF9-A2C4-0F848A254DA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287</xdr:row>
          <xdr:rowOff>9525</xdr:rowOff>
        </xdr:from>
        <xdr:to>
          <xdr:col>3</xdr:col>
          <xdr:colOff>19050</xdr:colOff>
          <xdr:row>287</xdr:row>
          <xdr:rowOff>485775</xdr:rowOff>
        </xdr:to>
        <xdr:sp macro="" textlink="">
          <xdr:nvSpPr>
            <xdr:cNvPr id="1311" name="Check Box 287" hidden="1">
              <a:extLst>
                <a:ext uri="{63B3BB69-23CF-44E3-9099-C40C66FF867C}">
                  <a14:compatExt spid="_x0000_s1311"/>
                </a:ext>
                <a:ext uri="{FF2B5EF4-FFF2-40B4-BE49-F238E27FC236}">
                  <a16:creationId xmlns:a16="http://schemas.microsoft.com/office/drawing/2014/main" id="{C2C391F8-1E25-40F2-8AC3-840AF176A521}"/>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288</xdr:row>
          <xdr:rowOff>9525</xdr:rowOff>
        </xdr:from>
        <xdr:to>
          <xdr:col>3</xdr:col>
          <xdr:colOff>19050</xdr:colOff>
          <xdr:row>288</xdr:row>
          <xdr:rowOff>485775</xdr:rowOff>
        </xdr:to>
        <xdr:sp macro="" textlink="">
          <xdr:nvSpPr>
            <xdr:cNvPr id="1312" name="Check Box 288" hidden="1">
              <a:extLst>
                <a:ext uri="{63B3BB69-23CF-44E3-9099-C40C66FF867C}">
                  <a14:compatExt spid="_x0000_s1312"/>
                </a:ext>
                <a:ext uri="{FF2B5EF4-FFF2-40B4-BE49-F238E27FC236}">
                  <a16:creationId xmlns:a16="http://schemas.microsoft.com/office/drawing/2014/main" id="{020698FC-7699-44FF-A214-EFFC4675DAF2}"/>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289</xdr:row>
          <xdr:rowOff>9525</xdr:rowOff>
        </xdr:from>
        <xdr:to>
          <xdr:col>3</xdr:col>
          <xdr:colOff>19050</xdr:colOff>
          <xdr:row>289</xdr:row>
          <xdr:rowOff>485775</xdr:rowOff>
        </xdr:to>
        <xdr:sp macro="" textlink="">
          <xdr:nvSpPr>
            <xdr:cNvPr id="1313" name="Check Box 289" hidden="1">
              <a:extLst>
                <a:ext uri="{63B3BB69-23CF-44E3-9099-C40C66FF867C}">
                  <a14:compatExt spid="_x0000_s1313"/>
                </a:ext>
                <a:ext uri="{FF2B5EF4-FFF2-40B4-BE49-F238E27FC236}">
                  <a16:creationId xmlns:a16="http://schemas.microsoft.com/office/drawing/2014/main" id="{945B7252-014B-490B-9F9F-24371BB1D623}"/>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290</xdr:row>
          <xdr:rowOff>9525</xdr:rowOff>
        </xdr:from>
        <xdr:to>
          <xdr:col>3</xdr:col>
          <xdr:colOff>19050</xdr:colOff>
          <xdr:row>290</xdr:row>
          <xdr:rowOff>485775</xdr:rowOff>
        </xdr:to>
        <xdr:sp macro="" textlink="">
          <xdr:nvSpPr>
            <xdr:cNvPr id="1314" name="Check Box 290" hidden="1">
              <a:extLst>
                <a:ext uri="{63B3BB69-23CF-44E3-9099-C40C66FF867C}">
                  <a14:compatExt spid="_x0000_s1314"/>
                </a:ext>
                <a:ext uri="{FF2B5EF4-FFF2-40B4-BE49-F238E27FC236}">
                  <a16:creationId xmlns:a16="http://schemas.microsoft.com/office/drawing/2014/main" id="{1A55B5B2-71F8-4CCD-ADAB-7C3E0ED3D6A5}"/>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291</xdr:row>
          <xdr:rowOff>9525</xdr:rowOff>
        </xdr:from>
        <xdr:to>
          <xdr:col>3</xdr:col>
          <xdr:colOff>19050</xdr:colOff>
          <xdr:row>291</xdr:row>
          <xdr:rowOff>485775</xdr:rowOff>
        </xdr:to>
        <xdr:sp macro="" textlink="">
          <xdr:nvSpPr>
            <xdr:cNvPr id="1315" name="Check Box 291" hidden="1">
              <a:extLst>
                <a:ext uri="{63B3BB69-23CF-44E3-9099-C40C66FF867C}">
                  <a14:compatExt spid="_x0000_s1315"/>
                </a:ext>
                <a:ext uri="{FF2B5EF4-FFF2-40B4-BE49-F238E27FC236}">
                  <a16:creationId xmlns:a16="http://schemas.microsoft.com/office/drawing/2014/main" id="{921735D6-7C03-4B88-A44C-75C825313CB5}"/>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292</xdr:row>
          <xdr:rowOff>9525</xdr:rowOff>
        </xdr:from>
        <xdr:to>
          <xdr:col>3</xdr:col>
          <xdr:colOff>19050</xdr:colOff>
          <xdr:row>292</xdr:row>
          <xdr:rowOff>485775</xdr:rowOff>
        </xdr:to>
        <xdr:sp macro="" textlink="">
          <xdr:nvSpPr>
            <xdr:cNvPr id="1316" name="Check Box 292" hidden="1">
              <a:extLst>
                <a:ext uri="{63B3BB69-23CF-44E3-9099-C40C66FF867C}">
                  <a14:compatExt spid="_x0000_s1316"/>
                </a:ext>
                <a:ext uri="{FF2B5EF4-FFF2-40B4-BE49-F238E27FC236}">
                  <a16:creationId xmlns:a16="http://schemas.microsoft.com/office/drawing/2014/main" id="{9EFA766E-592B-48F3-AC3C-0126D7A35271}"/>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293</xdr:row>
          <xdr:rowOff>9525</xdr:rowOff>
        </xdr:from>
        <xdr:to>
          <xdr:col>3</xdr:col>
          <xdr:colOff>19050</xdr:colOff>
          <xdr:row>293</xdr:row>
          <xdr:rowOff>485775</xdr:rowOff>
        </xdr:to>
        <xdr:sp macro="" textlink="">
          <xdr:nvSpPr>
            <xdr:cNvPr id="1317" name="Check Box 293" hidden="1">
              <a:extLst>
                <a:ext uri="{63B3BB69-23CF-44E3-9099-C40C66FF867C}">
                  <a14:compatExt spid="_x0000_s1317"/>
                </a:ext>
                <a:ext uri="{FF2B5EF4-FFF2-40B4-BE49-F238E27FC236}">
                  <a16:creationId xmlns:a16="http://schemas.microsoft.com/office/drawing/2014/main" id="{7BAB5F39-7E9A-468D-9503-44F676E82039}"/>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294</xdr:row>
          <xdr:rowOff>9525</xdr:rowOff>
        </xdr:from>
        <xdr:to>
          <xdr:col>3</xdr:col>
          <xdr:colOff>19050</xdr:colOff>
          <xdr:row>294</xdr:row>
          <xdr:rowOff>485775</xdr:rowOff>
        </xdr:to>
        <xdr:sp macro="" textlink="">
          <xdr:nvSpPr>
            <xdr:cNvPr id="1318" name="Check Box 294" hidden="1">
              <a:extLst>
                <a:ext uri="{63B3BB69-23CF-44E3-9099-C40C66FF867C}">
                  <a14:compatExt spid="_x0000_s1318"/>
                </a:ext>
                <a:ext uri="{FF2B5EF4-FFF2-40B4-BE49-F238E27FC236}">
                  <a16:creationId xmlns:a16="http://schemas.microsoft.com/office/drawing/2014/main" id="{CDCD8069-B6DD-4349-A213-BF25F76E9BD1}"/>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295</xdr:row>
          <xdr:rowOff>9525</xdr:rowOff>
        </xdr:from>
        <xdr:to>
          <xdr:col>3</xdr:col>
          <xdr:colOff>19050</xdr:colOff>
          <xdr:row>295</xdr:row>
          <xdr:rowOff>485775</xdr:rowOff>
        </xdr:to>
        <xdr:sp macro="" textlink="">
          <xdr:nvSpPr>
            <xdr:cNvPr id="1319" name="Check Box 295" hidden="1">
              <a:extLst>
                <a:ext uri="{63B3BB69-23CF-44E3-9099-C40C66FF867C}">
                  <a14:compatExt spid="_x0000_s1319"/>
                </a:ext>
                <a:ext uri="{FF2B5EF4-FFF2-40B4-BE49-F238E27FC236}">
                  <a16:creationId xmlns:a16="http://schemas.microsoft.com/office/drawing/2014/main" id="{732FA7AF-A086-4C31-B6CF-C0EF2D2E7F6F}"/>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296</xdr:row>
          <xdr:rowOff>9525</xdr:rowOff>
        </xdr:from>
        <xdr:to>
          <xdr:col>3</xdr:col>
          <xdr:colOff>19050</xdr:colOff>
          <xdr:row>296</xdr:row>
          <xdr:rowOff>485775</xdr:rowOff>
        </xdr:to>
        <xdr:sp macro="" textlink="">
          <xdr:nvSpPr>
            <xdr:cNvPr id="1320" name="Check Box 296" hidden="1">
              <a:extLst>
                <a:ext uri="{63B3BB69-23CF-44E3-9099-C40C66FF867C}">
                  <a14:compatExt spid="_x0000_s1320"/>
                </a:ext>
                <a:ext uri="{FF2B5EF4-FFF2-40B4-BE49-F238E27FC236}">
                  <a16:creationId xmlns:a16="http://schemas.microsoft.com/office/drawing/2014/main" id="{7C2E1954-6731-489E-AA40-3443B67D2C6E}"/>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297</xdr:row>
          <xdr:rowOff>9525</xdr:rowOff>
        </xdr:from>
        <xdr:to>
          <xdr:col>3</xdr:col>
          <xdr:colOff>19050</xdr:colOff>
          <xdr:row>297</xdr:row>
          <xdr:rowOff>485775</xdr:rowOff>
        </xdr:to>
        <xdr:sp macro="" textlink="">
          <xdr:nvSpPr>
            <xdr:cNvPr id="1321" name="Check Box 297" hidden="1">
              <a:extLst>
                <a:ext uri="{63B3BB69-23CF-44E3-9099-C40C66FF867C}">
                  <a14:compatExt spid="_x0000_s1321"/>
                </a:ext>
                <a:ext uri="{FF2B5EF4-FFF2-40B4-BE49-F238E27FC236}">
                  <a16:creationId xmlns:a16="http://schemas.microsoft.com/office/drawing/2014/main" id="{7A16F56A-72C9-4E34-9FBC-EFC535358AC9}"/>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298</xdr:row>
          <xdr:rowOff>9525</xdr:rowOff>
        </xdr:from>
        <xdr:to>
          <xdr:col>3</xdr:col>
          <xdr:colOff>19050</xdr:colOff>
          <xdr:row>298</xdr:row>
          <xdr:rowOff>485775</xdr:rowOff>
        </xdr:to>
        <xdr:sp macro="" textlink="">
          <xdr:nvSpPr>
            <xdr:cNvPr id="1322" name="Check Box 298" hidden="1">
              <a:extLst>
                <a:ext uri="{63B3BB69-23CF-44E3-9099-C40C66FF867C}">
                  <a14:compatExt spid="_x0000_s1322"/>
                </a:ext>
                <a:ext uri="{FF2B5EF4-FFF2-40B4-BE49-F238E27FC236}">
                  <a16:creationId xmlns:a16="http://schemas.microsoft.com/office/drawing/2014/main" id="{4CCF2366-98E0-4418-8653-464BCF9DB0E7}"/>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299</xdr:row>
          <xdr:rowOff>9525</xdr:rowOff>
        </xdr:from>
        <xdr:to>
          <xdr:col>3</xdr:col>
          <xdr:colOff>19050</xdr:colOff>
          <xdr:row>299</xdr:row>
          <xdr:rowOff>485775</xdr:rowOff>
        </xdr:to>
        <xdr:sp macro="" textlink="">
          <xdr:nvSpPr>
            <xdr:cNvPr id="1323" name="Check Box 299" hidden="1">
              <a:extLst>
                <a:ext uri="{63B3BB69-23CF-44E3-9099-C40C66FF867C}">
                  <a14:compatExt spid="_x0000_s1323"/>
                </a:ext>
                <a:ext uri="{FF2B5EF4-FFF2-40B4-BE49-F238E27FC236}">
                  <a16:creationId xmlns:a16="http://schemas.microsoft.com/office/drawing/2014/main" id="{21461103-BE74-46C5-8253-D17568B6C5BB}"/>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300</xdr:row>
          <xdr:rowOff>9525</xdr:rowOff>
        </xdr:from>
        <xdr:to>
          <xdr:col>3</xdr:col>
          <xdr:colOff>19050</xdr:colOff>
          <xdr:row>300</xdr:row>
          <xdr:rowOff>485775</xdr:rowOff>
        </xdr:to>
        <xdr:sp macro="" textlink="">
          <xdr:nvSpPr>
            <xdr:cNvPr id="1324" name="Check Box 300" hidden="1">
              <a:extLst>
                <a:ext uri="{63B3BB69-23CF-44E3-9099-C40C66FF867C}">
                  <a14:compatExt spid="_x0000_s1324"/>
                </a:ext>
                <a:ext uri="{FF2B5EF4-FFF2-40B4-BE49-F238E27FC236}">
                  <a16:creationId xmlns:a16="http://schemas.microsoft.com/office/drawing/2014/main" id="{3FA648EB-ED5E-4227-8394-166F1DE4031E}"/>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301</xdr:row>
          <xdr:rowOff>9525</xdr:rowOff>
        </xdr:from>
        <xdr:to>
          <xdr:col>3</xdr:col>
          <xdr:colOff>19050</xdr:colOff>
          <xdr:row>301</xdr:row>
          <xdr:rowOff>485775</xdr:rowOff>
        </xdr:to>
        <xdr:sp macro="" textlink="">
          <xdr:nvSpPr>
            <xdr:cNvPr id="1325" name="Check Box 301" hidden="1">
              <a:extLst>
                <a:ext uri="{63B3BB69-23CF-44E3-9099-C40C66FF867C}">
                  <a14:compatExt spid="_x0000_s1325"/>
                </a:ext>
                <a:ext uri="{FF2B5EF4-FFF2-40B4-BE49-F238E27FC236}">
                  <a16:creationId xmlns:a16="http://schemas.microsoft.com/office/drawing/2014/main" id="{5548159C-59A8-4D5E-A19A-F280BA595067}"/>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276225</xdr:colOff>
          <xdr:row>302</xdr:row>
          <xdr:rowOff>9525</xdr:rowOff>
        </xdr:from>
        <xdr:to>
          <xdr:col>3</xdr:col>
          <xdr:colOff>19050</xdr:colOff>
          <xdr:row>302</xdr:row>
          <xdr:rowOff>485775</xdr:rowOff>
        </xdr:to>
        <xdr:sp macro="" textlink="">
          <xdr:nvSpPr>
            <xdr:cNvPr id="1326" name="Check Box 302" hidden="1">
              <a:extLst>
                <a:ext uri="{63B3BB69-23CF-44E3-9099-C40C66FF867C}">
                  <a14:compatExt spid="_x0000_s1326"/>
                </a:ext>
                <a:ext uri="{FF2B5EF4-FFF2-40B4-BE49-F238E27FC236}">
                  <a16:creationId xmlns:a16="http://schemas.microsoft.com/office/drawing/2014/main" id="{B6D9F4CA-0924-4480-BF4F-F020534D8844}"/>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Keep</a:t>
              </a:r>
            </a:p>
          </xdr:txBody>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ctrlProp" Target="../ctrlProps/ctrlProp115.xml"/><Relationship Id="rId299" Type="http://schemas.openxmlformats.org/officeDocument/2006/relationships/ctrlProp" Target="../ctrlProps/ctrlProp297.xml"/><Relationship Id="rId21" Type="http://schemas.openxmlformats.org/officeDocument/2006/relationships/ctrlProp" Target="../ctrlProps/ctrlProp19.xml"/><Relationship Id="rId63" Type="http://schemas.openxmlformats.org/officeDocument/2006/relationships/ctrlProp" Target="../ctrlProps/ctrlProp61.xml"/><Relationship Id="rId159" Type="http://schemas.openxmlformats.org/officeDocument/2006/relationships/ctrlProp" Target="../ctrlProps/ctrlProp157.xml"/><Relationship Id="rId170" Type="http://schemas.openxmlformats.org/officeDocument/2006/relationships/ctrlProp" Target="../ctrlProps/ctrlProp168.xml"/><Relationship Id="rId226" Type="http://schemas.openxmlformats.org/officeDocument/2006/relationships/ctrlProp" Target="../ctrlProps/ctrlProp224.xml"/><Relationship Id="rId268" Type="http://schemas.openxmlformats.org/officeDocument/2006/relationships/ctrlProp" Target="../ctrlProps/ctrlProp266.xml"/><Relationship Id="rId32" Type="http://schemas.openxmlformats.org/officeDocument/2006/relationships/ctrlProp" Target="../ctrlProps/ctrlProp30.xml"/><Relationship Id="rId74" Type="http://schemas.openxmlformats.org/officeDocument/2006/relationships/ctrlProp" Target="../ctrlProps/ctrlProp72.xml"/><Relationship Id="rId128" Type="http://schemas.openxmlformats.org/officeDocument/2006/relationships/ctrlProp" Target="../ctrlProps/ctrlProp126.xml"/><Relationship Id="rId5" Type="http://schemas.openxmlformats.org/officeDocument/2006/relationships/ctrlProp" Target="../ctrlProps/ctrlProp3.xml"/><Relationship Id="rId181" Type="http://schemas.openxmlformats.org/officeDocument/2006/relationships/ctrlProp" Target="../ctrlProps/ctrlProp179.xml"/><Relationship Id="rId237" Type="http://schemas.openxmlformats.org/officeDocument/2006/relationships/ctrlProp" Target="../ctrlProps/ctrlProp235.xml"/><Relationship Id="rId279" Type="http://schemas.openxmlformats.org/officeDocument/2006/relationships/ctrlProp" Target="../ctrlProps/ctrlProp277.xml"/><Relationship Id="rId43" Type="http://schemas.openxmlformats.org/officeDocument/2006/relationships/ctrlProp" Target="../ctrlProps/ctrlProp41.xml"/><Relationship Id="rId139" Type="http://schemas.openxmlformats.org/officeDocument/2006/relationships/ctrlProp" Target="../ctrlProps/ctrlProp137.xml"/><Relationship Id="rId290" Type="http://schemas.openxmlformats.org/officeDocument/2006/relationships/ctrlProp" Target="../ctrlProps/ctrlProp288.xml"/><Relationship Id="rId304" Type="http://schemas.openxmlformats.org/officeDocument/2006/relationships/ctrlProp" Target="../ctrlProps/ctrlProp302.xml"/><Relationship Id="rId85" Type="http://schemas.openxmlformats.org/officeDocument/2006/relationships/ctrlProp" Target="../ctrlProps/ctrlProp83.xml"/><Relationship Id="rId150" Type="http://schemas.openxmlformats.org/officeDocument/2006/relationships/ctrlProp" Target="../ctrlProps/ctrlProp148.xml"/><Relationship Id="rId192" Type="http://schemas.openxmlformats.org/officeDocument/2006/relationships/ctrlProp" Target="../ctrlProps/ctrlProp190.xml"/><Relationship Id="rId206" Type="http://schemas.openxmlformats.org/officeDocument/2006/relationships/ctrlProp" Target="../ctrlProps/ctrlProp204.xml"/><Relationship Id="rId248" Type="http://schemas.openxmlformats.org/officeDocument/2006/relationships/ctrlProp" Target="../ctrlProps/ctrlProp246.xml"/><Relationship Id="rId12" Type="http://schemas.openxmlformats.org/officeDocument/2006/relationships/ctrlProp" Target="../ctrlProps/ctrlProp10.xml"/><Relationship Id="rId108" Type="http://schemas.openxmlformats.org/officeDocument/2006/relationships/ctrlProp" Target="../ctrlProps/ctrlProp106.xml"/><Relationship Id="rId54" Type="http://schemas.openxmlformats.org/officeDocument/2006/relationships/ctrlProp" Target="../ctrlProps/ctrlProp52.xml"/><Relationship Id="rId96" Type="http://schemas.openxmlformats.org/officeDocument/2006/relationships/ctrlProp" Target="../ctrlProps/ctrlProp94.xml"/><Relationship Id="rId161" Type="http://schemas.openxmlformats.org/officeDocument/2006/relationships/ctrlProp" Target="../ctrlProps/ctrlProp159.xml"/><Relationship Id="rId217" Type="http://schemas.openxmlformats.org/officeDocument/2006/relationships/ctrlProp" Target="../ctrlProps/ctrlProp215.xml"/><Relationship Id="rId6" Type="http://schemas.openxmlformats.org/officeDocument/2006/relationships/ctrlProp" Target="../ctrlProps/ctrlProp4.xml"/><Relationship Id="rId238" Type="http://schemas.openxmlformats.org/officeDocument/2006/relationships/ctrlProp" Target="../ctrlProps/ctrlProp236.xml"/><Relationship Id="rId259" Type="http://schemas.openxmlformats.org/officeDocument/2006/relationships/ctrlProp" Target="../ctrlProps/ctrlProp257.xml"/><Relationship Id="rId23" Type="http://schemas.openxmlformats.org/officeDocument/2006/relationships/ctrlProp" Target="../ctrlProps/ctrlProp21.xml"/><Relationship Id="rId119" Type="http://schemas.openxmlformats.org/officeDocument/2006/relationships/ctrlProp" Target="../ctrlProps/ctrlProp117.xml"/><Relationship Id="rId270" Type="http://schemas.openxmlformats.org/officeDocument/2006/relationships/ctrlProp" Target="../ctrlProps/ctrlProp268.xml"/><Relationship Id="rId291" Type="http://schemas.openxmlformats.org/officeDocument/2006/relationships/ctrlProp" Target="../ctrlProps/ctrlProp289.xml"/><Relationship Id="rId44" Type="http://schemas.openxmlformats.org/officeDocument/2006/relationships/ctrlProp" Target="../ctrlProps/ctrlProp42.xml"/><Relationship Id="rId65" Type="http://schemas.openxmlformats.org/officeDocument/2006/relationships/ctrlProp" Target="../ctrlProps/ctrlProp63.xml"/><Relationship Id="rId86" Type="http://schemas.openxmlformats.org/officeDocument/2006/relationships/ctrlProp" Target="../ctrlProps/ctrlProp84.xml"/><Relationship Id="rId130" Type="http://schemas.openxmlformats.org/officeDocument/2006/relationships/ctrlProp" Target="../ctrlProps/ctrlProp128.xml"/><Relationship Id="rId151" Type="http://schemas.openxmlformats.org/officeDocument/2006/relationships/ctrlProp" Target="../ctrlProps/ctrlProp149.xml"/><Relationship Id="rId172" Type="http://schemas.openxmlformats.org/officeDocument/2006/relationships/ctrlProp" Target="../ctrlProps/ctrlProp170.xml"/><Relationship Id="rId193" Type="http://schemas.openxmlformats.org/officeDocument/2006/relationships/ctrlProp" Target="../ctrlProps/ctrlProp191.xml"/><Relationship Id="rId207" Type="http://schemas.openxmlformats.org/officeDocument/2006/relationships/ctrlProp" Target="../ctrlProps/ctrlProp205.xml"/><Relationship Id="rId228" Type="http://schemas.openxmlformats.org/officeDocument/2006/relationships/ctrlProp" Target="../ctrlProps/ctrlProp226.xml"/><Relationship Id="rId249" Type="http://schemas.openxmlformats.org/officeDocument/2006/relationships/ctrlProp" Target="../ctrlProps/ctrlProp247.xml"/><Relationship Id="rId13" Type="http://schemas.openxmlformats.org/officeDocument/2006/relationships/ctrlProp" Target="../ctrlProps/ctrlProp11.xml"/><Relationship Id="rId109" Type="http://schemas.openxmlformats.org/officeDocument/2006/relationships/ctrlProp" Target="../ctrlProps/ctrlProp107.xml"/><Relationship Id="rId260" Type="http://schemas.openxmlformats.org/officeDocument/2006/relationships/ctrlProp" Target="../ctrlProps/ctrlProp258.xml"/><Relationship Id="rId281" Type="http://schemas.openxmlformats.org/officeDocument/2006/relationships/ctrlProp" Target="../ctrlProps/ctrlProp279.xml"/><Relationship Id="rId34" Type="http://schemas.openxmlformats.org/officeDocument/2006/relationships/ctrlProp" Target="../ctrlProps/ctrlProp32.xml"/><Relationship Id="rId55" Type="http://schemas.openxmlformats.org/officeDocument/2006/relationships/ctrlProp" Target="../ctrlProps/ctrlProp53.xml"/><Relationship Id="rId76" Type="http://schemas.openxmlformats.org/officeDocument/2006/relationships/ctrlProp" Target="../ctrlProps/ctrlProp74.xml"/><Relationship Id="rId97" Type="http://schemas.openxmlformats.org/officeDocument/2006/relationships/ctrlProp" Target="../ctrlProps/ctrlProp95.xml"/><Relationship Id="rId120" Type="http://schemas.openxmlformats.org/officeDocument/2006/relationships/ctrlProp" Target="../ctrlProps/ctrlProp118.xml"/><Relationship Id="rId141" Type="http://schemas.openxmlformats.org/officeDocument/2006/relationships/ctrlProp" Target="../ctrlProps/ctrlProp139.xml"/><Relationship Id="rId7" Type="http://schemas.openxmlformats.org/officeDocument/2006/relationships/ctrlProp" Target="../ctrlProps/ctrlProp5.xml"/><Relationship Id="rId162" Type="http://schemas.openxmlformats.org/officeDocument/2006/relationships/ctrlProp" Target="../ctrlProps/ctrlProp160.xml"/><Relationship Id="rId183" Type="http://schemas.openxmlformats.org/officeDocument/2006/relationships/ctrlProp" Target="../ctrlProps/ctrlProp181.xml"/><Relationship Id="rId218" Type="http://schemas.openxmlformats.org/officeDocument/2006/relationships/ctrlProp" Target="../ctrlProps/ctrlProp216.xml"/><Relationship Id="rId239" Type="http://schemas.openxmlformats.org/officeDocument/2006/relationships/ctrlProp" Target="../ctrlProps/ctrlProp237.xml"/><Relationship Id="rId250" Type="http://schemas.openxmlformats.org/officeDocument/2006/relationships/ctrlProp" Target="../ctrlProps/ctrlProp248.xml"/><Relationship Id="rId271" Type="http://schemas.openxmlformats.org/officeDocument/2006/relationships/ctrlProp" Target="../ctrlProps/ctrlProp269.xml"/><Relationship Id="rId292" Type="http://schemas.openxmlformats.org/officeDocument/2006/relationships/ctrlProp" Target="../ctrlProps/ctrlProp290.xml"/><Relationship Id="rId24" Type="http://schemas.openxmlformats.org/officeDocument/2006/relationships/ctrlProp" Target="../ctrlProps/ctrlProp22.xml"/><Relationship Id="rId45" Type="http://schemas.openxmlformats.org/officeDocument/2006/relationships/ctrlProp" Target="../ctrlProps/ctrlProp43.xml"/><Relationship Id="rId66" Type="http://schemas.openxmlformats.org/officeDocument/2006/relationships/ctrlProp" Target="../ctrlProps/ctrlProp64.xml"/><Relationship Id="rId87" Type="http://schemas.openxmlformats.org/officeDocument/2006/relationships/ctrlProp" Target="../ctrlProps/ctrlProp85.xml"/><Relationship Id="rId110" Type="http://schemas.openxmlformats.org/officeDocument/2006/relationships/ctrlProp" Target="../ctrlProps/ctrlProp108.xml"/><Relationship Id="rId131" Type="http://schemas.openxmlformats.org/officeDocument/2006/relationships/ctrlProp" Target="../ctrlProps/ctrlProp129.xml"/><Relationship Id="rId152" Type="http://schemas.openxmlformats.org/officeDocument/2006/relationships/ctrlProp" Target="../ctrlProps/ctrlProp150.xml"/><Relationship Id="rId173" Type="http://schemas.openxmlformats.org/officeDocument/2006/relationships/ctrlProp" Target="../ctrlProps/ctrlProp171.xml"/><Relationship Id="rId194" Type="http://schemas.openxmlformats.org/officeDocument/2006/relationships/ctrlProp" Target="../ctrlProps/ctrlProp192.xml"/><Relationship Id="rId208" Type="http://schemas.openxmlformats.org/officeDocument/2006/relationships/ctrlProp" Target="../ctrlProps/ctrlProp206.xml"/><Relationship Id="rId229" Type="http://schemas.openxmlformats.org/officeDocument/2006/relationships/ctrlProp" Target="../ctrlProps/ctrlProp227.xml"/><Relationship Id="rId240" Type="http://schemas.openxmlformats.org/officeDocument/2006/relationships/ctrlProp" Target="../ctrlProps/ctrlProp238.xml"/><Relationship Id="rId261" Type="http://schemas.openxmlformats.org/officeDocument/2006/relationships/ctrlProp" Target="../ctrlProps/ctrlProp259.xml"/><Relationship Id="rId14" Type="http://schemas.openxmlformats.org/officeDocument/2006/relationships/ctrlProp" Target="../ctrlProps/ctrlProp12.xml"/><Relationship Id="rId35" Type="http://schemas.openxmlformats.org/officeDocument/2006/relationships/ctrlProp" Target="../ctrlProps/ctrlProp33.xml"/><Relationship Id="rId56" Type="http://schemas.openxmlformats.org/officeDocument/2006/relationships/ctrlProp" Target="../ctrlProps/ctrlProp54.xml"/><Relationship Id="rId77" Type="http://schemas.openxmlformats.org/officeDocument/2006/relationships/ctrlProp" Target="../ctrlProps/ctrlProp75.xml"/><Relationship Id="rId100" Type="http://schemas.openxmlformats.org/officeDocument/2006/relationships/ctrlProp" Target="../ctrlProps/ctrlProp98.xml"/><Relationship Id="rId282" Type="http://schemas.openxmlformats.org/officeDocument/2006/relationships/ctrlProp" Target="../ctrlProps/ctrlProp280.xml"/><Relationship Id="rId8" Type="http://schemas.openxmlformats.org/officeDocument/2006/relationships/ctrlProp" Target="../ctrlProps/ctrlProp6.xml"/><Relationship Id="rId98" Type="http://schemas.openxmlformats.org/officeDocument/2006/relationships/ctrlProp" Target="../ctrlProps/ctrlProp96.xml"/><Relationship Id="rId121" Type="http://schemas.openxmlformats.org/officeDocument/2006/relationships/ctrlProp" Target="../ctrlProps/ctrlProp119.xml"/><Relationship Id="rId142" Type="http://schemas.openxmlformats.org/officeDocument/2006/relationships/ctrlProp" Target="../ctrlProps/ctrlProp140.xml"/><Relationship Id="rId163" Type="http://schemas.openxmlformats.org/officeDocument/2006/relationships/ctrlProp" Target="../ctrlProps/ctrlProp161.xml"/><Relationship Id="rId184" Type="http://schemas.openxmlformats.org/officeDocument/2006/relationships/ctrlProp" Target="../ctrlProps/ctrlProp182.xml"/><Relationship Id="rId219" Type="http://schemas.openxmlformats.org/officeDocument/2006/relationships/ctrlProp" Target="../ctrlProps/ctrlProp217.xml"/><Relationship Id="rId230" Type="http://schemas.openxmlformats.org/officeDocument/2006/relationships/ctrlProp" Target="../ctrlProps/ctrlProp228.xml"/><Relationship Id="rId251" Type="http://schemas.openxmlformats.org/officeDocument/2006/relationships/ctrlProp" Target="../ctrlProps/ctrlProp249.xml"/><Relationship Id="rId25" Type="http://schemas.openxmlformats.org/officeDocument/2006/relationships/ctrlProp" Target="../ctrlProps/ctrlProp23.xml"/><Relationship Id="rId46" Type="http://schemas.openxmlformats.org/officeDocument/2006/relationships/ctrlProp" Target="../ctrlProps/ctrlProp44.xml"/><Relationship Id="rId67" Type="http://schemas.openxmlformats.org/officeDocument/2006/relationships/ctrlProp" Target="../ctrlProps/ctrlProp65.xml"/><Relationship Id="rId272" Type="http://schemas.openxmlformats.org/officeDocument/2006/relationships/ctrlProp" Target="../ctrlProps/ctrlProp270.xml"/><Relationship Id="rId293" Type="http://schemas.openxmlformats.org/officeDocument/2006/relationships/ctrlProp" Target="../ctrlProps/ctrlProp291.xml"/><Relationship Id="rId88" Type="http://schemas.openxmlformats.org/officeDocument/2006/relationships/ctrlProp" Target="../ctrlProps/ctrlProp86.xml"/><Relationship Id="rId111" Type="http://schemas.openxmlformats.org/officeDocument/2006/relationships/ctrlProp" Target="../ctrlProps/ctrlProp109.xml"/><Relationship Id="rId132" Type="http://schemas.openxmlformats.org/officeDocument/2006/relationships/ctrlProp" Target="../ctrlProps/ctrlProp130.xml"/><Relationship Id="rId153" Type="http://schemas.openxmlformats.org/officeDocument/2006/relationships/ctrlProp" Target="../ctrlProps/ctrlProp151.xml"/><Relationship Id="rId174" Type="http://schemas.openxmlformats.org/officeDocument/2006/relationships/ctrlProp" Target="../ctrlProps/ctrlProp172.xml"/><Relationship Id="rId195" Type="http://schemas.openxmlformats.org/officeDocument/2006/relationships/ctrlProp" Target="../ctrlProps/ctrlProp193.xml"/><Relationship Id="rId209" Type="http://schemas.openxmlformats.org/officeDocument/2006/relationships/ctrlProp" Target="../ctrlProps/ctrlProp207.xml"/><Relationship Id="rId220" Type="http://schemas.openxmlformats.org/officeDocument/2006/relationships/ctrlProp" Target="../ctrlProps/ctrlProp218.xml"/><Relationship Id="rId241" Type="http://schemas.openxmlformats.org/officeDocument/2006/relationships/ctrlProp" Target="../ctrlProps/ctrlProp239.xml"/><Relationship Id="rId15" Type="http://schemas.openxmlformats.org/officeDocument/2006/relationships/ctrlProp" Target="../ctrlProps/ctrlProp13.xml"/><Relationship Id="rId36" Type="http://schemas.openxmlformats.org/officeDocument/2006/relationships/ctrlProp" Target="../ctrlProps/ctrlProp34.xml"/><Relationship Id="rId57" Type="http://schemas.openxmlformats.org/officeDocument/2006/relationships/ctrlProp" Target="../ctrlProps/ctrlProp55.xml"/><Relationship Id="rId262" Type="http://schemas.openxmlformats.org/officeDocument/2006/relationships/ctrlProp" Target="../ctrlProps/ctrlProp260.xml"/><Relationship Id="rId283" Type="http://schemas.openxmlformats.org/officeDocument/2006/relationships/ctrlProp" Target="../ctrlProps/ctrlProp281.xml"/><Relationship Id="rId78" Type="http://schemas.openxmlformats.org/officeDocument/2006/relationships/ctrlProp" Target="../ctrlProps/ctrlProp76.xml"/><Relationship Id="rId99" Type="http://schemas.openxmlformats.org/officeDocument/2006/relationships/ctrlProp" Target="../ctrlProps/ctrlProp97.xml"/><Relationship Id="rId101" Type="http://schemas.openxmlformats.org/officeDocument/2006/relationships/ctrlProp" Target="../ctrlProps/ctrlProp99.xml"/><Relationship Id="rId122" Type="http://schemas.openxmlformats.org/officeDocument/2006/relationships/ctrlProp" Target="../ctrlProps/ctrlProp120.xml"/><Relationship Id="rId143" Type="http://schemas.openxmlformats.org/officeDocument/2006/relationships/ctrlProp" Target="../ctrlProps/ctrlProp141.xml"/><Relationship Id="rId164" Type="http://schemas.openxmlformats.org/officeDocument/2006/relationships/ctrlProp" Target="../ctrlProps/ctrlProp162.xml"/><Relationship Id="rId185" Type="http://schemas.openxmlformats.org/officeDocument/2006/relationships/ctrlProp" Target="../ctrlProps/ctrlProp183.xml"/><Relationship Id="rId9" Type="http://schemas.openxmlformats.org/officeDocument/2006/relationships/ctrlProp" Target="../ctrlProps/ctrlProp7.xml"/><Relationship Id="rId210" Type="http://schemas.openxmlformats.org/officeDocument/2006/relationships/ctrlProp" Target="../ctrlProps/ctrlProp208.xml"/><Relationship Id="rId26" Type="http://schemas.openxmlformats.org/officeDocument/2006/relationships/ctrlProp" Target="../ctrlProps/ctrlProp24.xml"/><Relationship Id="rId231" Type="http://schemas.openxmlformats.org/officeDocument/2006/relationships/ctrlProp" Target="../ctrlProps/ctrlProp229.xml"/><Relationship Id="rId252" Type="http://schemas.openxmlformats.org/officeDocument/2006/relationships/ctrlProp" Target="../ctrlProps/ctrlProp250.xml"/><Relationship Id="rId273" Type="http://schemas.openxmlformats.org/officeDocument/2006/relationships/ctrlProp" Target="../ctrlProps/ctrlProp271.xml"/><Relationship Id="rId294" Type="http://schemas.openxmlformats.org/officeDocument/2006/relationships/ctrlProp" Target="../ctrlProps/ctrlProp292.xml"/><Relationship Id="rId47" Type="http://schemas.openxmlformats.org/officeDocument/2006/relationships/ctrlProp" Target="../ctrlProps/ctrlProp45.xml"/><Relationship Id="rId68" Type="http://schemas.openxmlformats.org/officeDocument/2006/relationships/ctrlProp" Target="../ctrlProps/ctrlProp66.xml"/><Relationship Id="rId89" Type="http://schemas.openxmlformats.org/officeDocument/2006/relationships/ctrlProp" Target="../ctrlProps/ctrlProp87.xml"/><Relationship Id="rId112" Type="http://schemas.openxmlformats.org/officeDocument/2006/relationships/ctrlProp" Target="../ctrlProps/ctrlProp110.xml"/><Relationship Id="rId133" Type="http://schemas.openxmlformats.org/officeDocument/2006/relationships/ctrlProp" Target="../ctrlProps/ctrlProp131.xml"/><Relationship Id="rId154" Type="http://schemas.openxmlformats.org/officeDocument/2006/relationships/ctrlProp" Target="../ctrlProps/ctrlProp152.xml"/><Relationship Id="rId175" Type="http://schemas.openxmlformats.org/officeDocument/2006/relationships/ctrlProp" Target="../ctrlProps/ctrlProp173.xml"/><Relationship Id="rId196" Type="http://schemas.openxmlformats.org/officeDocument/2006/relationships/ctrlProp" Target="../ctrlProps/ctrlProp194.xml"/><Relationship Id="rId200" Type="http://schemas.openxmlformats.org/officeDocument/2006/relationships/ctrlProp" Target="../ctrlProps/ctrlProp198.xml"/><Relationship Id="rId16" Type="http://schemas.openxmlformats.org/officeDocument/2006/relationships/ctrlProp" Target="../ctrlProps/ctrlProp14.xml"/><Relationship Id="rId221" Type="http://schemas.openxmlformats.org/officeDocument/2006/relationships/ctrlProp" Target="../ctrlProps/ctrlProp219.xml"/><Relationship Id="rId242" Type="http://schemas.openxmlformats.org/officeDocument/2006/relationships/ctrlProp" Target="../ctrlProps/ctrlProp240.xml"/><Relationship Id="rId263" Type="http://schemas.openxmlformats.org/officeDocument/2006/relationships/ctrlProp" Target="../ctrlProps/ctrlProp261.xml"/><Relationship Id="rId284" Type="http://schemas.openxmlformats.org/officeDocument/2006/relationships/ctrlProp" Target="../ctrlProps/ctrlProp282.xml"/><Relationship Id="rId37" Type="http://schemas.openxmlformats.org/officeDocument/2006/relationships/ctrlProp" Target="../ctrlProps/ctrlProp35.xml"/><Relationship Id="rId58" Type="http://schemas.openxmlformats.org/officeDocument/2006/relationships/ctrlProp" Target="../ctrlProps/ctrlProp56.xml"/><Relationship Id="rId79" Type="http://schemas.openxmlformats.org/officeDocument/2006/relationships/ctrlProp" Target="../ctrlProps/ctrlProp77.xml"/><Relationship Id="rId102" Type="http://schemas.openxmlformats.org/officeDocument/2006/relationships/ctrlProp" Target="../ctrlProps/ctrlProp100.xml"/><Relationship Id="rId123" Type="http://schemas.openxmlformats.org/officeDocument/2006/relationships/ctrlProp" Target="../ctrlProps/ctrlProp121.xml"/><Relationship Id="rId144" Type="http://schemas.openxmlformats.org/officeDocument/2006/relationships/ctrlProp" Target="../ctrlProps/ctrlProp142.xml"/><Relationship Id="rId90" Type="http://schemas.openxmlformats.org/officeDocument/2006/relationships/ctrlProp" Target="../ctrlProps/ctrlProp88.xml"/><Relationship Id="rId165" Type="http://schemas.openxmlformats.org/officeDocument/2006/relationships/ctrlProp" Target="../ctrlProps/ctrlProp163.xml"/><Relationship Id="rId186" Type="http://schemas.openxmlformats.org/officeDocument/2006/relationships/ctrlProp" Target="../ctrlProps/ctrlProp184.xml"/><Relationship Id="rId211" Type="http://schemas.openxmlformats.org/officeDocument/2006/relationships/ctrlProp" Target="../ctrlProps/ctrlProp209.xml"/><Relationship Id="rId232" Type="http://schemas.openxmlformats.org/officeDocument/2006/relationships/ctrlProp" Target="../ctrlProps/ctrlProp230.xml"/><Relationship Id="rId253" Type="http://schemas.openxmlformats.org/officeDocument/2006/relationships/ctrlProp" Target="../ctrlProps/ctrlProp251.xml"/><Relationship Id="rId274" Type="http://schemas.openxmlformats.org/officeDocument/2006/relationships/ctrlProp" Target="../ctrlProps/ctrlProp272.xml"/><Relationship Id="rId295" Type="http://schemas.openxmlformats.org/officeDocument/2006/relationships/ctrlProp" Target="../ctrlProps/ctrlProp293.xml"/><Relationship Id="rId27" Type="http://schemas.openxmlformats.org/officeDocument/2006/relationships/ctrlProp" Target="../ctrlProps/ctrlProp25.xml"/><Relationship Id="rId48" Type="http://schemas.openxmlformats.org/officeDocument/2006/relationships/ctrlProp" Target="../ctrlProps/ctrlProp46.xml"/><Relationship Id="rId69" Type="http://schemas.openxmlformats.org/officeDocument/2006/relationships/ctrlProp" Target="../ctrlProps/ctrlProp67.xml"/><Relationship Id="rId113" Type="http://schemas.openxmlformats.org/officeDocument/2006/relationships/ctrlProp" Target="../ctrlProps/ctrlProp111.xml"/><Relationship Id="rId134" Type="http://schemas.openxmlformats.org/officeDocument/2006/relationships/ctrlProp" Target="../ctrlProps/ctrlProp132.xml"/><Relationship Id="rId80" Type="http://schemas.openxmlformats.org/officeDocument/2006/relationships/ctrlProp" Target="../ctrlProps/ctrlProp78.xml"/><Relationship Id="rId155" Type="http://schemas.openxmlformats.org/officeDocument/2006/relationships/ctrlProp" Target="../ctrlProps/ctrlProp153.xml"/><Relationship Id="rId176" Type="http://schemas.openxmlformats.org/officeDocument/2006/relationships/ctrlProp" Target="../ctrlProps/ctrlProp174.xml"/><Relationship Id="rId197" Type="http://schemas.openxmlformats.org/officeDocument/2006/relationships/ctrlProp" Target="../ctrlProps/ctrlProp195.xml"/><Relationship Id="rId201" Type="http://schemas.openxmlformats.org/officeDocument/2006/relationships/ctrlProp" Target="../ctrlProps/ctrlProp199.xml"/><Relationship Id="rId222" Type="http://schemas.openxmlformats.org/officeDocument/2006/relationships/ctrlProp" Target="../ctrlProps/ctrlProp220.xml"/><Relationship Id="rId243" Type="http://schemas.openxmlformats.org/officeDocument/2006/relationships/ctrlProp" Target="../ctrlProps/ctrlProp241.xml"/><Relationship Id="rId264" Type="http://schemas.openxmlformats.org/officeDocument/2006/relationships/ctrlProp" Target="../ctrlProps/ctrlProp262.xml"/><Relationship Id="rId285" Type="http://schemas.openxmlformats.org/officeDocument/2006/relationships/ctrlProp" Target="../ctrlProps/ctrlProp283.xml"/><Relationship Id="rId17" Type="http://schemas.openxmlformats.org/officeDocument/2006/relationships/ctrlProp" Target="../ctrlProps/ctrlProp15.xml"/><Relationship Id="rId38" Type="http://schemas.openxmlformats.org/officeDocument/2006/relationships/ctrlProp" Target="../ctrlProps/ctrlProp36.xml"/><Relationship Id="rId59" Type="http://schemas.openxmlformats.org/officeDocument/2006/relationships/ctrlProp" Target="../ctrlProps/ctrlProp57.xml"/><Relationship Id="rId103" Type="http://schemas.openxmlformats.org/officeDocument/2006/relationships/ctrlProp" Target="../ctrlProps/ctrlProp101.xml"/><Relationship Id="rId124" Type="http://schemas.openxmlformats.org/officeDocument/2006/relationships/ctrlProp" Target="../ctrlProps/ctrlProp122.xml"/><Relationship Id="rId70" Type="http://schemas.openxmlformats.org/officeDocument/2006/relationships/ctrlProp" Target="../ctrlProps/ctrlProp68.xml"/><Relationship Id="rId91" Type="http://schemas.openxmlformats.org/officeDocument/2006/relationships/ctrlProp" Target="../ctrlProps/ctrlProp89.xml"/><Relationship Id="rId145" Type="http://schemas.openxmlformats.org/officeDocument/2006/relationships/ctrlProp" Target="../ctrlProps/ctrlProp143.xml"/><Relationship Id="rId166" Type="http://schemas.openxmlformats.org/officeDocument/2006/relationships/ctrlProp" Target="../ctrlProps/ctrlProp164.xml"/><Relationship Id="rId187" Type="http://schemas.openxmlformats.org/officeDocument/2006/relationships/ctrlProp" Target="../ctrlProps/ctrlProp185.xml"/><Relationship Id="rId1" Type="http://schemas.openxmlformats.org/officeDocument/2006/relationships/drawing" Target="../drawings/drawing1.xml"/><Relationship Id="rId212" Type="http://schemas.openxmlformats.org/officeDocument/2006/relationships/ctrlProp" Target="../ctrlProps/ctrlProp210.xml"/><Relationship Id="rId233" Type="http://schemas.openxmlformats.org/officeDocument/2006/relationships/ctrlProp" Target="../ctrlProps/ctrlProp231.xml"/><Relationship Id="rId254" Type="http://schemas.openxmlformats.org/officeDocument/2006/relationships/ctrlProp" Target="../ctrlProps/ctrlProp252.xml"/><Relationship Id="rId28" Type="http://schemas.openxmlformats.org/officeDocument/2006/relationships/ctrlProp" Target="../ctrlProps/ctrlProp26.xml"/><Relationship Id="rId49" Type="http://schemas.openxmlformats.org/officeDocument/2006/relationships/ctrlProp" Target="../ctrlProps/ctrlProp47.xml"/><Relationship Id="rId114" Type="http://schemas.openxmlformats.org/officeDocument/2006/relationships/ctrlProp" Target="../ctrlProps/ctrlProp112.xml"/><Relationship Id="rId275" Type="http://schemas.openxmlformats.org/officeDocument/2006/relationships/ctrlProp" Target="../ctrlProps/ctrlProp273.xml"/><Relationship Id="rId296" Type="http://schemas.openxmlformats.org/officeDocument/2006/relationships/ctrlProp" Target="../ctrlProps/ctrlProp294.xml"/><Relationship Id="rId300" Type="http://schemas.openxmlformats.org/officeDocument/2006/relationships/ctrlProp" Target="../ctrlProps/ctrlProp298.xml"/><Relationship Id="rId60" Type="http://schemas.openxmlformats.org/officeDocument/2006/relationships/ctrlProp" Target="../ctrlProps/ctrlProp58.xml"/><Relationship Id="rId81" Type="http://schemas.openxmlformats.org/officeDocument/2006/relationships/ctrlProp" Target="../ctrlProps/ctrlProp79.xml"/><Relationship Id="rId135" Type="http://schemas.openxmlformats.org/officeDocument/2006/relationships/ctrlProp" Target="../ctrlProps/ctrlProp133.xml"/><Relationship Id="rId156" Type="http://schemas.openxmlformats.org/officeDocument/2006/relationships/ctrlProp" Target="../ctrlProps/ctrlProp154.xml"/><Relationship Id="rId177" Type="http://schemas.openxmlformats.org/officeDocument/2006/relationships/ctrlProp" Target="../ctrlProps/ctrlProp175.xml"/><Relationship Id="rId198" Type="http://schemas.openxmlformats.org/officeDocument/2006/relationships/ctrlProp" Target="../ctrlProps/ctrlProp196.xml"/><Relationship Id="rId202" Type="http://schemas.openxmlformats.org/officeDocument/2006/relationships/ctrlProp" Target="../ctrlProps/ctrlProp200.xml"/><Relationship Id="rId223" Type="http://schemas.openxmlformats.org/officeDocument/2006/relationships/ctrlProp" Target="../ctrlProps/ctrlProp221.xml"/><Relationship Id="rId244" Type="http://schemas.openxmlformats.org/officeDocument/2006/relationships/ctrlProp" Target="../ctrlProps/ctrlProp242.xml"/><Relationship Id="rId18" Type="http://schemas.openxmlformats.org/officeDocument/2006/relationships/ctrlProp" Target="../ctrlProps/ctrlProp16.xml"/><Relationship Id="rId39" Type="http://schemas.openxmlformats.org/officeDocument/2006/relationships/ctrlProp" Target="../ctrlProps/ctrlProp37.xml"/><Relationship Id="rId265" Type="http://schemas.openxmlformats.org/officeDocument/2006/relationships/ctrlProp" Target="../ctrlProps/ctrlProp263.xml"/><Relationship Id="rId286" Type="http://schemas.openxmlformats.org/officeDocument/2006/relationships/ctrlProp" Target="../ctrlProps/ctrlProp284.xml"/><Relationship Id="rId50" Type="http://schemas.openxmlformats.org/officeDocument/2006/relationships/ctrlProp" Target="../ctrlProps/ctrlProp48.xml"/><Relationship Id="rId104" Type="http://schemas.openxmlformats.org/officeDocument/2006/relationships/ctrlProp" Target="../ctrlProps/ctrlProp102.xml"/><Relationship Id="rId125" Type="http://schemas.openxmlformats.org/officeDocument/2006/relationships/ctrlProp" Target="../ctrlProps/ctrlProp123.xml"/><Relationship Id="rId146" Type="http://schemas.openxmlformats.org/officeDocument/2006/relationships/ctrlProp" Target="../ctrlProps/ctrlProp144.xml"/><Relationship Id="rId167" Type="http://schemas.openxmlformats.org/officeDocument/2006/relationships/ctrlProp" Target="../ctrlProps/ctrlProp165.xml"/><Relationship Id="rId188" Type="http://schemas.openxmlformats.org/officeDocument/2006/relationships/ctrlProp" Target="../ctrlProps/ctrlProp186.xml"/><Relationship Id="rId71" Type="http://schemas.openxmlformats.org/officeDocument/2006/relationships/ctrlProp" Target="../ctrlProps/ctrlProp69.xml"/><Relationship Id="rId92" Type="http://schemas.openxmlformats.org/officeDocument/2006/relationships/ctrlProp" Target="../ctrlProps/ctrlProp90.xml"/><Relationship Id="rId213" Type="http://schemas.openxmlformats.org/officeDocument/2006/relationships/ctrlProp" Target="../ctrlProps/ctrlProp211.xml"/><Relationship Id="rId234" Type="http://schemas.openxmlformats.org/officeDocument/2006/relationships/ctrlProp" Target="../ctrlProps/ctrlProp232.xml"/><Relationship Id="rId2" Type="http://schemas.openxmlformats.org/officeDocument/2006/relationships/vmlDrawing" Target="../drawings/vmlDrawing1.vml"/><Relationship Id="rId29" Type="http://schemas.openxmlformats.org/officeDocument/2006/relationships/ctrlProp" Target="../ctrlProps/ctrlProp27.xml"/><Relationship Id="rId255" Type="http://schemas.openxmlformats.org/officeDocument/2006/relationships/ctrlProp" Target="../ctrlProps/ctrlProp253.xml"/><Relationship Id="rId276" Type="http://schemas.openxmlformats.org/officeDocument/2006/relationships/ctrlProp" Target="../ctrlProps/ctrlProp274.xml"/><Relationship Id="rId297" Type="http://schemas.openxmlformats.org/officeDocument/2006/relationships/ctrlProp" Target="../ctrlProps/ctrlProp295.xml"/><Relationship Id="rId40" Type="http://schemas.openxmlformats.org/officeDocument/2006/relationships/ctrlProp" Target="../ctrlProps/ctrlProp38.xml"/><Relationship Id="rId115" Type="http://schemas.openxmlformats.org/officeDocument/2006/relationships/ctrlProp" Target="../ctrlProps/ctrlProp113.xml"/><Relationship Id="rId136" Type="http://schemas.openxmlformats.org/officeDocument/2006/relationships/ctrlProp" Target="../ctrlProps/ctrlProp134.xml"/><Relationship Id="rId157" Type="http://schemas.openxmlformats.org/officeDocument/2006/relationships/ctrlProp" Target="../ctrlProps/ctrlProp155.xml"/><Relationship Id="rId178" Type="http://schemas.openxmlformats.org/officeDocument/2006/relationships/ctrlProp" Target="../ctrlProps/ctrlProp176.xml"/><Relationship Id="rId301" Type="http://schemas.openxmlformats.org/officeDocument/2006/relationships/ctrlProp" Target="../ctrlProps/ctrlProp299.xml"/><Relationship Id="rId61" Type="http://schemas.openxmlformats.org/officeDocument/2006/relationships/ctrlProp" Target="../ctrlProps/ctrlProp59.xml"/><Relationship Id="rId82" Type="http://schemas.openxmlformats.org/officeDocument/2006/relationships/ctrlProp" Target="../ctrlProps/ctrlProp80.xml"/><Relationship Id="rId199" Type="http://schemas.openxmlformats.org/officeDocument/2006/relationships/ctrlProp" Target="../ctrlProps/ctrlProp197.xml"/><Relationship Id="rId203" Type="http://schemas.openxmlformats.org/officeDocument/2006/relationships/ctrlProp" Target="../ctrlProps/ctrlProp201.xml"/><Relationship Id="rId19" Type="http://schemas.openxmlformats.org/officeDocument/2006/relationships/ctrlProp" Target="../ctrlProps/ctrlProp17.xml"/><Relationship Id="rId224" Type="http://schemas.openxmlformats.org/officeDocument/2006/relationships/ctrlProp" Target="../ctrlProps/ctrlProp222.xml"/><Relationship Id="rId245" Type="http://schemas.openxmlformats.org/officeDocument/2006/relationships/ctrlProp" Target="../ctrlProps/ctrlProp243.xml"/><Relationship Id="rId266" Type="http://schemas.openxmlformats.org/officeDocument/2006/relationships/ctrlProp" Target="../ctrlProps/ctrlProp264.xml"/><Relationship Id="rId287" Type="http://schemas.openxmlformats.org/officeDocument/2006/relationships/ctrlProp" Target="../ctrlProps/ctrlProp285.xml"/><Relationship Id="rId30" Type="http://schemas.openxmlformats.org/officeDocument/2006/relationships/ctrlProp" Target="../ctrlProps/ctrlProp28.xml"/><Relationship Id="rId105" Type="http://schemas.openxmlformats.org/officeDocument/2006/relationships/ctrlProp" Target="../ctrlProps/ctrlProp103.xml"/><Relationship Id="rId126" Type="http://schemas.openxmlformats.org/officeDocument/2006/relationships/ctrlProp" Target="../ctrlProps/ctrlProp124.xml"/><Relationship Id="rId147" Type="http://schemas.openxmlformats.org/officeDocument/2006/relationships/ctrlProp" Target="../ctrlProps/ctrlProp145.xml"/><Relationship Id="rId168" Type="http://schemas.openxmlformats.org/officeDocument/2006/relationships/ctrlProp" Target="../ctrlProps/ctrlProp166.xml"/><Relationship Id="rId51" Type="http://schemas.openxmlformats.org/officeDocument/2006/relationships/ctrlProp" Target="../ctrlProps/ctrlProp49.xml"/><Relationship Id="rId72" Type="http://schemas.openxmlformats.org/officeDocument/2006/relationships/ctrlProp" Target="../ctrlProps/ctrlProp70.xml"/><Relationship Id="rId93" Type="http://schemas.openxmlformats.org/officeDocument/2006/relationships/ctrlProp" Target="../ctrlProps/ctrlProp91.xml"/><Relationship Id="rId189" Type="http://schemas.openxmlformats.org/officeDocument/2006/relationships/ctrlProp" Target="../ctrlProps/ctrlProp187.xml"/><Relationship Id="rId3" Type="http://schemas.openxmlformats.org/officeDocument/2006/relationships/ctrlProp" Target="../ctrlProps/ctrlProp1.xml"/><Relationship Id="rId214" Type="http://schemas.openxmlformats.org/officeDocument/2006/relationships/ctrlProp" Target="../ctrlProps/ctrlProp212.xml"/><Relationship Id="rId235" Type="http://schemas.openxmlformats.org/officeDocument/2006/relationships/ctrlProp" Target="../ctrlProps/ctrlProp233.xml"/><Relationship Id="rId256" Type="http://schemas.openxmlformats.org/officeDocument/2006/relationships/ctrlProp" Target="../ctrlProps/ctrlProp254.xml"/><Relationship Id="rId277" Type="http://schemas.openxmlformats.org/officeDocument/2006/relationships/ctrlProp" Target="../ctrlProps/ctrlProp275.xml"/><Relationship Id="rId298" Type="http://schemas.openxmlformats.org/officeDocument/2006/relationships/ctrlProp" Target="../ctrlProps/ctrlProp296.xml"/><Relationship Id="rId116" Type="http://schemas.openxmlformats.org/officeDocument/2006/relationships/ctrlProp" Target="../ctrlProps/ctrlProp114.xml"/><Relationship Id="rId137" Type="http://schemas.openxmlformats.org/officeDocument/2006/relationships/ctrlProp" Target="../ctrlProps/ctrlProp135.xml"/><Relationship Id="rId158" Type="http://schemas.openxmlformats.org/officeDocument/2006/relationships/ctrlProp" Target="../ctrlProps/ctrlProp156.xml"/><Relationship Id="rId302" Type="http://schemas.openxmlformats.org/officeDocument/2006/relationships/ctrlProp" Target="../ctrlProps/ctrlProp300.xml"/><Relationship Id="rId20" Type="http://schemas.openxmlformats.org/officeDocument/2006/relationships/ctrlProp" Target="../ctrlProps/ctrlProp18.xml"/><Relationship Id="rId41" Type="http://schemas.openxmlformats.org/officeDocument/2006/relationships/ctrlProp" Target="../ctrlProps/ctrlProp39.xml"/><Relationship Id="rId62" Type="http://schemas.openxmlformats.org/officeDocument/2006/relationships/ctrlProp" Target="../ctrlProps/ctrlProp60.xml"/><Relationship Id="rId83" Type="http://schemas.openxmlformats.org/officeDocument/2006/relationships/ctrlProp" Target="../ctrlProps/ctrlProp81.xml"/><Relationship Id="rId179" Type="http://schemas.openxmlformats.org/officeDocument/2006/relationships/ctrlProp" Target="../ctrlProps/ctrlProp177.xml"/><Relationship Id="rId190" Type="http://schemas.openxmlformats.org/officeDocument/2006/relationships/ctrlProp" Target="../ctrlProps/ctrlProp188.xml"/><Relationship Id="rId204" Type="http://schemas.openxmlformats.org/officeDocument/2006/relationships/ctrlProp" Target="../ctrlProps/ctrlProp202.xml"/><Relationship Id="rId225" Type="http://schemas.openxmlformats.org/officeDocument/2006/relationships/ctrlProp" Target="../ctrlProps/ctrlProp223.xml"/><Relationship Id="rId246" Type="http://schemas.openxmlformats.org/officeDocument/2006/relationships/ctrlProp" Target="../ctrlProps/ctrlProp244.xml"/><Relationship Id="rId267" Type="http://schemas.openxmlformats.org/officeDocument/2006/relationships/ctrlProp" Target="../ctrlProps/ctrlProp265.xml"/><Relationship Id="rId288" Type="http://schemas.openxmlformats.org/officeDocument/2006/relationships/ctrlProp" Target="../ctrlProps/ctrlProp286.xml"/><Relationship Id="rId106" Type="http://schemas.openxmlformats.org/officeDocument/2006/relationships/ctrlProp" Target="../ctrlProps/ctrlProp104.xml"/><Relationship Id="rId127" Type="http://schemas.openxmlformats.org/officeDocument/2006/relationships/ctrlProp" Target="../ctrlProps/ctrlProp125.xml"/><Relationship Id="rId10" Type="http://schemas.openxmlformats.org/officeDocument/2006/relationships/ctrlProp" Target="../ctrlProps/ctrlProp8.xml"/><Relationship Id="rId31" Type="http://schemas.openxmlformats.org/officeDocument/2006/relationships/ctrlProp" Target="../ctrlProps/ctrlProp29.xml"/><Relationship Id="rId52" Type="http://schemas.openxmlformats.org/officeDocument/2006/relationships/ctrlProp" Target="../ctrlProps/ctrlProp50.xml"/><Relationship Id="rId73" Type="http://schemas.openxmlformats.org/officeDocument/2006/relationships/ctrlProp" Target="../ctrlProps/ctrlProp71.xml"/><Relationship Id="rId94" Type="http://schemas.openxmlformats.org/officeDocument/2006/relationships/ctrlProp" Target="../ctrlProps/ctrlProp92.xml"/><Relationship Id="rId148" Type="http://schemas.openxmlformats.org/officeDocument/2006/relationships/ctrlProp" Target="../ctrlProps/ctrlProp146.xml"/><Relationship Id="rId169" Type="http://schemas.openxmlformats.org/officeDocument/2006/relationships/ctrlProp" Target="../ctrlProps/ctrlProp167.xml"/><Relationship Id="rId4" Type="http://schemas.openxmlformats.org/officeDocument/2006/relationships/ctrlProp" Target="../ctrlProps/ctrlProp2.xml"/><Relationship Id="rId180" Type="http://schemas.openxmlformats.org/officeDocument/2006/relationships/ctrlProp" Target="../ctrlProps/ctrlProp178.xml"/><Relationship Id="rId215" Type="http://schemas.openxmlformats.org/officeDocument/2006/relationships/ctrlProp" Target="../ctrlProps/ctrlProp213.xml"/><Relationship Id="rId236" Type="http://schemas.openxmlformats.org/officeDocument/2006/relationships/ctrlProp" Target="../ctrlProps/ctrlProp234.xml"/><Relationship Id="rId257" Type="http://schemas.openxmlformats.org/officeDocument/2006/relationships/ctrlProp" Target="../ctrlProps/ctrlProp255.xml"/><Relationship Id="rId278" Type="http://schemas.openxmlformats.org/officeDocument/2006/relationships/ctrlProp" Target="../ctrlProps/ctrlProp276.xml"/><Relationship Id="rId303" Type="http://schemas.openxmlformats.org/officeDocument/2006/relationships/ctrlProp" Target="../ctrlProps/ctrlProp301.xml"/><Relationship Id="rId42" Type="http://schemas.openxmlformats.org/officeDocument/2006/relationships/ctrlProp" Target="../ctrlProps/ctrlProp40.xml"/><Relationship Id="rId84" Type="http://schemas.openxmlformats.org/officeDocument/2006/relationships/ctrlProp" Target="../ctrlProps/ctrlProp82.xml"/><Relationship Id="rId138" Type="http://schemas.openxmlformats.org/officeDocument/2006/relationships/ctrlProp" Target="../ctrlProps/ctrlProp136.xml"/><Relationship Id="rId191" Type="http://schemas.openxmlformats.org/officeDocument/2006/relationships/ctrlProp" Target="../ctrlProps/ctrlProp189.xml"/><Relationship Id="rId205" Type="http://schemas.openxmlformats.org/officeDocument/2006/relationships/ctrlProp" Target="../ctrlProps/ctrlProp203.xml"/><Relationship Id="rId247" Type="http://schemas.openxmlformats.org/officeDocument/2006/relationships/ctrlProp" Target="../ctrlProps/ctrlProp245.xml"/><Relationship Id="rId107" Type="http://schemas.openxmlformats.org/officeDocument/2006/relationships/ctrlProp" Target="../ctrlProps/ctrlProp105.xml"/><Relationship Id="rId289" Type="http://schemas.openxmlformats.org/officeDocument/2006/relationships/ctrlProp" Target="../ctrlProps/ctrlProp287.xml"/><Relationship Id="rId11" Type="http://schemas.openxmlformats.org/officeDocument/2006/relationships/ctrlProp" Target="../ctrlProps/ctrlProp9.xml"/><Relationship Id="rId53" Type="http://schemas.openxmlformats.org/officeDocument/2006/relationships/ctrlProp" Target="../ctrlProps/ctrlProp51.xml"/><Relationship Id="rId149" Type="http://schemas.openxmlformats.org/officeDocument/2006/relationships/ctrlProp" Target="../ctrlProps/ctrlProp147.xml"/><Relationship Id="rId95" Type="http://schemas.openxmlformats.org/officeDocument/2006/relationships/ctrlProp" Target="../ctrlProps/ctrlProp93.xml"/><Relationship Id="rId160" Type="http://schemas.openxmlformats.org/officeDocument/2006/relationships/ctrlProp" Target="../ctrlProps/ctrlProp158.xml"/><Relationship Id="rId216" Type="http://schemas.openxmlformats.org/officeDocument/2006/relationships/ctrlProp" Target="../ctrlProps/ctrlProp214.xml"/><Relationship Id="rId258" Type="http://schemas.openxmlformats.org/officeDocument/2006/relationships/ctrlProp" Target="../ctrlProps/ctrlProp256.xml"/><Relationship Id="rId22" Type="http://schemas.openxmlformats.org/officeDocument/2006/relationships/ctrlProp" Target="../ctrlProps/ctrlProp20.xml"/><Relationship Id="rId64" Type="http://schemas.openxmlformats.org/officeDocument/2006/relationships/ctrlProp" Target="../ctrlProps/ctrlProp62.xml"/><Relationship Id="rId118" Type="http://schemas.openxmlformats.org/officeDocument/2006/relationships/ctrlProp" Target="../ctrlProps/ctrlProp116.xml"/><Relationship Id="rId171" Type="http://schemas.openxmlformats.org/officeDocument/2006/relationships/ctrlProp" Target="../ctrlProps/ctrlProp169.xml"/><Relationship Id="rId227" Type="http://schemas.openxmlformats.org/officeDocument/2006/relationships/ctrlProp" Target="../ctrlProps/ctrlProp225.xml"/><Relationship Id="rId269" Type="http://schemas.openxmlformats.org/officeDocument/2006/relationships/ctrlProp" Target="../ctrlProps/ctrlProp267.xml"/><Relationship Id="rId33" Type="http://schemas.openxmlformats.org/officeDocument/2006/relationships/ctrlProp" Target="../ctrlProps/ctrlProp31.xml"/><Relationship Id="rId129" Type="http://schemas.openxmlformats.org/officeDocument/2006/relationships/ctrlProp" Target="../ctrlProps/ctrlProp127.xml"/><Relationship Id="rId280" Type="http://schemas.openxmlformats.org/officeDocument/2006/relationships/ctrlProp" Target="../ctrlProps/ctrlProp278.xml"/><Relationship Id="rId75" Type="http://schemas.openxmlformats.org/officeDocument/2006/relationships/ctrlProp" Target="../ctrlProps/ctrlProp73.xml"/><Relationship Id="rId140" Type="http://schemas.openxmlformats.org/officeDocument/2006/relationships/ctrlProp" Target="../ctrlProps/ctrlProp138.xml"/><Relationship Id="rId182" Type="http://schemas.openxmlformats.org/officeDocument/2006/relationships/ctrlProp" Target="../ctrlProps/ctrlProp180.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E88B6B-07B9-4D94-8134-73629FDA428F}">
  <dimension ref="A1:BF303"/>
  <sheetViews>
    <sheetView tabSelected="1" workbookViewId="0">
      <pane ySplit="1" topLeftCell="A2" activePane="bottomLeft" state="frozen"/>
      <selection pane="bottomLeft" activeCell="F2" sqref="F2"/>
    </sheetView>
  </sheetViews>
  <sheetFormatPr defaultRowHeight="15"/>
  <cols>
    <col min="1" max="1" width="15.85546875" customWidth="1"/>
    <col min="2" max="3" width="0" hidden="1" customWidth="1"/>
    <col min="4" max="4" width="20.7109375" customWidth="1"/>
    <col min="5" max="5" width="0" hidden="1" customWidth="1"/>
    <col min="6" max="6" width="31.140625" customWidth="1"/>
    <col min="8" max="12" width="0" hidden="1" customWidth="1"/>
    <col min="13" max="13" width="19.5703125" customWidth="1"/>
    <col min="14" max="14" width="17.7109375" customWidth="1"/>
    <col min="16" max="19" width="0" hidden="1" customWidth="1"/>
    <col min="22" max="28" width="0" hidden="1" customWidth="1"/>
    <col min="30" max="30" width="0" hidden="1" customWidth="1"/>
    <col min="32" max="32" width="0" hidden="1" customWidth="1"/>
    <col min="33" max="33" width="17.7109375" customWidth="1"/>
    <col min="34" max="43" width="0" hidden="1" customWidth="1"/>
    <col min="44" max="46" width="10.5703125" customWidth="1"/>
    <col min="49" max="58" width="0" hidden="1" customWidth="1"/>
  </cols>
  <sheetData>
    <row r="1" spans="1:58" ht="39.75" customHeight="1">
      <c r="A1" s="6" t="s">
        <v>0</v>
      </c>
      <c r="B1" s="6" t="s">
        <v>1</v>
      </c>
      <c r="C1" s="6" t="s">
        <v>2</v>
      </c>
      <c r="D1" s="6" t="s">
        <v>3</v>
      </c>
      <c r="E1" s="6" t="s">
        <v>4</v>
      </c>
      <c r="F1" s="6" t="s">
        <v>5</v>
      </c>
      <c r="G1" s="6" t="s">
        <v>6</v>
      </c>
      <c r="H1" s="6" t="s">
        <v>7</v>
      </c>
      <c r="I1" s="6" t="s">
        <v>8</v>
      </c>
      <c r="J1" s="6" t="s">
        <v>9</v>
      </c>
      <c r="K1" s="6" t="s">
        <v>10</v>
      </c>
      <c r="L1" s="6" t="s">
        <v>11</v>
      </c>
      <c r="M1" s="6" t="s">
        <v>12</v>
      </c>
      <c r="N1" s="6" t="s">
        <v>13</v>
      </c>
      <c r="O1" s="6" t="s">
        <v>14</v>
      </c>
      <c r="P1" s="6" t="s">
        <v>15</v>
      </c>
      <c r="Q1" s="6" t="s">
        <v>16</v>
      </c>
      <c r="R1" s="6" t="s">
        <v>17</v>
      </c>
      <c r="S1" s="6" t="s">
        <v>18</v>
      </c>
      <c r="T1" s="6" t="s">
        <v>19</v>
      </c>
      <c r="U1" s="6" t="s">
        <v>20</v>
      </c>
      <c r="V1" s="6" t="s">
        <v>21</v>
      </c>
      <c r="W1" s="6" t="s">
        <v>22</v>
      </c>
      <c r="X1" s="6" t="s">
        <v>23</v>
      </c>
      <c r="Y1" s="6" t="s">
        <v>24</v>
      </c>
      <c r="Z1" s="6" t="s">
        <v>25</v>
      </c>
      <c r="AA1" s="6" t="s">
        <v>26</v>
      </c>
      <c r="AB1" s="6" t="s">
        <v>27</v>
      </c>
      <c r="AC1" s="6" t="s">
        <v>28</v>
      </c>
      <c r="AD1" s="6" t="s">
        <v>29</v>
      </c>
      <c r="AE1" s="6" t="s">
        <v>30</v>
      </c>
      <c r="AF1" s="6" t="s">
        <v>31</v>
      </c>
      <c r="AG1" s="6" t="s">
        <v>32</v>
      </c>
      <c r="AH1" s="6" t="s">
        <v>33</v>
      </c>
      <c r="AI1" s="6" t="s">
        <v>34</v>
      </c>
      <c r="AJ1" s="6" t="s">
        <v>35</v>
      </c>
      <c r="AK1" s="6" t="s">
        <v>36</v>
      </c>
      <c r="AL1" s="6" t="s">
        <v>37</v>
      </c>
      <c r="AM1" s="6" t="s">
        <v>38</v>
      </c>
      <c r="AN1" s="6" t="s">
        <v>39</v>
      </c>
      <c r="AO1" s="6" t="s">
        <v>40</v>
      </c>
      <c r="AP1" s="6" t="s">
        <v>41</v>
      </c>
      <c r="AQ1" s="6" t="s">
        <v>42</v>
      </c>
      <c r="AR1" s="6" t="s">
        <v>43</v>
      </c>
      <c r="AS1" s="6" t="s">
        <v>44</v>
      </c>
      <c r="AT1" s="6" t="s">
        <v>45</v>
      </c>
      <c r="AU1" s="6" t="s">
        <v>46</v>
      </c>
      <c r="AV1" s="6" t="s">
        <v>47</v>
      </c>
      <c r="AW1" s="6" t="s">
        <v>48</v>
      </c>
      <c r="AX1" s="6" t="s">
        <v>49</v>
      </c>
      <c r="AY1" s="6" t="s">
        <v>50</v>
      </c>
      <c r="AZ1" s="6" t="s">
        <v>51</v>
      </c>
      <c r="BA1" s="6" t="s">
        <v>52</v>
      </c>
      <c r="BB1" s="6" t="s">
        <v>53</v>
      </c>
      <c r="BC1" s="6" t="s">
        <v>54</v>
      </c>
      <c r="BD1" s="6" t="s">
        <v>55</v>
      </c>
      <c r="BE1" s="6" t="s">
        <v>56</v>
      </c>
      <c r="BF1" s="6" t="s">
        <v>57</v>
      </c>
    </row>
    <row r="2" spans="1:58" ht="39.75" customHeight="1">
      <c r="A2" s="1"/>
      <c r="B2" s="1" t="s">
        <v>58</v>
      </c>
      <c r="C2" s="1" t="s">
        <v>59</v>
      </c>
      <c r="D2" s="1" t="s">
        <v>60</v>
      </c>
      <c r="E2" s="1" t="s">
        <v>61</v>
      </c>
      <c r="F2" s="1" t="s">
        <v>62</v>
      </c>
      <c r="H2" s="2" t="s">
        <v>63</v>
      </c>
      <c r="I2" s="2" t="s">
        <v>64</v>
      </c>
      <c r="J2" s="2" t="s">
        <v>63</v>
      </c>
      <c r="K2" s="2" t="s">
        <v>63</v>
      </c>
      <c r="L2" s="2" t="s">
        <v>65</v>
      </c>
      <c r="N2" s="1" t="s">
        <v>66</v>
      </c>
      <c r="O2" s="2" t="s">
        <v>67</v>
      </c>
      <c r="Q2" s="2" t="s">
        <v>68</v>
      </c>
      <c r="R2" s="2" t="s">
        <v>69</v>
      </c>
      <c r="S2" s="1" t="s">
        <v>70</v>
      </c>
      <c r="T2" s="2" t="s">
        <v>71</v>
      </c>
      <c r="U2" s="3">
        <v>34</v>
      </c>
      <c r="V2" s="3">
        <v>34</v>
      </c>
      <c r="W2" s="4" t="s">
        <v>72</v>
      </c>
      <c r="X2" s="4" t="s">
        <v>72</v>
      </c>
      <c r="Y2" s="4" t="s">
        <v>73</v>
      </c>
      <c r="Z2" s="4" t="s">
        <v>73</v>
      </c>
      <c r="AA2" s="3">
        <v>223</v>
      </c>
      <c r="AB2" s="3">
        <v>135</v>
      </c>
      <c r="AC2" s="3">
        <v>155</v>
      </c>
      <c r="AD2" s="3">
        <v>1</v>
      </c>
      <c r="AE2" s="3">
        <v>1</v>
      </c>
      <c r="AF2" s="3">
        <v>2</v>
      </c>
      <c r="AG2" s="3">
        <v>2</v>
      </c>
      <c r="AH2" s="3">
        <v>1</v>
      </c>
      <c r="AI2" s="3">
        <v>1</v>
      </c>
      <c r="AJ2" s="3">
        <v>1</v>
      </c>
      <c r="AK2" s="3">
        <v>1</v>
      </c>
      <c r="AL2" s="3">
        <v>1</v>
      </c>
      <c r="AM2" s="3">
        <v>1</v>
      </c>
      <c r="AN2" s="3">
        <v>0</v>
      </c>
      <c r="AO2" s="3">
        <v>0</v>
      </c>
      <c r="AP2" s="3">
        <v>0</v>
      </c>
      <c r="AQ2" s="3">
        <v>0</v>
      </c>
      <c r="AR2" s="2" t="s">
        <v>63</v>
      </c>
      <c r="AS2" s="2" t="s">
        <v>74</v>
      </c>
      <c r="AT2" s="5" t="str">
        <f>HYPERLINK("http://catalog.hathitrust.org/Record/002952175","HathiTrust Record")</f>
        <v>HathiTrust Record</v>
      </c>
      <c r="AU2" s="5" t="str">
        <f>HYPERLINK("https://creighton-primo.hosted.exlibrisgroup.com/primo-explore/search?tab=default_tab&amp;search_scope=EVERYTHING&amp;vid=01CRU&amp;lang=en_US&amp;offset=0&amp;query=any,contains,991002192309702656","Catalog Record")</f>
        <v>Catalog Record</v>
      </c>
      <c r="AV2" s="5" t="str">
        <f>HYPERLINK("http://www.worldcat.org/oclc/28184829","WorldCat Record")</f>
        <v>WorldCat Record</v>
      </c>
      <c r="AW2" s="2" t="s">
        <v>75</v>
      </c>
      <c r="AX2" s="2" t="s">
        <v>76</v>
      </c>
      <c r="AY2" s="2" t="s">
        <v>77</v>
      </c>
      <c r="AZ2" s="2" t="s">
        <v>77</v>
      </c>
      <c r="BA2" s="2" t="s">
        <v>78</v>
      </c>
      <c r="BB2" s="2" t="s">
        <v>79</v>
      </c>
      <c r="BD2" s="2" t="s">
        <v>80</v>
      </c>
      <c r="BE2" s="2" t="s">
        <v>81</v>
      </c>
      <c r="BF2" s="2" t="s">
        <v>82</v>
      </c>
    </row>
    <row r="3" spans="1:58" ht="39.75" customHeight="1">
      <c r="A3" s="1"/>
      <c r="B3" s="1" t="s">
        <v>58</v>
      </c>
      <c r="C3" s="1" t="s">
        <v>59</v>
      </c>
      <c r="D3" s="1" t="s">
        <v>83</v>
      </c>
      <c r="E3" s="1" t="s">
        <v>84</v>
      </c>
      <c r="F3" s="1" t="s">
        <v>85</v>
      </c>
      <c r="H3" s="2" t="s">
        <v>63</v>
      </c>
      <c r="I3" s="2" t="s">
        <v>64</v>
      </c>
      <c r="J3" s="2" t="s">
        <v>74</v>
      </c>
      <c r="K3" s="2" t="s">
        <v>63</v>
      </c>
      <c r="L3" s="2" t="s">
        <v>65</v>
      </c>
      <c r="M3" s="1" t="s">
        <v>86</v>
      </c>
      <c r="N3" s="1" t="s">
        <v>87</v>
      </c>
      <c r="O3" s="2" t="s">
        <v>88</v>
      </c>
      <c r="Q3" s="2" t="s">
        <v>68</v>
      </c>
      <c r="R3" s="2" t="s">
        <v>89</v>
      </c>
      <c r="S3" s="1" t="s">
        <v>90</v>
      </c>
      <c r="T3" s="2" t="s">
        <v>71</v>
      </c>
      <c r="U3" s="3">
        <v>0</v>
      </c>
      <c r="V3" s="3">
        <v>8</v>
      </c>
      <c r="X3" s="4" t="s">
        <v>91</v>
      </c>
      <c r="Y3" s="4" t="s">
        <v>92</v>
      </c>
      <c r="Z3" s="4" t="s">
        <v>92</v>
      </c>
      <c r="AA3" s="3">
        <v>467</v>
      </c>
      <c r="AB3" s="3">
        <v>425</v>
      </c>
      <c r="AC3" s="3">
        <v>431</v>
      </c>
      <c r="AD3" s="3">
        <v>3</v>
      </c>
      <c r="AE3" s="3">
        <v>3</v>
      </c>
      <c r="AF3" s="3">
        <v>26</v>
      </c>
      <c r="AG3" s="3">
        <v>26</v>
      </c>
      <c r="AH3" s="3">
        <v>7</v>
      </c>
      <c r="AI3" s="3">
        <v>7</v>
      </c>
      <c r="AJ3" s="3">
        <v>4</v>
      </c>
      <c r="AK3" s="3">
        <v>4</v>
      </c>
      <c r="AL3" s="3">
        <v>8</v>
      </c>
      <c r="AM3" s="3">
        <v>8</v>
      </c>
      <c r="AN3" s="3">
        <v>1</v>
      </c>
      <c r="AO3" s="3">
        <v>1</v>
      </c>
      <c r="AP3" s="3">
        <v>10</v>
      </c>
      <c r="AQ3" s="3">
        <v>10</v>
      </c>
      <c r="AR3" s="2" t="s">
        <v>63</v>
      </c>
      <c r="AS3" s="2" t="s">
        <v>74</v>
      </c>
      <c r="AT3" s="5" t="str">
        <f>HYPERLINK("http://catalog.hathitrust.org/Record/009913757","HathiTrust Record")</f>
        <v>HathiTrust Record</v>
      </c>
      <c r="AU3" s="5" t="str">
        <f>HYPERLINK("https://creighton-primo.hosted.exlibrisgroup.com/primo-explore/search?tab=default_tab&amp;search_scope=EVERYTHING&amp;vid=01CRU&amp;lang=en_US&amp;offset=0&amp;query=any,contains,991001806409702656","Catalog Record")</f>
        <v>Catalog Record</v>
      </c>
      <c r="AV3" s="5" t="str">
        <f>HYPERLINK("http://www.worldcat.org/oclc/6734793","WorldCat Record")</f>
        <v>WorldCat Record</v>
      </c>
      <c r="AW3" s="2" t="s">
        <v>93</v>
      </c>
      <c r="AX3" s="2" t="s">
        <v>94</v>
      </c>
      <c r="AY3" s="2" t="s">
        <v>95</v>
      </c>
      <c r="AZ3" s="2" t="s">
        <v>95</v>
      </c>
      <c r="BA3" s="2" t="s">
        <v>96</v>
      </c>
      <c r="BB3" s="2" t="s">
        <v>79</v>
      </c>
      <c r="BD3" s="2" t="s">
        <v>97</v>
      </c>
      <c r="BE3" s="2" t="s">
        <v>98</v>
      </c>
      <c r="BF3" s="2" t="s">
        <v>99</v>
      </c>
    </row>
    <row r="4" spans="1:58" ht="39.75" customHeight="1">
      <c r="A4" s="1"/>
      <c r="B4" s="1" t="s">
        <v>58</v>
      </c>
      <c r="C4" s="1" t="s">
        <v>59</v>
      </c>
      <c r="D4" s="1" t="s">
        <v>100</v>
      </c>
      <c r="E4" s="1" t="s">
        <v>101</v>
      </c>
      <c r="F4" s="1" t="s">
        <v>102</v>
      </c>
      <c r="H4" s="2" t="s">
        <v>63</v>
      </c>
      <c r="I4" s="2" t="s">
        <v>64</v>
      </c>
      <c r="J4" s="2" t="s">
        <v>63</v>
      </c>
      <c r="K4" s="2" t="s">
        <v>63</v>
      </c>
      <c r="L4" s="2" t="s">
        <v>65</v>
      </c>
      <c r="M4" s="1" t="s">
        <v>103</v>
      </c>
      <c r="N4" s="1" t="s">
        <v>104</v>
      </c>
      <c r="O4" s="2" t="s">
        <v>105</v>
      </c>
      <c r="Q4" s="2" t="s">
        <v>68</v>
      </c>
      <c r="R4" s="2" t="s">
        <v>106</v>
      </c>
      <c r="T4" s="2" t="s">
        <v>71</v>
      </c>
      <c r="U4" s="3">
        <v>15</v>
      </c>
      <c r="V4" s="3">
        <v>15</v>
      </c>
      <c r="W4" s="4" t="s">
        <v>107</v>
      </c>
      <c r="X4" s="4" t="s">
        <v>107</v>
      </c>
      <c r="Y4" s="4" t="s">
        <v>108</v>
      </c>
      <c r="Z4" s="4" t="s">
        <v>108</v>
      </c>
      <c r="AA4" s="3">
        <v>195</v>
      </c>
      <c r="AB4" s="3">
        <v>168</v>
      </c>
      <c r="AC4" s="3">
        <v>203</v>
      </c>
      <c r="AD4" s="3">
        <v>4</v>
      </c>
      <c r="AE4" s="3">
        <v>4</v>
      </c>
      <c r="AF4" s="3">
        <v>8</v>
      </c>
      <c r="AG4" s="3">
        <v>8</v>
      </c>
      <c r="AH4" s="3">
        <v>2</v>
      </c>
      <c r="AI4" s="3">
        <v>2</v>
      </c>
      <c r="AJ4" s="3">
        <v>0</v>
      </c>
      <c r="AK4" s="3">
        <v>0</v>
      </c>
      <c r="AL4" s="3">
        <v>2</v>
      </c>
      <c r="AM4" s="3">
        <v>2</v>
      </c>
      <c r="AN4" s="3">
        <v>3</v>
      </c>
      <c r="AO4" s="3">
        <v>3</v>
      </c>
      <c r="AP4" s="3">
        <v>1</v>
      </c>
      <c r="AQ4" s="3">
        <v>1</v>
      </c>
      <c r="AR4" s="2" t="s">
        <v>63</v>
      </c>
      <c r="AS4" s="2" t="s">
        <v>63</v>
      </c>
      <c r="AU4" s="5" t="str">
        <f>HYPERLINK("https://creighton-primo.hosted.exlibrisgroup.com/primo-explore/search?tab=default_tab&amp;search_scope=EVERYTHING&amp;vid=01CRU&amp;lang=en_US&amp;offset=0&amp;query=any,contains,991000870439702656","Catalog Record")</f>
        <v>Catalog Record</v>
      </c>
      <c r="AV4" s="5" t="str">
        <f>HYPERLINK("http://www.worldcat.org/oclc/13792217","WorldCat Record")</f>
        <v>WorldCat Record</v>
      </c>
      <c r="AW4" s="2" t="s">
        <v>109</v>
      </c>
      <c r="AX4" s="2" t="s">
        <v>110</v>
      </c>
      <c r="AY4" s="2" t="s">
        <v>111</v>
      </c>
      <c r="AZ4" s="2" t="s">
        <v>111</v>
      </c>
      <c r="BA4" s="2" t="s">
        <v>112</v>
      </c>
      <c r="BB4" s="2" t="s">
        <v>79</v>
      </c>
      <c r="BD4" s="2" t="s">
        <v>113</v>
      </c>
      <c r="BE4" s="2" t="s">
        <v>114</v>
      </c>
      <c r="BF4" s="2" t="s">
        <v>115</v>
      </c>
    </row>
    <row r="5" spans="1:58" ht="39.75" customHeight="1">
      <c r="A5" s="1"/>
      <c r="B5" s="1" t="s">
        <v>58</v>
      </c>
      <c r="C5" s="1" t="s">
        <v>59</v>
      </c>
      <c r="D5" s="1" t="s">
        <v>116</v>
      </c>
      <c r="E5" s="1" t="s">
        <v>117</v>
      </c>
      <c r="F5" s="1" t="s">
        <v>118</v>
      </c>
      <c r="H5" s="2" t="s">
        <v>63</v>
      </c>
      <c r="I5" s="2" t="s">
        <v>64</v>
      </c>
      <c r="J5" s="2" t="s">
        <v>63</v>
      </c>
      <c r="K5" s="2" t="s">
        <v>63</v>
      </c>
      <c r="L5" s="2" t="s">
        <v>65</v>
      </c>
      <c r="M5" s="1" t="s">
        <v>119</v>
      </c>
      <c r="N5" s="1" t="s">
        <v>120</v>
      </c>
      <c r="O5" s="2" t="s">
        <v>121</v>
      </c>
      <c r="Q5" s="2" t="s">
        <v>68</v>
      </c>
      <c r="R5" s="2" t="s">
        <v>106</v>
      </c>
      <c r="T5" s="2" t="s">
        <v>71</v>
      </c>
      <c r="U5" s="3">
        <v>5</v>
      </c>
      <c r="V5" s="3">
        <v>5</v>
      </c>
      <c r="W5" s="4" t="s">
        <v>122</v>
      </c>
      <c r="X5" s="4" t="s">
        <v>122</v>
      </c>
      <c r="Y5" s="4" t="s">
        <v>123</v>
      </c>
      <c r="Z5" s="4" t="s">
        <v>123</v>
      </c>
      <c r="AA5" s="3">
        <v>217</v>
      </c>
      <c r="AB5" s="3">
        <v>206</v>
      </c>
      <c r="AC5" s="3">
        <v>221</v>
      </c>
      <c r="AD5" s="3">
        <v>2</v>
      </c>
      <c r="AE5" s="3">
        <v>2</v>
      </c>
      <c r="AF5" s="3">
        <v>0</v>
      </c>
      <c r="AG5" s="3">
        <v>0</v>
      </c>
      <c r="AH5" s="3">
        <v>0</v>
      </c>
      <c r="AI5" s="3">
        <v>0</v>
      </c>
      <c r="AJ5" s="3">
        <v>0</v>
      </c>
      <c r="AK5" s="3">
        <v>0</v>
      </c>
      <c r="AL5" s="3">
        <v>0</v>
      </c>
      <c r="AM5" s="3">
        <v>0</v>
      </c>
      <c r="AN5" s="3">
        <v>0</v>
      </c>
      <c r="AO5" s="3">
        <v>0</v>
      </c>
      <c r="AP5" s="3">
        <v>0</v>
      </c>
      <c r="AQ5" s="3">
        <v>0</v>
      </c>
      <c r="AR5" s="2" t="s">
        <v>63</v>
      </c>
      <c r="AS5" s="2" t="s">
        <v>63</v>
      </c>
      <c r="AU5" s="5" t="str">
        <f>HYPERLINK("https://creighton-primo.hosted.exlibrisgroup.com/primo-explore/search?tab=default_tab&amp;search_scope=EVERYTHING&amp;vid=01CRU&amp;lang=en_US&amp;offset=0&amp;query=any,contains,991004480359702656","Catalog Record")</f>
        <v>Catalog Record</v>
      </c>
      <c r="AV5" s="5" t="str">
        <f>HYPERLINK("http://www.worldcat.org/oclc/3627263","WorldCat Record")</f>
        <v>WorldCat Record</v>
      </c>
      <c r="AW5" s="2" t="s">
        <v>124</v>
      </c>
      <c r="AX5" s="2" t="s">
        <v>125</v>
      </c>
      <c r="AY5" s="2" t="s">
        <v>126</v>
      </c>
      <c r="AZ5" s="2" t="s">
        <v>126</v>
      </c>
      <c r="BA5" s="2" t="s">
        <v>127</v>
      </c>
      <c r="BB5" s="2" t="s">
        <v>79</v>
      </c>
      <c r="BD5" s="2" t="s">
        <v>128</v>
      </c>
      <c r="BE5" s="2" t="s">
        <v>129</v>
      </c>
      <c r="BF5" s="2" t="s">
        <v>130</v>
      </c>
    </row>
    <row r="6" spans="1:58" ht="39.75" customHeight="1">
      <c r="A6" s="1"/>
      <c r="B6" s="1" t="s">
        <v>58</v>
      </c>
      <c r="C6" s="1" t="s">
        <v>59</v>
      </c>
      <c r="D6" s="1" t="s">
        <v>131</v>
      </c>
      <c r="E6" s="1" t="s">
        <v>132</v>
      </c>
      <c r="F6" s="1" t="s">
        <v>133</v>
      </c>
      <c r="H6" s="2" t="s">
        <v>63</v>
      </c>
      <c r="I6" s="2" t="s">
        <v>64</v>
      </c>
      <c r="J6" s="2" t="s">
        <v>63</v>
      </c>
      <c r="K6" s="2" t="s">
        <v>63</v>
      </c>
      <c r="L6" s="2" t="s">
        <v>65</v>
      </c>
      <c r="M6" s="1" t="s">
        <v>134</v>
      </c>
      <c r="N6" s="1" t="s">
        <v>135</v>
      </c>
      <c r="O6" s="2" t="s">
        <v>136</v>
      </c>
      <c r="Q6" s="2" t="s">
        <v>68</v>
      </c>
      <c r="R6" s="2" t="s">
        <v>137</v>
      </c>
      <c r="T6" s="2" t="s">
        <v>71</v>
      </c>
      <c r="U6" s="3">
        <v>5</v>
      </c>
      <c r="V6" s="3">
        <v>5</v>
      </c>
      <c r="W6" s="4" t="s">
        <v>138</v>
      </c>
      <c r="X6" s="4" t="s">
        <v>138</v>
      </c>
      <c r="Y6" s="4" t="s">
        <v>139</v>
      </c>
      <c r="Z6" s="4" t="s">
        <v>139</v>
      </c>
      <c r="AA6" s="3">
        <v>194</v>
      </c>
      <c r="AB6" s="3">
        <v>117</v>
      </c>
      <c r="AC6" s="3">
        <v>117</v>
      </c>
      <c r="AD6" s="3">
        <v>1</v>
      </c>
      <c r="AE6" s="3">
        <v>1</v>
      </c>
      <c r="AF6" s="3">
        <v>1</v>
      </c>
      <c r="AG6" s="3">
        <v>1</v>
      </c>
      <c r="AH6" s="3">
        <v>1</v>
      </c>
      <c r="AI6" s="3">
        <v>1</v>
      </c>
      <c r="AJ6" s="3">
        <v>0</v>
      </c>
      <c r="AK6" s="3">
        <v>0</v>
      </c>
      <c r="AL6" s="3">
        <v>0</v>
      </c>
      <c r="AM6" s="3">
        <v>0</v>
      </c>
      <c r="AN6" s="3">
        <v>0</v>
      </c>
      <c r="AO6" s="3">
        <v>0</v>
      </c>
      <c r="AP6" s="3">
        <v>0</v>
      </c>
      <c r="AQ6" s="3">
        <v>0</v>
      </c>
      <c r="AR6" s="2" t="s">
        <v>63</v>
      </c>
      <c r="AS6" s="2" t="s">
        <v>63</v>
      </c>
      <c r="AU6" s="5" t="str">
        <f>HYPERLINK("https://creighton-primo.hosted.exlibrisgroup.com/primo-explore/search?tab=default_tab&amp;search_scope=EVERYTHING&amp;vid=01CRU&amp;lang=en_US&amp;offset=0&amp;query=any,contains,991005250259702656","Catalog Record")</f>
        <v>Catalog Record</v>
      </c>
      <c r="AV6" s="5" t="str">
        <f>HYPERLINK("http://www.worldcat.org/oclc/8764766","WorldCat Record")</f>
        <v>WorldCat Record</v>
      </c>
      <c r="AW6" s="2" t="s">
        <v>140</v>
      </c>
      <c r="AX6" s="2" t="s">
        <v>141</v>
      </c>
      <c r="AY6" s="2" t="s">
        <v>142</v>
      </c>
      <c r="AZ6" s="2" t="s">
        <v>142</v>
      </c>
      <c r="BA6" s="2" t="s">
        <v>143</v>
      </c>
      <c r="BB6" s="2" t="s">
        <v>79</v>
      </c>
      <c r="BD6" s="2" t="s">
        <v>144</v>
      </c>
      <c r="BE6" s="2" t="s">
        <v>145</v>
      </c>
      <c r="BF6" s="2" t="s">
        <v>146</v>
      </c>
    </row>
    <row r="7" spans="1:58" ht="39.75" customHeight="1">
      <c r="A7" s="1"/>
      <c r="B7" s="1" t="s">
        <v>58</v>
      </c>
      <c r="C7" s="1" t="s">
        <v>59</v>
      </c>
      <c r="D7" s="1" t="s">
        <v>147</v>
      </c>
      <c r="E7" s="1" t="s">
        <v>148</v>
      </c>
      <c r="F7" s="1" t="s">
        <v>149</v>
      </c>
      <c r="H7" s="2" t="s">
        <v>63</v>
      </c>
      <c r="I7" s="2" t="s">
        <v>64</v>
      </c>
      <c r="J7" s="2" t="s">
        <v>74</v>
      </c>
      <c r="K7" s="2" t="s">
        <v>63</v>
      </c>
      <c r="L7" s="2" t="s">
        <v>65</v>
      </c>
      <c r="N7" s="1" t="s">
        <v>150</v>
      </c>
      <c r="O7" s="2" t="s">
        <v>151</v>
      </c>
      <c r="Q7" s="2" t="s">
        <v>68</v>
      </c>
      <c r="R7" s="2" t="s">
        <v>106</v>
      </c>
      <c r="T7" s="2" t="s">
        <v>71</v>
      </c>
      <c r="U7" s="3">
        <v>5</v>
      </c>
      <c r="V7" s="3">
        <v>5</v>
      </c>
      <c r="W7" s="4" t="s">
        <v>152</v>
      </c>
      <c r="X7" s="4" t="s">
        <v>152</v>
      </c>
      <c r="Y7" s="4" t="s">
        <v>153</v>
      </c>
      <c r="Z7" s="4" t="s">
        <v>153</v>
      </c>
      <c r="AA7" s="3">
        <v>596</v>
      </c>
      <c r="AB7" s="3">
        <v>476</v>
      </c>
      <c r="AC7" s="3">
        <v>484</v>
      </c>
      <c r="AD7" s="3">
        <v>4</v>
      </c>
      <c r="AE7" s="3">
        <v>4</v>
      </c>
      <c r="AF7" s="3">
        <v>18</v>
      </c>
      <c r="AG7" s="3">
        <v>18</v>
      </c>
      <c r="AH7" s="3">
        <v>5</v>
      </c>
      <c r="AI7" s="3">
        <v>5</v>
      </c>
      <c r="AJ7" s="3">
        <v>3</v>
      </c>
      <c r="AK7" s="3">
        <v>3</v>
      </c>
      <c r="AL7" s="3">
        <v>11</v>
      </c>
      <c r="AM7" s="3">
        <v>11</v>
      </c>
      <c r="AN7" s="3">
        <v>1</v>
      </c>
      <c r="AO7" s="3">
        <v>1</v>
      </c>
      <c r="AP7" s="3">
        <v>4</v>
      </c>
      <c r="AQ7" s="3">
        <v>4</v>
      </c>
      <c r="AR7" s="2" t="s">
        <v>63</v>
      </c>
      <c r="AS7" s="2" t="s">
        <v>63</v>
      </c>
      <c r="AU7" s="5" t="str">
        <f>HYPERLINK("https://creighton-primo.hosted.exlibrisgroup.com/primo-explore/search?tab=default_tab&amp;search_scope=EVERYTHING&amp;vid=01CRU&amp;lang=en_US&amp;offset=0&amp;query=any,contains,991000601119702656","Catalog Record")</f>
        <v>Catalog Record</v>
      </c>
      <c r="AV7" s="5" t="str">
        <f>HYPERLINK("http://www.worldcat.org/oclc/11841381","WorldCat Record")</f>
        <v>WorldCat Record</v>
      </c>
      <c r="AW7" s="2" t="s">
        <v>154</v>
      </c>
      <c r="AX7" s="2" t="s">
        <v>155</v>
      </c>
      <c r="AY7" s="2" t="s">
        <v>156</v>
      </c>
      <c r="AZ7" s="2" t="s">
        <v>156</v>
      </c>
      <c r="BA7" s="2" t="s">
        <v>157</v>
      </c>
      <c r="BB7" s="2" t="s">
        <v>79</v>
      </c>
      <c r="BD7" s="2" t="s">
        <v>158</v>
      </c>
      <c r="BE7" s="2" t="s">
        <v>159</v>
      </c>
      <c r="BF7" s="2" t="s">
        <v>160</v>
      </c>
    </row>
    <row r="8" spans="1:58" ht="39.75" customHeight="1">
      <c r="A8" s="1"/>
      <c r="B8" s="1" t="s">
        <v>58</v>
      </c>
      <c r="C8" s="1" t="s">
        <v>59</v>
      </c>
      <c r="D8" s="1" t="s">
        <v>161</v>
      </c>
      <c r="E8" s="1" t="s">
        <v>162</v>
      </c>
      <c r="F8" s="1" t="s">
        <v>163</v>
      </c>
      <c r="H8" s="2" t="s">
        <v>63</v>
      </c>
      <c r="I8" s="2" t="s">
        <v>64</v>
      </c>
      <c r="J8" s="2" t="s">
        <v>63</v>
      </c>
      <c r="K8" s="2" t="s">
        <v>63</v>
      </c>
      <c r="L8" s="2" t="s">
        <v>65</v>
      </c>
      <c r="M8" s="1" t="s">
        <v>164</v>
      </c>
      <c r="N8" s="1" t="s">
        <v>165</v>
      </c>
      <c r="O8" s="2" t="s">
        <v>166</v>
      </c>
      <c r="Q8" s="2" t="s">
        <v>68</v>
      </c>
      <c r="R8" s="2" t="s">
        <v>167</v>
      </c>
      <c r="T8" s="2" t="s">
        <v>71</v>
      </c>
      <c r="U8" s="3">
        <v>8</v>
      </c>
      <c r="V8" s="3">
        <v>8</v>
      </c>
      <c r="W8" s="4" t="s">
        <v>168</v>
      </c>
      <c r="X8" s="4" t="s">
        <v>168</v>
      </c>
      <c r="Y8" s="4" t="s">
        <v>169</v>
      </c>
      <c r="Z8" s="4" t="s">
        <v>169</v>
      </c>
      <c r="AA8" s="3">
        <v>399</v>
      </c>
      <c r="AB8" s="3">
        <v>356</v>
      </c>
      <c r="AC8" s="3">
        <v>363</v>
      </c>
      <c r="AD8" s="3">
        <v>5</v>
      </c>
      <c r="AE8" s="3">
        <v>5</v>
      </c>
      <c r="AF8" s="3">
        <v>17</v>
      </c>
      <c r="AG8" s="3">
        <v>17</v>
      </c>
      <c r="AH8" s="3">
        <v>2</v>
      </c>
      <c r="AI8" s="3">
        <v>2</v>
      </c>
      <c r="AJ8" s="3">
        <v>2</v>
      </c>
      <c r="AK8" s="3">
        <v>2</v>
      </c>
      <c r="AL8" s="3">
        <v>4</v>
      </c>
      <c r="AM8" s="3">
        <v>4</v>
      </c>
      <c r="AN8" s="3">
        <v>4</v>
      </c>
      <c r="AO8" s="3">
        <v>4</v>
      </c>
      <c r="AP8" s="3">
        <v>7</v>
      </c>
      <c r="AQ8" s="3">
        <v>7</v>
      </c>
      <c r="AR8" s="2" t="s">
        <v>63</v>
      </c>
      <c r="AS8" s="2" t="s">
        <v>74</v>
      </c>
      <c r="AT8" s="5" t="str">
        <f>HYPERLINK("http://catalog.hathitrust.org/Record/001545292","HathiTrust Record")</f>
        <v>HathiTrust Record</v>
      </c>
      <c r="AU8" s="5" t="str">
        <f>HYPERLINK("https://creighton-primo.hosted.exlibrisgroup.com/primo-explore/search?tab=default_tab&amp;search_scope=EVERYTHING&amp;vid=01CRU&amp;lang=en_US&amp;offset=0&amp;query=any,contains,991001302749702656","Catalog Record")</f>
        <v>Catalog Record</v>
      </c>
      <c r="AV8" s="5" t="str">
        <f>HYPERLINK("http://www.worldcat.org/oclc/18072033","WorldCat Record")</f>
        <v>WorldCat Record</v>
      </c>
      <c r="AW8" s="2" t="s">
        <v>170</v>
      </c>
      <c r="AX8" s="2" t="s">
        <v>171</v>
      </c>
      <c r="AY8" s="2" t="s">
        <v>172</v>
      </c>
      <c r="AZ8" s="2" t="s">
        <v>172</v>
      </c>
      <c r="BA8" s="2" t="s">
        <v>173</v>
      </c>
      <c r="BB8" s="2" t="s">
        <v>79</v>
      </c>
      <c r="BD8" s="2" t="s">
        <v>174</v>
      </c>
      <c r="BE8" s="2" t="s">
        <v>175</v>
      </c>
      <c r="BF8" s="2" t="s">
        <v>176</v>
      </c>
    </row>
    <row r="9" spans="1:58" ht="39.75" customHeight="1">
      <c r="A9" s="1"/>
      <c r="B9" s="1" t="s">
        <v>58</v>
      </c>
      <c r="C9" s="1" t="s">
        <v>59</v>
      </c>
      <c r="D9" s="1" t="s">
        <v>177</v>
      </c>
      <c r="E9" s="1" t="s">
        <v>178</v>
      </c>
      <c r="F9" s="1" t="s">
        <v>179</v>
      </c>
      <c r="H9" s="2" t="s">
        <v>63</v>
      </c>
      <c r="I9" s="2" t="s">
        <v>64</v>
      </c>
      <c r="J9" s="2" t="s">
        <v>63</v>
      </c>
      <c r="K9" s="2" t="s">
        <v>63</v>
      </c>
      <c r="L9" s="2" t="s">
        <v>65</v>
      </c>
      <c r="N9" s="1" t="s">
        <v>180</v>
      </c>
      <c r="O9" s="2" t="s">
        <v>105</v>
      </c>
      <c r="Q9" s="2" t="s">
        <v>68</v>
      </c>
      <c r="R9" s="2" t="s">
        <v>181</v>
      </c>
      <c r="T9" s="2" t="s">
        <v>71</v>
      </c>
      <c r="U9" s="3">
        <v>1</v>
      </c>
      <c r="V9" s="3">
        <v>1</v>
      </c>
      <c r="W9" s="4" t="s">
        <v>182</v>
      </c>
      <c r="X9" s="4" t="s">
        <v>182</v>
      </c>
      <c r="Y9" s="4" t="s">
        <v>183</v>
      </c>
      <c r="Z9" s="4" t="s">
        <v>183</v>
      </c>
      <c r="AA9" s="3">
        <v>184</v>
      </c>
      <c r="AB9" s="3">
        <v>170</v>
      </c>
      <c r="AC9" s="3">
        <v>171</v>
      </c>
      <c r="AD9" s="3">
        <v>1</v>
      </c>
      <c r="AE9" s="3">
        <v>1</v>
      </c>
      <c r="AF9" s="3">
        <v>11</v>
      </c>
      <c r="AG9" s="3">
        <v>11</v>
      </c>
      <c r="AH9" s="3">
        <v>1</v>
      </c>
      <c r="AI9" s="3">
        <v>1</v>
      </c>
      <c r="AJ9" s="3">
        <v>1</v>
      </c>
      <c r="AK9" s="3">
        <v>1</v>
      </c>
      <c r="AL9" s="3">
        <v>3</v>
      </c>
      <c r="AM9" s="3">
        <v>3</v>
      </c>
      <c r="AN9" s="3">
        <v>0</v>
      </c>
      <c r="AO9" s="3">
        <v>0</v>
      </c>
      <c r="AP9" s="3">
        <v>7</v>
      </c>
      <c r="AQ9" s="3">
        <v>7</v>
      </c>
      <c r="AR9" s="2" t="s">
        <v>63</v>
      </c>
      <c r="AS9" s="2" t="s">
        <v>63</v>
      </c>
      <c r="AU9" s="5" t="str">
        <f>HYPERLINK("https://creighton-primo.hosted.exlibrisgroup.com/primo-explore/search?tab=default_tab&amp;search_scope=EVERYTHING&amp;vid=01CRU&amp;lang=en_US&amp;offset=0&amp;query=any,contains,991000766339702656","Catalog Record")</f>
        <v>Catalog Record</v>
      </c>
      <c r="AV9" s="5" t="str">
        <f>HYPERLINK("http://www.worldcat.org/oclc/13003250","WorldCat Record")</f>
        <v>WorldCat Record</v>
      </c>
      <c r="AW9" s="2" t="s">
        <v>184</v>
      </c>
      <c r="AX9" s="2" t="s">
        <v>185</v>
      </c>
      <c r="AY9" s="2" t="s">
        <v>186</v>
      </c>
      <c r="AZ9" s="2" t="s">
        <v>186</v>
      </c>
      <c r="BA9" s="2" t="s">
        <v>187</v>
      </c>
      <c r="BB9" s="2" t="s">
        <v>79</v>
      </c>
      <c r="BD9" s="2" t="s">
        <v>188</v>
      </c>
      <c r="BE9" s="2" t="s">
        <v>189</v>
      </c>
      <c r="BF9" s="2" t="s">
        <v>190</v>
      </c>
    </row>
    <row r="10" spans="1:58" ht="39.75" customHeight="1">
      <c r="A10" s="1"/>
      <c r="B10" s="1" t="s">
        <v>58</v>
      </c>
      <c r="C10" s="1" t="s">
        <v>59</v>
      </c>
      <c r="D10" s="1" t="s">
        <v>191</v>
      </c>
      <c r="E10" s="1" t="s">
        <v>192</v>
      </c>
      <c r="F10" s="1" t="s">
        <v>193</v>
      </c>
      <c r="H10" s="2" t="s">
        <v>63</v>
      </c>
      <c r="I10" s="2" t="s">
        <v>64</v>
      </c>
      <c r="J10" s="2" t="s">
        <v>63</v>
      </c>
      <c r="K10" s="2" t="s">
        <v>63</v>
      </c>
      <c r="L10" s="2" t="s">
        <v>65</v>
      </c>
      <c r="N10" s="1" t="s">
        <v>194</v>
      </c>
      <c r="O10" s="2" t="s">
        <v>88</v>
      </c>
      <c r="Q10" s="2" t="s">
        <v>68</v>
      </c>
      <c r="R10" s="2" t="s">
        <v>195</v>
      </c>
      <c r="T10" s="2" t="s">
        <v>71</v>
      </c>
      <c r="U10" s="3">
        <v>6</v>
      </c>
      <c r="V10" s="3">
        <v>6</v>
      </c>
      <c r="W10" s="4" t="s">
        <v>196</v>
      </c>
      <c r="X10" s="4" t="s">
        <v>196</v>
      </c>
      <c r="Y10" s="4" t="s">
        <v>139</v>
      </c>
      <c r="Z10" s="4" t="s">
        <v>139</v>
      </c>
      <c r="AA10" s="3">
        <v>319</v>
      </c>
      <c r="AB10" s="3">
        <v>272</v>
      </c>
      <c r="AC10" s="3">
        <v>279</v>
      </c>
      <c r="AD10" s="3">
        <v>2</v>
      </c>
      <c r="AE10" s="3">
        <v>2</v>
      </c>
      <c r="AF10" s="3">
        <v>10</v>
      </c>
      <c r="AG10" s="3">
        <v>10</v>
      </c>
      <c r="AH10" s="3">
        <v>1</v>
      </c>
      <c r="AI10" s="3">
        <v>1</v>
      </c>
      <c r="AJ10" s="3">
        <v>1</v>
      </c>
      <c r="AK10" s="3">
        <v>1</v>
      </c>
      <c r="AL10" s="3">
        <v>2</v>
      </c>
      <c r="AM10" s="3">
        <v>2</v>
      </c>
      <c r="AN10" s="3">
        <v>1</v>
      </c>
      <c r="AO10" s="3">
        <v>1</v>
      </c>
      <c r="AP10" s="3">
        <v>6</v>
      </c>
      <c r="AQ10" s="3">
        <v>6</v>
      </c>
      <c r="AR10" s="2" t="s">
        <v>63</v>
      </c>
      <c r="AS10" s="2" t="s">
        <v>63</v>
      </c>
      <c r="AU10" s="5" t="str">
        <f>HYPERLINK("https://creighton-primo.hosted.exlibrisgroup.com/primo-explore/search?tab=default_tab&amp;search_scope=EVERYTHING&amp;vid=01CRU&amp;lang=en_US&amp;offset=0&amp;query=any,contains,991004694699702656","Catalog Record")</f>
        <v>Catalog Record</v>
      </c>
      <c r="AV10" s="5" t="str">
        <f>HYPERLINK("http://www.worldcat.org/oclc/4638486","WorldCat Record")</f>
        <v>WorldCat Record</v>
      </c>
      <c r="AW10" s="2" t="s">
        <v>197</v>
      </c>
      <c r="AX10" s="2" t="s">
        <v>198</v>
      </c>
      <c r="AY10" s="2" t="s">
        <v>199</v>
      </c>
      <c r="AZ10" s="2" t="s">
        <v>199</v>
      </c>
      <c r="BA10" s="2" t="s">
        <v>200</v>
      </c>
      <c r="BB10" s="2" t="s">
        <v>79</v>
      </c>
      <c r="BD10" s="2" t="s">
        <v>201</v>
      </c>
      <c r="BE10" s="2" t="s">
        <v>202</v>
      </c>
      <c r="BF10" s="2" t="s">
        <v>203</v>
      </c>
    </row>
    <row r="11" spans="1:58" ht="39.75" customHeight="1">
      <c r="A11" s="1"/>
      <c r="B11" s="1" t="s">
        <v>58</v>
      </c>
      <c r="C11" s="1" t="s">
        <v>59</v>
      </c>
      <c r="D11" s="1" t="s">
        <v>204</v>
      </c>
      <c r="E11" s="1" t="s">
        <v>205</v>
      </c>
      <c r="F11" s="1" t="s">
        <v>206</v>
      </c>
      <c r="H11" s="2" t="s">
        <v>63</v>
      </c>
      <c r="I11" s="2" t="s">
        <v>64</v>
      </c>
      <c r="J11" s="2" t="s">
        <v>63</v>
      </c>
      <c r="K11" s="2" t="s">
        <v>63</v>
      </c>
      <c r="L11" s="2" t="s">
        <v>65</v>
      </c>
      <c r="M11" s="1" t="s">
        <v>207</v>
      </c>
      <c r="N11" s="1" t="s">
        <v>208</v>
      </c>
      <c r="O11" s="2" t="s">
        <v>209</v>
      </c>
      <c r="Q11" s="2" t="s">
        <v>68</v>
      </c>
      <c r="R11" s="2" t="s">
        <v>106</v>
      </c>
      <c r="T11" s="2" t="s">
        <v>71</v>
      </c>
      <c r="U11" s="3">
        <v>5</v>
      </c>
      <c r="V11" s="3">
        <v>5</v>
      </c>
      <c r="W11" s="4" t="s">
        <v>210</v>
      </c>
      <c r="X11" s="4" t="s">
        <v>210</v>
      </c>
      <c r="Y11" s="4" t="s">
        <v>211</v>
      </c>
      <c r="Z11" s="4" t="s">
        <v>211</v>
      </c>
      <c r="AA11" s="3">
        <v>345</v>
      </c>
      <c r="AB11" s="3">
        <v>302</v>
      </c>
      <c r="AC11" s="3">
        <v>304</v>
      </c>
      <c r="AD11" s="3">
        <v>2</v>
      </c>
      <c r="AE11" s="3">
        <v>2</v>
      </c>
      <c r="AF11" s="3">
        <v>15</v>
      </c>
      <c r="AG11" s="3">
        <v>15</v>
      </c>
      <c r="AH11" s="3">
        <v>5</v>
      </c>
      <c r="AI11" s="3">
        <v>5</v>
      </c>
      <c r="AJ11" s="3">
        <v>3</v>
      </c>
      <c r="AK11" s="3">
        <v>3</v>
      </c>
      <c r="AL11" s="3">
        <v>5</v>
      </c>
      <c r="AM11" s="3">
        <v>5</v>
      </c>
      <c r="AN11" s="3">
        <v>1</v>
      </c>
      <c r="AO11" s="3">
        <v>1</v>
      </c>
      <c r="AP11" s="3">
        <v>3</v>
      </c>
      <c r="AQ11" s="3">
        <v>3</v>
      </c>
      <c r="AR11" s="2" t="s">
        <v>63</v>
      </c>
      <c r="AS11" s="2" t="s">
        <v>74</v>
      </c>
      <c r="AT11" s="5" t="str">
        <f>HYPERLINK("http://catalog.hathitrust.org/Record/004418530","HathiTrust Record")</f>
        <v>HathiTrust Record</v>
      </c>
      <c r="AU11" s="5" t="str">
        <f>HYPERLINK("https://creighton-primo.hosted.exlibrisgroup.com/primo-explore/search?tab=default_tab&amp;search_scope=EVERYTHING&amp;vid=01CRU&amp;lang=en_US&amp;offset=0&amp;query=any,contains,991000171749702656","Catalog Record")</f>
        <v>Catalog Record</v>
      </c>
      <c r="AV11" s="5" t="str">
        <f>HYPERLINK("http://www.worldcat.org/oclc/9324582","WorldCat Record")</f>
        <v>WorldCat Record</v>
      </c>
      <c r="AW11" s="2" t="s">
        <v>212</v>
      </c>
      <c r="AX11" s="2" t="s">
        <v>213</v>
      </c>
      <c r="AY11" s="2" t="s">
        <v>214</v>
      </c>
      <c r="AZ11" s="2" t="s">
        <v>214</v>
      </c>
      <c r="BA11" s="2" t="s">
        <v>215</v>
      </c>
      <c r="BB11" s="2" t="s">
        <v>79</v>
      </c>
      <c r="BD11" s="2" t="s">
        <v>216</v>
      </c>
      <c r="BE11" s="2" t="s">
        <v>217</v>
      </c>
      <c r="BF11" s="2" t="s">
        <v>218</v>
      </c>
    </row>
    <row r="12" spans="1:58" ht="39.75" customHeight="1">
      <c r="A12" s="1"/>
      <c r="B12" s="1" t="s">
        <v>58</v>
      </c>
      <c r="C12" s="1" t="s">
        <v>59</v>
      </c>
      <c r="D12" s="1" t="s">
        <v>219</v>
      </c>
      <c r="E12" s="1" t="s">
        <v>220</v>
      </c>
      <c r="F12" s="1" t="s">
        <v>221</v>
      </c>
      <c r="H12" s="2" t="s">
        <v>63</v>
      </c>
      <c r="I12" s="2" t="s">
        <v>64</v>
      </c>
      <c r="J12" s="2" t="s">
        <v>63</v>
      </c>
      <c r="K12" s="2" t="s">
        <v>63</v>
      </c>
      <c r="L12" s="2" t="s">
        <v>65</v>
      </c>
      <c r="M12" s="1" t="s">
        <v>222</v>
      </c>
      <c r="N12" s="1" t="s">
        <v>223</v>
      </c>
      <c r="O12" s="2" t="s">
        <v>224</v>
      </c>
      <c r="Q12" s="2" t="s">
        <v>68</v>
      </c>
      <c r="R12" s="2" t="s">
        <v>225</v>
      </c>
      <c r="T12" s="2" t="s">
        <v>71</v>
      </c>
      <c r="U12" s="3">
        <v>4</v>
      </c>
      <c r="V12" s="3">
        <v>4</v>
      </c>
      <c r="W12" s="4" t="s">
        <v>226</v>
      </c>
      <c r="X12" s="4" t="s">
        <v>226</v>
      </c>
      <c r="Y12" s="4" t="s">
        <v>183</v>
      </c>
      <c r="Z12" s="4" t="s">
        <v>183</v>
      </c>
      <c r="AA12" s="3">
        <v>388</v>
      </c>
      <c r="AB12" s="3">
        <v>344</v>
      </c>
      <c r="AC12" s="3">
        <v>352</v>
      </c>
      <c r="AD12" s="3">
        <v>3</v>
      </c>
      <c r="AE12" s="3">
        <v>3</v>
      </c>
      <c r="AF12" s="3">
        <v>25</v>
      </c>
      <c r="AG12" s="3">
        <v>25</v>
      </c>
      <c r="AH12" s="3">
        <v>3</v>
      </c>
      <c r="AI12" s="3">
        <v>3</v>
      </c>
      <c r="AJ12" s="3">
        <v>3</v>
      </c>
      <c r="AK12" s="3">
        <v>3</v>
      </c>
      <c r="AL12" s="3">
        <v>6</v>
      </c>
      <c r="AM12" s="3">
        <v>6</v>
      </c>
      <c r="AN12" s="3">
        <v>1</v>
      </c>
      <c r="AO12" s="3">
        <v>1</v>
      </c>
      <c r="AP12" s="3">
        <v>14</v>
      </c>
      <c r="AQ12" s="3">
        <v>14</v>
      </c>
      <c r="AR12" s="2" t="s">
        <v>63</v>
      </c>
      <c r="AS12" s="2" t="s">
        <v>74</v>
      </c>
      <c r="AT12" s="5" t="str">
        <f>HYPERLINK("http://catalog.hathitrust.org/Record/001560508","HathiTrust Record")</f>
        <v>HathiTrust Record</v>
      </c>
      <c r="AU12" s="5" t="str">
        <f>HYPERLINK("https://creighton-primo.hosted.exlibrisgroup.com/primo-explore/search?tab=default_tab&amp;search_scope=EVERYTHING&amp;vid=01CRU&amp;lang=en_US&amp;offset=0&amp;query=any,contains,991005348639702656","Catalog Record")</f>
        <v>Catalog Record</v>
      </c>
      <c r="AV12" s="5" t="str">
        <f>HYPERLINK("http://www.worldcat.org/oclc/579891","WorldCat Record")</f>
        <v>WorldCat Record</v>
      </c>
      <c r="AW12" s="2" t="s">
        <v>227</v>
      </c>
      <c r="AX12" s="2" t="s">
        <v>228</v>
      </c>
      <c r="AY12" s="2" t="s">
        <v>229</v>
      </c>
      <c r="AZ12" s="2" t="s">
        <v>229</v>
      </c>
      <c r="BA12" s="2" t="s">
        <v>230</v>
      </c>
      <c r="BB12" s="2" t="s">
        <v>79</v>
      </c>
      <c r="BE12" s="2" t="s">
        <v>231</v>
      </c>
      <c r="BF12" s="2" t="s">
        <v>232</v>
      </c>
    </row>
    <row r="13" spans="1:58" ht="39.75" customHeight="1">
      <c r="A13" s="1"/>
      <c r="B13" s="1" t="s">
        <v>58</v>
      </c>
      <c r="C13" s="1" t="s">
        <v>59</v>
      </c>
      <c r="D13" s="1" t="s">
        <v>233</v>
      </c>
      <c r="E13" s="1" t="s">
        <v>234</v>
      </c>
      <c r="F13" s="1" t="s">
        <v>235</v>
      </c>
      <c r="H13" s="2" t="s">
        <v>63</v>
      </c>
      <c r="I13" s="2" t="s">
        <v>64</v>
      </c>
      <c r="J13" s="2" t="s">
        <v>63</v>
      </c>
      <c r="K13" s="2" t="s">
        <v>63</v>
      </c>
      <c r="L13" s="2" t="s">
        <v>65</v>
      </c>
      <c r="N13" s="1" t="s">
        <v>236</v>
      </c>
      <c r="O13" s="2" t="s">
        <v>209</v>
      </c>
      <c r="P13" s="1" t="s">
        <v>237</v>
      </c>
      <c r="Q13" s="2" t="s">
        <v>68</v>
      </c>
      <c r="R13" s="2" t="s">
        <v>238</v>
      </c>
      <c r="S13" s="1" t="s">
        <v>239</v>
      </c>
      <c r="T13" s="2" t="s">
        <v>71</v>
      </c>
      <c r="U13" s="3">
        <v>8</v>
      </c>
      <c r="V13" s="3">
        <v>8</v>
      </c>
      <c r="W13" s="4" t="s">
        <v>240</v>
      </c>
      <c r="X13" s="4" t="s">
        <v>240</v>
      </c>
      <c r="Y13" s="4" t="s">
        <v>241</v>
      </c>
      <c r="Z13" s="4" t="s">
        <v>241</v>
      </c>
      <c r="AA13" s="3">
        <v>163</v>
      </c>
      <c r="AB13" s="3">
        <v>94</v>
      </c>
      <c r="AC13" s="3">
        <v>166</v>
      </c>
      <c r="AD13" s="3">
        <v>3</v>
      </c>
      <c r="AE13" s="3">
        <v>3</v>
      </c>
      <c r="AF13" s="3">
        <v>2</v>
      </c>
      <c r="AG13" s="3">
        <v>5</v>
      </c>
      <c r="AH13" s="3">
        <v>0</v>
      </c>
      <c r="AI13" s="3">
        <v>1</v>
      </c>
      <c r="AJ13" s="3">
        <v>0</v>
      </c>
      <c r="AK13" s="3">
        <v>2</v>
      </c>
      <c r="AL13" s="3">
        <v>0</v>
      </c>
      <c r="AM13" s="3">
        <v>0</v>
      </c>
      <c r="AN13" s="3">
        <v>2</v>
      </c>
      <c r="AO13" s="3">
        <v>2</v>
      </c>
      <c r="AP13" s="3">
        <v>0</v>
      </c>
      <c r="AQ13" s="3">
        <v>0</v>
      </c>
      <c r="AR13" s="2" t="s">
        <v>63</v>
      </c>
      <c r="AS13" s="2" t="s">
        <v>74</v>
      </c>
      <c r="AT13" s="5" t="str">
        <f>HYPERLINK("http://catalog.hathitrust.org/Record/000459638","HathiTrust Record")</f>
        <v>HathiTrust Record</v>
      </c>
      <c r="AU13" s="5" t="str">
        <f>HYPERLINK("https://creighton-primo.hosted.exlibrisgroup.com/primo-explore/search?tab=default_tab&amp;search_scope=EVERYTHING&amp;vid=01CRU&amp;lang=en_US&amp;offset=0&amp;query=any,contains,991000512149702656","Catalog Record")</f>
        <v>Catalog Record</v>
      </c>
      <c r="AV13" s="5" t="str">
        <f>HYPERLINK("http://www.worldcat.org/oclc/11867265","WorldCat Record")</f>
        <v>WorldCat Record</v>
      </c>
      <c r="AW13" s="2" t="s">
        <v>242</v>
      </c>
      <c r="AX13" s="2" t="s">
        <v>243</v>
      </c>
      <c r="AY13" s="2" t="s">
        <v>244</v>
      </c>
      <c r="AZ13" s="2" t="s">
        <v>244</v>
      </c>
      <c r="BA13" s="2" t="s">
        <v>245</v>
      </c>
      <c r="BB13" s="2" t="s">
        <v>79</v>
      </c>
      <c r="BD13" s="2" t="s">
        <v>246</v>
      </c>
      <c r="BE13" s="2" t="s">
        <v>247</v>
      </c>
      <c r="BF13" s="2" t="s">
        <v>248</v>
      </c>
    </row>
    <row r="14" spans="1:58" ht="39.75" customHeight="1">
      <c r="A14" s="1"/>
      <c r="B14" s="1" t="s">
        <v>58</v>
      </c>
      <c r="C14" s="1" t="s">
        <v>59</v>
      </c>
      <c r="D14" s="1" t="s">
        <v>249</v>
      </c>
      <c r="E14" s="1" t="s">
        <v>250</v>
      </c>
      <c r="F14" s="1" t="s">
        <v>251</v>
      </c>
      <c r="H14" s="2" t="s">
        <v>63</v>
      </c>
      <c r="I14" s="2" t="s">
        <v>64</v>
      </c>
      <c r="J14" s="2" t="s">
        <v>63</v>
      </c>
      <c r="K14" s="2" t="s">
        <v>63</v>
      </c>
      <c r="L14" s="2" t="s">
        <v>65</v>
      </c>
      <c r="M14" s="1" t="s">
        <v>252</v>
      </c>
      <c r="N14" s="1" t="s">
        <v>253</v>
      </c>
      <c r="O14" s="2" t="s">
        <v>254</v>
      </c>
      <c r="P14" s="1" t="s">
        <v>255</v>
      </c>
      <c r="Q14" s="2" t="s">
        <v>68</v>
      </c>
      <c r="R14" s="2" t="s">
        <v>106</v>
      </c>
      <c r="T14" s="2" t="s">
        <v>71</v>
      </c>
      <c r="U14" s="3">
        <v>5</v>
      </c>
      <c r="V14" s="3">
        <v>5</v>
      </c>
      <c r="W14" s="4" t="s">
        <v>256</v>
      </c>
      <c r="X14" s="4" t="s">
        <v>256</v>
      </c>
      <c r="Y14" s="4" t="s">
        <v>257</v>
      </c>
      <c r="Z14" s="4" t="s">
        <v>257</v>
      </c>
      <c r="AA14" s="3">
        <v>345</v>
      </c>
      <c r="AB14" s="3">
        <v>277</v>
      </c>
      <c r="AC14" s="3">
        <v>1109</v>
      </c>
      <c r="AD14" s="3">
        <v>2</v>
      </c>
      <c r="AE14" s="3">
        <v>6</v>
      </c>
      <c r="AF14" s="3">
        <v>10</v>
      </c>
      <c r="AG14" s="3">
        <v>33</v>
      </c>
      <c r="AH14" s="3">
        <v>6</v>
      </c>
      <c r="AI14" s="3">
        <v>14</v>
      </c>
      <c r="AJ14" s="3">
        <v>2</v>
      </c>
      <c r="AK14" s="3">
        <v>5</v>
      </c>
      <c r="AL14" s="3">
        <v>6</v>
      </c>
      <c r="AM14" s="3">
        <v>17</v>
      </c>
      <c r="AN14" s="3">
        <v>0</v>
      </c>
      <c r="AO14" s="3">
        <v>3</v>
      </c>
      <c r="AP14" s="3">
        <v>0</v>
      </c>
      <c r="AQ14" s="3">
        <v>4</v>
      </c>
      <c r="AR14" s="2" t="s">
        <v>63</v>
      </c>
      <c r="AS14" s="2" t="s">
        <v>63</v>
      </c>
      <c r="AU14" s="5" t="str">
        <f>HYPERLINK("https://creighton-primo.hosted.exlibrisgroup.com/primo-explore/search?tab=default_tab&amp;search_scope=EVERYTHING&amp;vid=01CRU&amp;lang=en_US&amp;offset=0&amp;query=any,contains,991001841849702656","Catalog Record")</f>
        <v>Catalog Record</v>
      </c>
      <c r="AV14" s="5" t="str">
        <f>HYPERLINK("http://www.worldcat.org/oclc/23141845","WorldCat Record")</f>
        <v>WorldCat Record</v>
      </c>
      <c r="AW14" s="2" t="s">
        <v>258</v>
      </c>
      <c r="AX14" s="2" t="s">
        <v>259</v>
      </c>
      <c r="AY14" s="2" t="s">
        <v>260</v>
      </c>
      <c r="AZ14" s="2" t="s">
        <v>260</v>
      </c>
      <c r="BA14" s="2" t="s">
        <v>261</v>
      </c>
      <c r="BB14" s="2" t="s">
        <v>79</v>
      </c>
      <c r="BD14" s="2" t="s">
        <v>262</v>
      </c>
      <c r="BE14" s="2" t="s">
        <v>263</v>
      </c>
      <c r="BF14" s="2" t="s">
        <v>264</v>
      </c>
    </row>
    <row r="15" spans="1:58" ht="39.75" customHeight="1">
      <c r="A15" s="1"/>
      <c r="B15" s="1" t="s">
        <v>58</v>
      </c>
      <c r="C15" s="1" t="s">
        <v>59</v>
      </c>
      <c r="D15" s="1" t="s">
        <v>265</v>
      </c>
      <c r="E15" s="1" t="s">
        <v>266</v>
      </c>
      <c r="F15" s="1" t="s">
        <v>267</v>
      </c>
      <c r="H15" s="2" t="s">
        <v>63</v>
      </c>
      <c r="I15" s="2" t="s">
        <v>64</v>
      </c>
      <c r="J15" s="2" t="s">
        <v>63</v>
      </c>
      <c r="K15" s="2" t="s">
        <v>63</v>
      </c>
      <c r="L15" s="2" t="s">
        <v>65</v>
      </c>
      <c r="M15" s="1" t="s">
        <v>268</v>
      </c>
      <c r="N15" s="1" t="s">
        <v>269</v>
      </c>
      <c r="O15" s="2" t="s">
        <v>105</v>
      </c>
      <c r="Q15" s="2" t="s">
        <v>68</v>
      </c>
      <c r="R15" s="2" t="s">
        <v>106</v>
      </c>
      <c r="S15" s="1" t="s">
        <v>270</v>
      </c>
      <c r="T15" s="2" t="s">
        <v>71</v>
      </c>
      <c r="U15" s="3">
        <v>2</v>
      </c>
      <c r="V15" s="3">
        <v>2</v>
      </c>
      <c r="W15" s="4" t="s">
        <v>271</v>
      </c>
      <c r="X15" s="4" t="s">
        <v>271</v>
      </c>
      <c r="Y15" s="4" t="s">
        <v>183</v>
      </c>
      <c r="Z15" s="4" t="s">
        <v>183</v>
      </c>
      <c r="AA15" s="3">
        <v>217</v>
      </c>
      <c r="AB15" s="3">
        <v>174</v>
      </c>
      <c r="AC15" s="3">
        <v>200</v>
      </c>
      <c r="AD15" s="3">
        <v>1</v>
      </c>
      <c r="AE15" s="3">
        <v>1</v>
      </c>
      <c r="AF15" s="3">
        <v>5</v>
      </c>
      <c r="AG15" s="3">
        <v>6</v>
      </c>
      <c r="AH15" s="3">
        <v>0</v>
      </c>
      <c r="AI15" s="3">
        <v>1</v>
      </c>
      <c r="AJ15" s="3">
        <v>4</v>
      </c>
      <c r="AK15" s="3">
        <v>4</v>
      </c>
      <c r="AL15" s="3">
        <v>4</v>
      </c>
      <c r="AM15" s="3">
        <v>5</v>
      </c>
      <c r="AN15" s="3">
        <v>0</v>
      </c>
      <c r="AO15" s="3">
        <v>0</v>
      </c>
      <c r="AP15" s="3">
        <v>0</v>
      </c>
      <c r="AQ15" s="3">
        <v>0</v>
      </c>
      <c r="AR15" s="2" t="s">
        <v>63</v>
      </c>
      <c r="AS15" s="2" t="s">
        <v>74</v>
      </c>
      <c r="AT15" s="5" t="str">
        <f>HYPERLINK("http://catalog.hathitrust.org/Record/000589512","HathiTrust Record")</f>
        <v>HathiTrust Record</v>
      </c>
      <c r="AU15" s="5" t="str">
        <f>HYPERLINK("https://creighton-primo.hosted.exlibrisgroup.com/primo-explore/search?tab=default_tab&amp;search_scope=EVERYTHING&amp;vid=01CRU&amp;lang=en_US&amp;offset=0&amp;query=any,contains,991000808259702656","Catalog Record")</f>
        <v>Catalog Record</v>
      </c>
      <c r="AV15" s="5" t="str">
        <f>HYPERLINK("http://www.worldcat.org/oclc/13327917","WorldCat Record")</f>
        <v>WorldCat Record</v>
      </c>
      <c r="AW15" s="2" t="s">
        <v>272</v>
      </c>
      <c r="AX15" s="2" t="s">
        <v>273</v>
      </c>
      <c r="AY15" s="2" t="s">
        <v>274</v>
      </c>
      <c r="AZ15" s="2" t="s">
        <v>274</v>
      </c>
      <c r="BA15" s="2" t="s">
        <v>275</v>
      </c>
      <c r="BB15" s="2" t="s">
        <v>79</v>
      </c>
      <c r="BD15" s="2" t="s">
        <v>276</v>
      </c>
      <c r="BE15" s="2" t="s">
        <v>277</v>
      </c>
      <c r="BF15" s="2" t="s">
        <v>278</v>
      </c>
    </row>
    <row r="16" spans="1:58" ht="39.75" customHeight="1">
      <c r="A16" s="1"/>
      <c r="B16" s="1" t="s">
        <v>58</v>
      </c>
      <c r="C16" s="1" t="s">
        <v>59</v>
      </c>
      <c r="D16" s="1" t="s">
        <v>279</v>
      </c>
      <c r="E16" s="1" t="s">
        <v>280</v>
      </c>
      <c r="F16" s="1" t="s">
        <v>281</v>
      </c>
      <c r="H16" s="2" t="s">
        <v>63</v>
      </c>
      <c r="I16" s="2" t="s">
        <v>64</v>
      </c>
      <c r="J16" s="2" t="s">
        <v>63</v>
      </c>
      <c r="K16" s="2" t="s">
        <v>63</v>
      </c>
      <c r="L16" s="2" t="s">
        <v>65</v>
      </c>
      <c r="N16" s="1" t="s">
        <v>282</v>
      </c>
      <c r="O16" s="2" t="s">
        <v>209</v>
      </c>
      <c r="Q16" s="2" t="s">
        <v>68</v>
      </c>
      <c r="R16" s="2" t="s">
        <v>106</v>
      </c>
      <c r="S16" s="1" t="s">
        <v>283</v>
      </c>
      <c r="T16" s="2" t="s">
        <v>71</v>
      </c>
      <c r="U16" s="3">
        <v>1</v>
      </c>
      <c r="V16" s="3">
        <v>1</v>
      </c>
      <c r="W16" s="4" t="s">
        <v>284</v>
      </c>
      <c r="X16" s="4" t="s">
        <v>284</v>
      </c>
      <c r="Y16" s="4" t="s">
        <v>285</v>
      </c>
      <c r="Z16" s="4" t="s">
        <v>285</v>
      </c>
      <c r="AA16" s="3">
        <v>164</v>
      </c>
      <c r="AB16" s="3">
        <v>126</v>
      </c>
      <c r="AC16" s="3">
        <v>145</v>
      </c>
      <c r="AD16" s="3">
        <v>3</v>
      </c>
      <c r="AE16" s="3">
        <v>3</v>
      </c>
      <c r="AF16" s="3">
        <v>5</v>
      </c>
      <c r="AG16" s="3">
        <v>5</v>
      </c>
      <c r="AH16" s="3">
        <v>1</v>
      </c>
      <c r="AI16" s="3">
        <v>1</v>
      </c>
      <c r="AJ16" s="3">
        <v>1</v>
      </c>
      <c r="AK16" s="3">
        <v>1</v>
      </c>
      <c r="AL16" s="3">
        <v>3</v>
      </c>
      <c r="AM16" s="3">
        <v>3</v>
      </c>
      <c r="AN16" s="3">
        <v>2</v>
      </c>
      <c r="AO16" s="3">
        <v>2</v>
      </c>
      <c r="AP16" s="3">
        <v>0</v>
      </c>
      <c r="AQ16" s="3">
        <v>0</v>
      </c>
      <c r="AR16" s="2" t="s">
        <v>63</v>
      </c>
      <c r="AS16" s="2" t="s">
        <v>74</v>
      </c>
      <c r="AT16" s="5" t="str">
        <f>HYPERLINK("http://catalog.hathitrust.org/Record/000418131","HathiTrust Record")</f>
        <v>HathiTrust Record</v>
      </c>
      <c r="AU16" s="5" t="str">
        <f>HYPERLINK("https://creighton-primo.hosted.exlibrisgroup.com/primo-explore/search?tab=default_tab&amp;search_scope=EVERYTHING&amp;vid=01CRU&amp;lang=en_US&amp;offset=0&amp;query=any,contains,991000492899702656","Catalog Record")</f>
        <v>Catalog Record</v>
      </c>
      <c r="AV16" s="5" t="str">
        <f>HYPERLINK("http://www.worldcat.org/oclc/11114142","WorldCat Record")</f>
        <v>WorldCat Record</v>
      </c>
      <c r="AW16" s="2" t="s">
        <v>286</v>
      </c>
      <c r="AX16" s="2" t="s">
        <v>287</v>
      </c>
      <c r="AY16" s="2" t="s">
        <v>288</v>
      </c>
      <c r="AZ16" s="2" t="s">
        <v>288</v>
      </c>
      <c r="BA16" s="2" t="s">
        <v>289</v>
      </c>
      <c r="BB16" s="2" t="s">
        <v>79</v>
      </c>
      <c r="BD16" s="2" t="s">
        <v>290</v>
      </c>
      <c r="BE16" s="2" t="s">
        <v>291</v>
      </c>
      <c r="BF16" s="2" t="s">
        <v>292</v>
      </c>
    </row>
    <row r="17" spans="1:58" ht="39.75" customHeight="1">
      <c r="A17" s="1"/>
      <c r="B17" s="1" t="s">
        <v>58</v>
      </c>
      <c r="C17" s="1" t="s">
        <v>59</v>
      </c>
      <c r="D17" s="1" t="s">
        <v>293</v>
      </c>
      <c r="E17" s="1" t="s">
        <v>294</v>
      </c>
      <c r="F17" s="1" t="s">
        <v>295</v>
      </c>
      <c r="H17" s="2" t="s">
        <v>63</v>
      </c>
      <c r="I17" s="2" t="s">
        <v>64</v>
      </c>
      <c r="J17" s="2" t="s">
        <v>63</v>
      </c>
      <c r="K17" s="2" t="s">
        <v>74</v>
      </c>
      <c r="L17" s="2" t="s">
        <v>65</v>
      </c>
      <c r="M17" s="1" t="s">
        <v>296</v>
      </c>
      <c r="N17" s="1" t="s">
        <v>297</v>
      </c>
      <c r="O17" s="2" t="s">
        <v>298</v>
      </c>
      <c r="Q17" s="2" t="s">
        <v>68</v>
      </c>
      <c r="R17" s="2" t="s">
        <v>299</v>
      </c>
      <c r="S17" s="1" t="s">
        <v>300</v>
      </c>
      <c r="T17" s="2" t="s">
        <v>71</v>
      </c>
      <c r="U17" s="3">
        <v>1</v>
      </c>
      <c r="V17" s="3">
        <v>1</v>
      </c>
      <c r="W17" s="4" t="s">
        <v>301</v>
      </c>
      <c r="X17" s="4" t="s">
        <v>301</v>
      </c>
      <c r="Y17" s="4" t="s">
        <v>302</v>
      </c>
      <c r="Z17" s="4" t="s">
        <v>302</v>
      </c>
      <c r="AA17" s="3">
        <v>559</v>
      </c>
      <c r="AB17" s="3">
        <v>455</v>
      </c>
      <c r="AC17" s="3">
        <v>492</v>
      </c>
      <c r="AD17" s="3">
        <v>2</v>
      </c>
      <c r="AE17" s="3">
        <v>3</v>
      </c>
      <c r="AF17" s="3">
        <v>21</v>
      </c>
      <c r="AG17" s="3">
        <v>21</v>
      </c>
      <c r="AH17" s="3">
        <v>12</v>
      </c>
      <c r="AI17" s="3">
        <v>12</v>
      </c>
      <c r="AJ17" s="3">
        <v>4</v>
      </c>
      <c r="AK17" s="3">
        <v>4</v>
      </c>
      <c r="AL17" s="3">
        <v>10</v>
      </c>
      <c r="AM17" s="3">
        <v>10</v>
      </c>
      <c r="AN17" s="3">
        <v>1</v>
      </c>
      <c r="AO17" s="3">
        <v>1</v>
      </c>
      <c r="AP17" s="3">
        <v>0</v>
      </c>
      <c r="AQ17" s="3">
        <v>0</v>
      </c>
      <c r="AR17" s="2" t="s">
        <v>63</v>
      </c>
      <c r="AS17" s="2" t="s">
        <v>63</v>
      </c>
      <c r="AU17" s="5" t="str">
        <f>HYPERLINK("https://creighton-primo.hosted.exlibrisgroup.com/primo-explore/search?tab=default_tab&amp;search_scope=EVERYTHING&amp;vid=01CRU&amp;lang=en_US&amp;offset=0&amp;query=any,contains,991002840189702656","Catalog Record")</f>
        <v>Catalog Record</v>
      </c>
      <c r="AV17" s="5" t="str">
        <f>HYPERLINK("http://www.worldcat.org/oclc/481792","WorldCat Record")</f>
        <v>WorldCat Record</v>
      </c>
      <c r="AW17" s="2" t="s">
        <v>303</v>
      </c>
      <c r="AX17" s="2" t="s">
        <v>304</v>
      </c>
      <c r="AY17" s="2" t="s">
        <v>305</v>
      </c>
      <c r="AZ17" s="2" t="s">
        <v>305</v>
      </c>
      <c r="BA17" s="2" t="s">
        <v>306</v>
      </c>
      <c r="BB17" s="2" t="s">
        <v>79</v>
      </c>
      <c r="BE17" s="2" t="s">
        <v>307</v>
      </c>
      <c r="BF17" s="2" t="s">
        <v>308</v>
      </c>
    </row>
    <row r="18" spans="1:58" ht="39.75" customHeight="1">
      <c r="A18" s="1"/>
      <c r="B18" s="1" t="s">
        <v>58</v>
      </c>
      <c r="C18" s="1" t="s">
        <v>59</v>
      </c>
      <c r="D18" s="1" t="s">
        <v>309</v>
      </c>
      <c r="E18" s="1" t="s">
        <v>310</v>
      </c>
      <c r="F18" s="1" t="s">
        <v>311</v>
      </c>
      <c r="H18" s="2" t="s">
        <v>63</v>
      </c>
      <c r="I18" s="2" t="s">
        <v>64</v>
      </c>
      <c r="J18" s="2" t="s">
        <v>63</v>
      </c>
      <c r="K18" s="2" t="s">
        <v>63</v>
      </c>
      <c r="L18" s="2" t="s">
        <v>65</v>
      </c>
      <c r="M18" s="1" t="s">
        <v>312</v>
      </c>
      <c r="N18" s="1" t="s">
        <v>313</v>
      </c>
      <c r="O18" s="2" t="s">
        <v>314</v>
      </c>
      <c r="Q18" s="2" t="s">
        <v>68</v>
      </c>
      <c r="R18" s="2" t="s">
        <v>315</v>
      </c>
      <c r="S18" s="1" t="s">
        <v>316</v>
      </c>
      <c r="T18" s="2" t="s">
        <v>71</v>
      </c>
      <c r="U18" s="3">
        <v>2</v>
      </c>
      <c r="V18" s="3">
        <v>2</v>
      </c>
      <c r="W18" s="4" t="s">
        <v>317</v>
      </c>
      <c r="X18" s="4" t="s">
        <v>317</v>
      </c>
      <c r="Y18" s="4" t="s">
        <v>318</v>
      </c>
      <c r="Z18" s="4" t="s">
        <v>318</v>
      </c>
      <c r="AA18" s="3">
        <v>98</v>
      </c>
      <c r="AB18" s="3">
        <v>88</v>
      </c>
      <c r="AC18" s="3">
        <v>88</v>
      </c>
      <c r="AD18" s="3">
        <v>1</v>
      </c>
      <c r="AE18" s="3">
        <v>1</v>
      </c>
      <c r="AF18" s="3">
        <v>2</v>
      </c>
      <c r="AG18" s="3">
        <v>2</v>
      </c>
      <c r="AH18" s="3">
        <v>0</v>
      </c>
      <c r="AI18" s="3">
        <v>0</v>
      </c>
      <c r="AJ18" s="3">
        <v>1</v>
      </c>
      <c r="AK18" s="3">
        <v>1</v>
      </c>
      <c r="AL18" s="3">
        <v>2</v>
      </c>
      <c r="AM18" s="3">
        <v>2</v>
      </c>
      <c r="AN18" s="3">
        <v>0</v>
      </c>
      <c r="AO18" s="3">
        <v>0</v>
      </c>
      <c r="AP18" s="3">
        <v>0</v>
      </c>
      <c r="AQ18" s="3">
        <v>0</v>
      </c>
      <c r="AR18" s="2" t="s">
        <v>63</v>
      </c>
      <c r="AS18" s="2" t="s">
        <v>74</v>
      </c>
      <c r="AT18" s="5" t="str">
        <f>HYPERLINK("http://catalog.hathitrust.org/Record/000170802","HathiTrust Record")</f>
        <v>HathiTrust Record</v>
      </c>
      <c r="AU18" s="5" t="str">
        <f>HYPERLINK("https://creighton-primo.hosted.exlibrisgroup.com/primo-explore/search?tab=default_tab&amp;search_scope=EVERYTHING&amp;vid=01CRU&amp;lang=en_US&amp;offset=0&amp;query=any,contains,991004214789702656","Catalog Record")</f>
        <v>Catalog Record</v>
      </c>
      <c r="AV18" s="5" t="str">
        <f>HYPERLINK("http://www.worldcat.org/oclc/2694933","WorldCat Record")</f>
        <v>WorldCat Record</v>
      </c>
      <c r="AW18" s="2" t="s">
        <v>319</v>
      </c>
      <c r="AX18" s="2" t="s">
        <v>320</v>
      </c>
      <c r="AY18" s="2" t="s">
        <v>321</v>
      </c>
      <c r="AZ18" s="2" t="s">
        <v>321</v>
      </c>
      <c r="BA18" s="2" t="s">
        <v>322</v>
      </c>
      <c r="BB18" s="2" t="s">
        <v>79</v>
      </c>
      <c r="BE18" s="2" t="s">
        <v>323</v>
      </c>
      <c r="BF18" s="2" t="s">
        <v>324</v>
      </c>
    </row>
    <row r="19" spans="1:58" ht="39.75" customHeight="1">
      <c r="A19" s="1"/>
      <c r="B19" s="1" t="s">
        <v>58</v>
      </c>
      <c r="C19" s="1" t="s">
        <v>59</v>
      </c>
      <c r="D19" s="1" t="s">
        <v>325</v>
      </c>
      <c r="E19" s="1" t="s">
        <v>326</v>
      </c>
      <c r="F19" s="1" t="s">
        <v>327</v>
      </c>
      <c r="H19" s="2" t="s">
        <v>63</v>
      </c>
      <c r="I19" s="2" t="s">
        <v>64</v>
      </c>
      <c r="J19" s="2" t="s">
        <v>63</v>
      </c>
      <c r="K19" s="2" t="s">
        <v>63</v>
      </c>
      <c r="L19" s="2" t="s">
        <v>65</v>
      </c>
      <c r="M19" s="1" t="s">
        <v>328</v>
      </c>
      <c r="N19" s="1" t="s">
        <v>329</v>
      </c>
      <c r="O19" s="2" t="s">
        <v>330</v>
      </c>
      <c r="Q19" s="2" t="s">
        <v>68</v>
      </c>
      <c r="R19" s="2" t="s">
        <v>331</v>
      </c>
      <c r="T19" s="2" t="s">
        <v>71</v>
      </c>
      <c r="U19" s="3">
        <v>5</v>
      </c>
      <c r="V19" s="3">
        <v>5</v>
      </c>
      <c r="W19" s="4" t="s">
        <v>332</v>
      </c>
      <c r="X19" s="4" t="s">
        <v>332</v>
      </c>
      <c r="Y19" s="4" t="s">
        <v>333</v>
      </c>
      <c r="Z19" s="4" t="s">
        <v>333</v>
      </c>
      <c r="AA19" s="3">
        <v>161</v>
      </c>
      <c r="AB19" s="3">
        <v>115</v>
      </c>
      <c r="AC19" s="3">
        <v>118</v>
      </c>
      <c r="AD19" s="3">
        <v>1</v>
      </c>
      <c r="AE19" s="3">
        <v>1</v>
      </c>
      <c r="AF19" s="3">
        <v>0</v>
      </c>
      <c r="AG19" s="3">
        <v>0</v>
      </c>
      <c r="AH19" s="3">
        <v>0</v>
      </c>
      <c r="AI19" s="3">
        <v>0</v>
      </c>
      <c r="AJ19" s="3">
        <v>0</v>
      </c>
      <c r="AK19" s="3">
        <v>0</v>
      </c>
      <c r="AL19" s="3">
        <v>0</v>
      </c>
      <c r="AM19" s="3">
        <v>0</v>
      </c>
      <c r="AN19" s="3">
        <v>0</v>
      </c>
      <c r="AO19" s="3">
        <v>0</v>
      </c>
      <c r="AP19" s="3">
        <v>0</v>
      </c>
      <c r="AQ19" s="3">
        <v>0</v>
      </c>
      <c r="AR19" s="2" t="s">
        <v>63</v>
      </c>
      <c r="AS19" s="2" t="s">
        <v>63</v>
      </c>
      <c r="AT19" s="5" t="str">
        <f>HYPERLINK("http://catalog.hathitrust.org/Record/001560622","HathiTrust Record")</f>
        <v>HathiTrust Record</v>
      </c>
      <c r="AU19" s="5" t="str">
        <f>HYPERLINK("https://creighton-primo.hosted.exlibrisgroup.com/primo-explore/search?tab=default_tab&amp;search_scope=EVERYTHING&amp;vid=01CRU&amp;lang=en_US&amp;offset=0&amp;query=any,contains,991003756789702656","Catalog Record")</f>
        <v>Catalog Record</v>
      </c>
      <c r="AV19" s="5" t="str">
        <f>HYPERLINK("http://www.worldcat.org/oclc/1438908","WorldCat Record")</f>
        <v>WorldCat Record</v>
      </c>
      <c r="AW19" s="2" t="s">
        <v>334</v>
      </c>
      <c r="AX19" s="2" t="s">
        <v>335</v>
      </c>
      <c r="AY19" s="2" t="s">
        <v>336</v>
      </c>
      <c r="AZ19" s="2" t="s">
        <v>336</v>
      </c>
      <c r="BA19" s="2" t="s">
        <v>337</v>
      </c>
      <c r="BB19" s="2" t="s">
        <v>79</v>
      </c>
      <c r="BE19" s="2" t="s">
        <v>338</v>
      </c>
      <c r="BF19" s="2" t="s">
        <v>339</v>
      </c>
    </row>
    <row r="20" spans="1:58" ht="39.75" customHeight="1">
      <c r="A20" s="1"/>
      <c r="B20" s="1" t="s">
        <v>58</v>
      </c>
      <c r="C20" s="1" t="s">
        <v>59</v>
      </c>
      <c r="D20" s="1" t="s">
        <v>340</v>
      </c>
      <c r="E20" s="1" t="s">
        <v>341</v>
      </c>
      <c r="F20" s="1" t="s">
        <v>342</v>
      </c>
      <c r="H20" s="2" t="s">
        <v>63</v>
      </c>
      <c r="I20" s="2" t="s">
        <v>64</v>
      </c>
      <c r="J20" s="2" t="s">
        <v>63</v>
      </c>
      <c r="K20" s="2" t="s">
        <v>63</v>
      </c>
      <c r="L20" s="2" t="s">
        <v>65</v>
      </c>
      <c r="M20" s="1" t="s">
        <v>343</v>
      </c>
      <c r="N20" s="1" t="s">
        <v>344</v>
      </c>
      <c r="O20" s="2" t="s">
        <v>345</v>
      </c>
      <c r="Q20" s="2" t="s">
        <v>68</v>
      </c>
      <c r="R20" s="2" t="s">
        <v>106</v>
      </c>
      <c r="T20" s="2" t="s">
        <v>71</v>
      </c>
      <c r="U20" s="3">
        <v>2</v>
      </c>
      <c r="V20" s="3">
        <v>2</v>
      </c>
      <c r="W20" s="4" t="s">
        <v>346</v>
      </c>
      <c r="X20" s="4" t="s">
        <v>346</v>
      </c>
      <c r="Y20" s="4" t="s">
        <v>347</v>
      </c>
      <c r="Z20" s="4" t="s">
        <v>347</v>
      </c>
      <c r="AA20" s="3">
        <v>154</v>
      </c>
      <c r="AB20" s="3">
        <v>124</v>
      </c>
      <c r="AC20" s="3">
        <v>131</v>
      </c>
      <c r="AD20" s="3">
        <v>2</v>
      </c>
      <c r="AE20" s="3">
        <v>2</v>
      </c>
      <c r="AF20" s="3">
        <v>3</v>
      </c>
      <c r="AG20" s="3">
        <v>3</v>
      </c>
      <c r="AH20" s="3">
        <v>0</v>
      </c>
      <c r="AI20" s="3">
        <v>0</v>
      </c>
      <c r="AJ20" s="3">
        <v>1</v>
      </c>
      <c r="AK20" s="3">
        <v>1</v>
      </c>
      <c r="AL20" s="3">
        <v>2</v>
      </c>
      <c r="AM20" s="3">
        <v>2</v>
      </c>
      <c r="AN20" s="3">
        <v>0</v>
      </c>
      <c r="AO20" s="3">
        <v>0</v>
      </c>
      <c r="AP20" s="3">
        <v>0</v>
      </c>
      <c r="AQ20" s="3">
        <v>0</v>
      </c>
      <c r="AR20" s="2" t="s">
        <v>74</v>
      </c>
      <c r="AS20" s="2" t="s">
        <v>74</v>
      </c>
      <c r="AT20" s="5" t="str">
        <f>HYPERLINK("http://catalog.hathitrust.org/Record/001560650","HathiTrust Record")</f>
        <v>HathiTrust Record</v>
      </c>
      <c r="AU20" s="5" t="str">
        <f>HYPERLINK("https://creighton-primo.hosted.exlibrisgroup.com/primo-explore/search?tab=default_tab&amp;search_scope=EVERYTHING&amp;vid=01CRU&amp;lang=en_US&amp;offset=0&amp;query=any,contains,991003809469702656","Catalog Record")</f>
        <v>Catalog Record</v>
      </c>
      <c r="AV20" s="5" t="str">
        <f>HYPERLINK("http://www.worldcat.org/oclc/1534186","WorldCat Record")</f>
        <v>WorldCat Record</v>
      </c>
      <c r="AW20" s="2" t="s">
        <v>348</v>
      </c>
      <c r="AX20" s="2" t="s">
        <v>349</v>
      </c>
      <c r="AY20" s="2" t="s">
        <v>350</v>
      </c>
      <c r="AZ20" s="2" t="s">
        <v>350</v>
      </c>
      <c r="BA20" s="2" t="s">
        <v>351</v>
      </c>
      <c r="BB20" s="2" t="s">
        <v>79</v>
      </c>
      <c r="BE20" s="2" t="s">
        <v>352</v>
      </c>
      <c r="BF20" s="2" t="s">
        <v>353</v>
      </c>
    </row>
    <row r="21" spans="1:58" ht="39.75" customHeight="1">
      <c r="A21" s="1"/>
      <c r="B21" s="1" t="s">
        <v>58</v>
      </c>
      <c r="C21" s="1" t="s">
        <v>59</v>
      </c>
      <c r="D21" s="1" t="s">
        <v>354</v>
      </c>
      <c r="E21" s="1" t="s">
        <v>355</v>
      </c>
      <c r="F21" s="1" t="s">
        <v>356</v>
      </c>
      <c r="H21" s="2" t="s">
        <v>63</v>
      </c>
      <c r="I21" s="2" t="s">
        <v>64</v>
      </c>
      <c r="J21" s="2" t="s">
        <v>63</v>
      </c>
      <c r="K21" s="2" t="s">
        <v>63</v>
      </c>
      <c r="L21" s="2" t="s">
        <v>65</v>
      </c>
      <c r="M21" s="1" t="s">
        <v>357</v>
      </c>
      <c r="N21" s="1" t="s">
        <v>358</v>
      </c>
      <c r="O21" s="2" t="s">
        <v>359</v>
      </c>
      <c r="Q21" s="2" t="s">
        <v>68</v>
      </c>
      <c r="R21" s="2" t="s">
        <v>195</v>
      </c>
      <c r="T21" s="2" t="s">
        <v>71</v>
      </c>
      <c r="U21" s="3">
        <v>2</v>
      </c>
      <c r="V21" s="3">
        <v>2</v>
      </c>
      <c r="W21" s="4" t="s">
        <v>346</v>
      </c>
      <c r="X21" s="4" t="s">
        <v>346</v>
      </c>
      <c r="Y21" s="4" t="s">
        <v>333</v>
      </c>
      <c r="Z21" s="4" t="s">
        <v>333</v>
      </c>
      <c r="AA21" s="3">
        <v>278</v>
      </c>
      <c r="AB21" s="3">
        <v>225</v>
      </c>
      <c r="AC21" s="3">
        <v>231</v>
      </c>
      <c r="AD21" s="3">
        <v>3</v>
      </c>
      <c r="AE21" s="3">
        <v>3</v>
      </c>
      <c r="AF21" s="3">
        <v>7</v>
      </c>
      <c r="AG21" s="3">
        <v>7</v>
      </c>
      <c r="AH21" s="3">
        <v>1</v>
      </c>
      <c r="AI21" s="3">
        <v>1</v>
      </c>
      <c r="AJ21" s="3">
        <v>2</v>
      </c>
      <c r="AK21" s="3">
        <v>2</v>
      </c>
      <c r="AL21" s="3">
        <v>3</v>
      </c>
      <c r="AM21" s="3">
        <v>3</v>
      </c>
      <c r="AN21" s="3">
        <v>2</v>
      </c>
      <c r="AO21" s="3">
        <v>2</v>
      </c>
      <c r="AP21" s="3">
        <v>0</v>
      </c>
      <c r="AQ21" s="3">
        <v>0</v>
      </c>
      <c r="AR21" s="2" t="s">
        <v>63</v>
      </c>
      <c r="AS21" s="2" t="s">
        <v>74</v>
      </c>
      <c r="AT21" s="5" t="str">
        <f>HYPERLINK("http://catalog.hathitrust.org/Record/001560677","HathiTrust Record")</f>
        <v>HathiTrust Record</v>
      </c>
      <c r="AU21" s="5" t="str">
        <f>HYPERLINK("https://creighton-primo.hosted.exlibrisgroup.com/primo-explore/search?tab=default_tab&amp;search_scope=EVERYTHING&amp;vid=01CRU&amp;lang=en_US&amp;offset=0&amp;query=any,contains,991000004889702656","Catalog Record")</f>
        <v>Catalog Record</v>
      </c>
      <c r="AV21" s="5" t="str">
        <f>HYPERLINK("http://www.worldcat.org/oclc/12821","WorldCat Record")</f>
        <v>WorldCat Record</v>
      </c>
      <c r="AW21" s="2" t="s">
        <v>360</v>
      </c>
      <c r="AX21" s="2" t="s">
        <v>361</v>
      </c>
      <c r="AY21" s="2" t="s">
        <v>362</v>
      </c>
      <c r="AZ21" s="2" t="s">
        <v>362</v>
      </c>
      <c r="BA21" s="2" t="s">
        <v>363</v>
      </c>
      <c r="BB21" s="2" t="s">
        <v>79</v>
      </c>
      <c r="BE21" s="2" t="s">
        <v>364</v>
      </c>
      <c r="BF21" s="2" t="s">
        <v>365</v>
      </c>
    </row>
    <row r="22" spans="1:58" ht="39.75" customHeight="1">
      <c r="A22" s="1"/>
      <c r="B22" s="1" t="s">
        <v>58</v>
      </c>
      <c r="C22" s="1" t="s">
        <v>59</v>
      </c>
      <c r="D22" s="1" t="s">
        <v>366</v>
      </c>
      <c r="E22" s="1" t="s">
        <v>367</v>
      </c>
      <c r="F22" s="1" t="s">
        <v>368</v>
      </c>
      <c r="H22" s="2" t="s">
        <v>63</v>
      </c>
      <c r="I22" s="2" t="s">
        <v>64</v>
      </c>
      <c r="J22" s="2" t="s">
        <v>63</v>
      </c>
      <c r="K22" s="2" t="s">
        <v>63</v>
      </c>
      <c r="L22" s="2" t="s">
        <v>65</v>
      </c>
      <c r="M22" s="1" t="s">
        <v>369</v>
      </c>
      <c r="N22" s="1" t="s">
        <v>370</v>
      </c>
      <c r="O22" s="2" t="s">
        <v>136</v>
      </c>
      <c r="Q22" s="2" t="s">
        <v>68</v>
      </c>
      <c r="R22" s="2" t="s">
        <v>106</v>
      </c>
      <c r="S22" s="1" t="s">
        <v>371</v>
      </c>
      <c r="T22" s="2" t="s">
        <v>71</v>
      </c>
      <c r="U22" s="3">
        <v>4</v>
      </c>
      <c r="V22" s="3">
        <v>4</v>
      </c>
      <c r="W22" s="4" t="s">
        <v>372</v>
      </c>
      <c r="X22" s="4" t="s">
        <v>372</v>
      </c>
      <c r="Y22" s="4" t="s">
        <v>373</v>
      </c>
      <c r="Z22" s="4" t="s">
        <v>373</v>
      </c>
      <c r="AA22" s="3">
        <v>108</v>
      </c>
      <c r="AB22" s="3">
        <v>98</v>
      </c>
      <c r="AC22" s="3">
        <v>715</v>
      </c>
      <c r="AD22" s="3">
        <v>1</v>
      </c>
      <c r="AE22" s="3">
        <v>4</v>
      </c>
      <c r="AF22" s="3">
        <v>3</v>
      </c>
      <c r="AG22" s="3">
        <v>13</v>
      </c>
      <c r="AH22" s="3">
        <v>0</v>
      </c>
      <c r="AI22" s="3">
        <v>6</v>
      </c>
      <c r="AJ22" s="3">
        <v>2</v>
      </c>
      <c r="AK22" s="3">
        <v>4</v>
      </c>
      <c r="AL22" s="3">
        <v>2</v>
      </c>
      <c r="AM22" s="3">
        <v>6</v>
      </c>
      <c r="AN22" s="3">
        <v>0</v>
      </c>
      <c r="AO22" s="3">
        <v>1</v>
      </c>
      <c r="AP22" s="3">
        <v>0</v>
      </c>
      <c r="AQ22" s="3">
        <v>0</v>
      </c>
      <c r="AR22" s="2" t="s">
        <v>63</v>
      </c>
      <c r="AS22" s="2" t="s">
        <v>63</v>
      </c>
      <c r="AU22" s="5" t="str">
        <f>HYPERLINK("https://creighton-primo.hosted.exlibrisgroup.com/primo-explore/search?tab=default_tab&amp;search_scope=EVERYTHING&amp;vid=01CRU&amp;lang=en_US&amp;offset=0&amp;query=any,contains,991000030619702656","Catalog Record")</f>
        <v>Catalog Record</v>
      </c>
      <c r="AV22" s="5" t="str">
        <f>HYPERLINK("http://www.worldcat.org/oclc/8603564","WorldCat Record")</f>
        <v>WorldCat Record</v>
      </c>
      <c r="AW22" s="2" t="s">
        <v>374</v>
      </c>
      <c r="AX22" s="2" t="s">
        <v>375</v>
      </c>
      <c r="AY22" s="2" t="s">
        <v>376</v>
      </c>
      <c r="AZ22" s="2" t="s">
        <v>376</v>
      </c>
      <c r="BA22" s="2" t="s">
        <v>377</v>
      </c>
      <c r="BB22" s="2" t="s">
        <v>79</v>
      </c>
      <c r="BE22" s="2" t="s">
        <v>378</v>
      </c>
      <c r="BF22" s="2" t="s">
        <v>379</v>
      </c>
    </row>
    <row r="23" spans="1:58" ht="39.75" customHeight="1">
      <c r="A23" s="1"/>
      <c r="B23" s="1" t="s">
        <v>58</v>
      </c>
      <c r="C23" s="1" t="s">
        <v>59</v>
      </c>
      <c r="D23" s="1" t="s">
        <v>380</v>
      </c>
      <c r="E23" s="1" t="s">
        <v>381</v>
      </c>
      <c r="F23" s="1" t="s">
        <v>382</v>
      </c>
      <c r="H23" s="2" t="s">
        <v>63</v>
      </c>
      <c r="I23" s="2" t="s">
        <v>64</v>
      </c>
      <c r="J23" s="2" t="s">
        <v>63</v>
      </c>
      <c r="K23" s="2" t="s">
        <v>63</v>
      </c>
      <c r="L23" s="2" t="s">
        <v>65</v>
      </c>
      <c r="M23" s="1" t="s">
        <v>383</v>
      </c>
      <c r="N23" s="1" t="s">
        <v>384</v>
      </c>
      <c r="O23" s="2" t="s">
        <v>209</v>
      </c>
      <c r="Q23" s="2" t="s">
        <v>68</v>
      </c>
      <c r="R23" s="2" t="s">
        <v>385</v>
      </c>
      <c r="T23" s="2" t="s">
        <v>71</v>
      </c>
      <c r="U23" s="3">
        <v>8</v>
      </c>
      <c r="V23" s="3">
        <v>8</v>
      </c>
      <c r="W23" s="4" t="s">
        <v>386</v>
      </c>
      <c r="X23" s="4" t="s">
        <v>386</v>
      </c>
      <c r="Y23" s="4" t="s">
        <v>183</v>
      </c>
      <c r="Z23" s="4" t="s">
        <v>183</v>
      </c>
      <c r="AA23" s="3">
        <v>930</v>
      </c>
      <c r="AB23" s="3">
        <v>851</v>
      </c>
      <c r="AC23" s="3">
        <v>1003</v>
      </c>
      <c r="AD23" s="3">
        <v>3</v>
      </c>
      <c r="AE23" s="3">
        <v>3</v>
      </c>
      <c r="AF23" s="3">
        <v>33</v>
      </c>
      <c r="AG23" s="3">
        <v>40</v>
      </c>
      <c r="AH23" s="3">
        <v>12</v>
      </c>
      <c r="AI23" s="3">
        <v>16</v>
      </c>
      <c r="AJ23" s="3">
        <v>3</v>
      </c>
      <c r="AK23" s="3">
        <v>6</v>
      </c>
      <c r="AL23" s="3">
        <v>12</v>
      </c>
      <c r="AM23" s="3">
        <v>15</v>
      </c>
      <c r="AN23" s="3">
        <v>2</v>
      </c>
      <c r="AO23" s="3">
        <v>2</v>
      </c>
      <c r="AP23" s="3">
        <v>9</v>
      </c>
      <c r="AQ23" s="3">
        <v>9</v>
      </c>
      <c r="AR23" s="2" t="s">
        <v>63</v>
      </c>
      <c r="AS23" s="2" t="s">
        <v>63</v>
      </c>
      <c r="AU23" s="5" t="str">
        <f>HYPERLINK("https://creighton-primo.hosted.exlibrisgroup.com/primo-explore/search?tab=default_tab&amp;search_scope=EVERYTHING&amp;vid=01CRU&amp;lang=en_US&amp;offset=0&amp;query=any,contains,991000388089702656","Catalog Record")</f>
        <v>Catalog Record</v>
      </c>
      <c r="AV23" s="5" t="str">
        <f>HYPERLINK("http://www.worldcat.org/oclc/10532459","WorldCat Record")</f>
        <v>WorldCat Record</v>
      </c>
      <c r="AW23" s="2" t="s">
        <v>387</v>
      </c>
      <c r="AX23" s="2" t="s">
        <v>388</v>
      </c>
      <c r="AY23" s="2" t="s">
        <v>389</v>
      </c>
      <c r="AZ23" s="2" t="s">
        <v>389</v>
      </c>
      <c r="BA23" s="2" t="s">
        <v>390</v>
      </c>
      <c r="BB23" s="2" t="s">
        <v>79</v>
      </c>
      <c r="BD23" s="2" t="s">
        <v>391</v>
      </c>
      <c r="BE23" s="2" t="s">
        <v>392</v>
      </c>
      <c r="BF23" s="2" t="s">
        <v>393</v>
      </c>
    </row>
    <row r="24" spans="1:58" ht="39.75" customHeight="1">
      <c r="A24" s="1"/>
      <c r="B24" s="1" t="s">
        <v>58</v>
      </c>
      <c r="C24" s="1" t="s">
        <v>59</v>
      </c>
      <c r="D24" s="1" t="s">
        <v>394</v>
      </c>
      <c r="E24" s="1" t="s">
        <v>395</v>
      </c>
      <c r="F24" s="1" t="s">
        <v>396</v>
      </c>
      <c r="H24" s="2" t="s">
        <v>63</v>
      </c>
      <c r="I24" s="2" t="s">
        <v>64</v>
      </c>
      <c r="J24" s="2" t="s">
        <v>74</v>
      </c>
      <c r="K24" s="2" t="s">
        <v>63</v>
      </c>
      <c r="L24" s="2" t="s">
        <v>65</v>
      </c>
      <c r="M24" s="1" t="s">
        <v>397</v>
      </c>
      <c r="N24" s="1" t="s">
        <v>398</v>
      </c>
      <c r="O24" s="2" t="s">
        <v>88</v>
      </c>
      <c r="Q24" s="2" t="s">
        <v>68</v>
      </c>
      <c r="R24" s="2" t="s">
        <v>399</v>
      </c>
      <c r="T24" s="2" t="s">
        <v>71</v>
      </c>
      <c r="U24" s="3">
        <v>10</v>
      </c>
      <c r="V24" s="3">
        <v>10</v>
      </c>
      <c r="W24" s="4" t="s">
        <v>400</v>
      </c>
      <c r="X24" s="4" t="s">
        <v>400</v>
      </c>
      <c r="Y24" s="4" t="s">
        <v>183</v>
      </c>
      <c r="Z24" s="4" t="s">
        <v>183</v>
      </c>
      <c r="AA24" s="3">
        <v>204</v>
      </c>
      <c r="AB24" s="3">
        <v>171</v>
      </c>
      <c r="AC24" s="3">
        <v>254</v>
      </c>
      <c r="AD24" s="3">
        <v>2</v>
      </c>
      <c r="AE24" s="3">
        <v>2</v>
      </c>
      <c r="AF24" s="3">
        <v>1</v>
      </c>
      <c r="AG24" s="3">
        <v>1</v>
      </c>
      <c r="AH24" s="3">
        <v>1</v>
      </c>
      <c r="AI24" s="3">
        <v>1</v>
      </c>
      <c r="AJ24" s="3">
        <v>0</v>
      </c>
      <c r="AK24" s="3">
        <v>0</v>
      </c>
      <c r="AL24" s="3">
        <v>0</v>
      </c>
      <c r="AM24" s="3">
        <v>0</v>
      </c>
      <c r="AN24" s="3">
        <v>0</v>
      </c>
      <c r="AO24" s="3">
        <v>0</v>
      </c>
      <c r="AP24" s="3">
        <v>0</v>
      </c>
      <c r="AQ24" s="3">
        <v>0</v>
      </c>
      <c r="AR24" s="2" t="s">
        <v>63</v>
      </c>
      <c r="AS24" s="2" t="s">
        <v>74</v>
      </c>
      <c r="AT24" s="5" t="str">
        <f>HYPERLINK("http://catalog.hathitrust.org/Record/000758262","HathiTrust Record")</f>
        <v>HathiTrust Record</v>
      </c>
      <c r="AU24" s="5" t="str">
        <f>HYPERLINK("https://creighton-primo.hosted.exlibrisgroup.com/primo-explore/search?tab=default_tab&amp;search_scope=EVERYTHING&amp;vid=01CRU&amp;lang=en_US&amp;offset=0&amp;query=any,contains,991004835549702656","Catalog Record")</f>
        <v>Catalog Record</v>
      </c>
      <c r="AV24" s="5" t="str">
        <f>HYPERLINK("http://www.worldcat.org/oclc/5447647","WorldCat Record")</f>
        <v>WorldCat Record</v>
      </c>
      <c r="AW24" s="2" t="s">
        <v>401</v>
      </c>
      <c r="AX24" s="2" t="s">
        <v>402</v>
      </c>
      <c r="AY24" s="2" t="s">
        <v>403</v>
      </c>
      <c r="AZ24" s="2" t="s">
        <v>403</v>
      </c>
      <c r="BA24" s="2" t="s">
        <v>404</v>
      </c>
      <c r="BB24" s="2" t="s">
        <v>79</v>
      </c>
      <c r="BD24" s="2" t="s">
        <v>405</v>
      </c>
      <c r="BE24" s="2" t="s">
        <v>406</v>
      </c>
      <c r="BF24" s="2" t="s">
        <v>407</v>
      </c>
    </row>
    <row r="25" spans="1:58" ht="39.75" customHeight="1">
      <c r="A25" s="1"/>
      <c r="B25" s="1" t="s">
        <v>58</v>
      </c>
      <c r="C25" s="1" t="s">
        <v>59</v>
      </c>
      <c r="D25" s="1" t="s">
        <v>408</v>
      </c>
      <c r="E25" s="1" t="s">
        <v>409</v>
      </c>
      <c r="F25" s="1" t="s">
        <v>410</v>
      </c>
      <c r="H25" s="2" t="s">
        <v>63</v>
      </c>
      <c r="I25" s="2" t="s">
        <v>64</v>
      </c>
      <c r="J25" s="2" t="s">
        <v>63</v>
      </c>
      <c r="K25" s="2" t="s">
        <v>63</v>
      </c>
      <c r="L25" s="2" t="s">
        <v>65</v>
      </c>
      <c r="N25" s="1" t="s">
        <v>411</v>
      </c>
      <c r="O25" s="2" t="s">
        <v>121</v>
      </c>
      <c r="Q25" s="2" t="s">
        <v>68</v>
      </c>
      <c r="R25" s="2" t="s">
        <v>106</v>
      </c>
      <c r="S25" s="1" t="s">
        <v>412</v>
      </c>
      <c r="T25" s="2" t="s">
        <v>71</v>
      </c>
      <c r="U25" s="3">
        <v>4</v>
      </c>
      <c r="V25" s="3">
        <v>4</v>
      </c>
      <c r="W25" s="4" t="s">
        <v>413</v>
      </c>
      <c r="X25" s="4" t="s">
        <v>413</v>
      </c>
      <c r="Y25" s="4" t="s">
        <v>414</v>
      </c>
      <c r="Z25" s="4" t="s">
        <v>414</v>
      </c>
      <c r="AA25" s="3">
        <v>292</v>
      </c>
      <c r="AB25" s="3">
        <v>214</v>
      </c>
      <c r="AC25" s="3">
        <v>218</v>
      </c>
      <c r="AD25" s="3">
        <v>2</v>
      </c>
      <c r="AE25" s="3">
        <v>2</v>
      </c>
      <c r="AF25" s="3">
        <v>8</v>
      </c>
      <c r="AG25" s="3">
        <v>8</v>
      </c>
      <c r="AH25" s="3">
        <v>2</v>
      </c>
      <c r="AI25" s="3">
        <v>2</v>
      </c>
      <c r="AJ25" s="3">
        <v>3</v>
      </c>
      <c r="AK25" s="3">
        <v>3</v>
      </c>
      <c r="AL25" s="3">
        <v>4</v>
      </c>
      <c r="AM25" s="3">
        <v>4</v>
      </c>
      <c r="AN25" s="3">
        <v>1</v>
      </c>
      <c r="AO25" s="3">
        <v>1</v>
      </c>
      <c r="AP25" s="3">
        <v>0</v>
      </c>
      <c r="AQ25" s="3">
        <v>0</v>
      </c>
      <c r="AR25" s="2" t="s">
        <v>63</v>
      </c>
      <c r="AS25" s="2" t="s">
        <v>74</v>
      </c>
      <c r="AT25" s="5" t="str">
        <f>HYPERLINK("http://catalog.hathitrust.org/Record/000091046","HathiTrust Record")</f>
        <v>HathiTrust Record</v>
      </c>
      <c r="AU25" s="5" t="str">
        <f>HYPERLINK("https://creighton-primo.hosted.exlibrisgroup.com/primo-explore/search?tab=default_tab&amp;search_scope=EVERYTHING&amp;vid=01CRU&amp;lang=en_US&amp;offset=0&amp;query=any,contains,991004472329702656","Catalog Record")</f>
        <v>Catalog Record</v>
      </c>
      <c r="AV25" s="5" t="str">
        <f>HYPERLINK("http://www.worldcat.org/oclc/3604373","WorldCat Record")</f>
        <v>WorldCat Record</v>
      </c>
      <c r="AW25" s="2" t="s">
        <v>415</v>
      </c>
      <c r="AX25" s="2" t="s">
        <v>416</v>
      </c>
      <c r="AY25" s="2" t="s">
        <v>417</v>
      </c>
      <c r="AZ25" s="2" t="s">
        <v>417</v>
      </c>
      <c r="BA25" s="2" t="s">
        <v>418</v>
      </c>
      <c r="BB25" s="2" t="s">
        <v>79</v>
      </c>
      <c r="BD25" s="2" t="s">
        <v>419</v>
      </c>
      <c r="BE25" s="2" t="s">
        <v>420</v>
      </c>
      <c r="BF25" s="2" t="s">
        <v>421</v>
      </c>
    </row>
    <row r="26" spans="1:58" ht="39.75" customHeight="1">
      <c r="A26" s="1"/>
      <c r="B26" s="1" t="s">
        <v>58</v>
      </c>
      <c r="C26" s="1" t="s">
        <v>59</v>
      </c>
      <c r="D26" s="1" t="s">
        <v>422</v>
      </c>
      <c r="E26" s="1" t="s">
        <v>423</v>
      </c>
      <c r="F26" s="1" t="s">
        <v>424</v>
      </c>
      <c r="H26" s="2" t="s">
        <v>63</v>
      </c>
      <c r="I26" s="2" t="s">
        <v>64</v>
      </c>
      <c r="J26" s="2" t="s">
        <v>63</v>
      </c>
      <c r="K26" s="2" t="s">
        <v>63</v>
      </c>
      <c r="L26" s="2" t="s">
        <v>65</v>
      </c>
      <c r="M26" s="1" t="s">
        <v>425</v>
      </c>
      <c r="N26" s="1" t="s">
        <v>426</v>
      </c>
      <c r="O26" s="2" t="s">
        <v>121</v>
      </c>
      <c r="Q26" s="2" t="s">
        <v>68</v>
      </c>
      <c r="R26" s="2" t="s">
        <v>181</v>
      </c>
      <c r="S26" s="1" t="s">
        <v>427</v>
      </c>
      <c r="T26" s="2" t="s">
        <v>71</v>
      </c>
      <c r="U26" s="3">
        <v>8</v>
      </c>
      <c r="V26" s="3">
        <v>8</v>
      </c>
      <c r="W26" s="4" t="s">
        <v>428</v>
      </c>
      <c r="X26" s="4" t="s">
        <v>428</v>
      </c>
      <c r="Y26" s="4" t="s">
        <v>429</v>
      </c>
      <c r="Z26" s="4" t="s">
        <v>429</v>
      </c>
      <c r="AA26" s="3">
        <v>272</v>
      </c>
      <c r="AB26" s="3">
        <v>222</v>
      </c>
      <c r="AC26" s="3">
        <v>227</v>
      </c>
      <c r="AD26" s="3">
        <v>1</v>
      </c>
      <c r="AE26" s="3">
        <v>1</v>
      </c>
      <c r="AF26" s="3">
        <v>8</v>
      </c>
      <c r="AG26" s="3">
        <v>8</v>
      </c>
      <c r="AH26" s="3">
        <v>4</v>
      </c>
      <c r="AI26" s="3">
        <v>4</v>
      </c>
      <c r="AJ26" s="3">
        <v>3</v>
      </c>
      <c r="AK26" s="3">
        <v>3</v>
      </c>
      <c r="AL26" s="3">
        <v>5</v>
      </c>
      <c r="AM26" s="3">
        <v>5</v>
      </c>
      <c r="AN26" s="3">
        <v>0</v>
      </c>
      <c r="AO26" s="3">
        <v>0</v>
      </c>
      <c r="AP26" s="3">
        <v>0</v>
      </c>
      <c r="AQ26" s="3">
        <v>0</v>
      </c>
      <c r="AR26" s="2" t="s">
        <v>63</v>
      </c>
      <c r="AS26" s="2" t="s">
        <v>63</v>
      </c>
      <c r="AU26" s="5" t="str">
        <f>HYPERLINK("https://creighton-primo.hosted.exlibrisgroup.com/primo-explore/search?tab=default_tab&amp;search_scope=EVERYTHING&amp;vid=01CRU&amp;lang=en_US&amp;offset=0&amp;query=any,contains,991004533279702656","Catalog Record")</f>
        <v>Catalog Record</v>
      </c>
      <c r="AV26" s="5" t="str">
        <f>HYPERLINK("http://www.worldcat.org/oclc/3862392","WorldCat Record")</f>
        <v>WorldCat Record</v>
      </c>
      <c r="AW26" s="2" t="s">
        <v>430</v>
      </c>
      <c r="AX26" s="2" t="s">
        <v>431</v>
      </c>
      <c r="AY26" s="2" t="s">
        <v>432</v>
      </c>
      <c r="AZ26" s="2" t="s">
        <v>432</v>
      </c>
      <c r="BA26" s="2" t="s">
        <v>433</v>
      </c>
      <c r="BB26" s="2" t="s">
        <v>79</v>
      </c>
      <c r="BD26" s="2" t="s">
        <v>434</v>
      </c>
      <c r="BE26" s="2" t="s">
        <v>435</v>
      </c>
      <c r="BF26" s="2" t="s">
        <v>436</v>
      </c>
    </row>
    <row r="27" spans="1:58" ht="39.75" customHeight="1">
      <c r="A27" s="1"/>
      <c r="B27" s="1" t="s">
        <v>58</v>
      </c>
      <c r="C27" s="1" t="s">
        <v>59</v>
      </c>
      <c r="D27" s="1" t="s">
        <v>437</v>
      </c>
      <c r="E27" s="1" t="s">
        <v>438</v>
      </c>
      <c r="F27" s="1" t="s">
        <v>439</v>
      </c>
      <c r="H27" s="2" t="s">
        <v>63</v>
      </c>
      <c r="I27" s="2" t="s">
        <v>64</v>
      </c>
      <c r="J27" s="2" t="s">
        <v>74</v>
      </c>
      <c r="K27" s="2" t="s">
        <v>63</v>
      </c>
      <c r="L27" s="2" t="s">
        <v>65</v>
      </c>
      <c r="N27" s="1" t="s">
        <v>440</v>
      </c>
      <c r="O27" s="2" t="s">
        <v>441</v>
      </c>
      <c r="Q27" s="2" t="s">
        <v>68</v>
      </c>
      <c r="R27" s="2" t="s">
        <v>167</v>
      </c>
      <c r="T27" s="2" t="s">
        <v>71</v>
      </c>
      <c r="U27" s="3">
        <v>43</v>
      </c>
      <c r="V27" s="3">
        <v>43</v>
      </c>
      <c r="W27" s="4" t="s">
        <v>442</v>
      </c>
      <c r="X27" s="4" t="s">
        <v>442</v>
      </c>
      <c r="Y27" s="4" t="s">
        <v>443</v>
      </c>
      <c r="Z27" s="4" t="s">
        <v>444</v>
      </c>
      <c r="AA27" s="3">
        <v>2159</v>
      </c>
      <c r="AB27" s="3">
        <v>2128</v>
      </c>
      <c r="AC27" s="3">
        <v>2243</v>
      </c>
      <c r="AD27" s="3">
        <v>16</v>
      </c>
      <c r="AE27" s="3">
        <v>16</v>
      </c>
      <c r="AF27" s="3">
        <v>68</v>
      </c>
      <c r="AG27" s="3">
        <v>70</v>
      </c>
      <c r="AH27" s="3">
        <v>21</v>
      </c>
      <c r="AI27" s="3">
        <v>22</v>
      </c>
      <c r="AJ27" s="3">
        <v>7</v>
      </c>
      <c r="AK27" s="3">
        <v>7</v>
      </c>
      <c r="AL27" s="3">
        <v>23</v>
      </c>
      <c r="AM27" s="3">
        <v>23</v>
      </c>
      <c r="AN27" s="3">
        <v>9</v>
      </c>
      <c r="AO27" s="3">
        <v>9</v>
      </c>
      <c r="AP27" s="3">
        <v>20</v>
      </c>
      <c r="AQ27" s="3">
        <v>21</v>
      </c>
      <c r="AR27" s="2" t="s">
        <v>63</v>
      </c>
      <c r="AS27" s="2" t="s">
        <v>74</v>
      </c>
      <c r="AT27" s="5" t="str">
        <f>HYPERLINK("http://catalog.hathitrust.org/Record/001948214","HathiTrust Record")</f>
        <v>HathiTrust Record</v>
      </c>
      <c r="AU27" s="5" t="str">
        <f>HYPERLINK("https://creighton-primo.hosted.exlibrisgroup.com/primo-explore/search?tab=default_tab&amp;search_scope=EVERYTHING&amp;vid=01CRU&amp;lang=en_US&amp;offset=0&amp;query=any,contains,991001643569702656","Catalog Record")</f>
        <v>Catalog Record</v>
      </c>
      <c r="AV27" s="5" t="str">
        <f>HYPERLINK("http://www.worldcat.org/oclc/20800495","WorldCat Record")</f>
        <v>WorldCat Record</v>
      </c>
      <c r="AW27" s="2" t="s">
        <v>445</v>
      </c>
      <c r="AX27" s="2" t="s">
        <v>446</v>
      </c>
      <c r="AY27" s="2" t="s">
        <v>447</v>
      </c>
      <c r="AZ27" s="2" t="s">
        <v>447</v>
      </c>
      <c r="BA27" s="2" t="s">
        <v>448</v>
      </c>
      <c r="BB27" s="2" t="s">
        <v>79</v>
      </c>
      <c r="BD27" s="2" t="s">
        <v>449</v>
      </c>
      <c r="BE27" s="2" t="s">
        <v>450</v>
      </c>
      <c r="BF27" s="2" t="s">
        <v>451</v>
      </c>
    </row>
    <row r="28" spans="1:58" ht="39.75" customHeight="1">
      <c r="A28" s="1"/>
      <c r="B28" s="1" t="s">
        <v>58</v>
      </c>
      <c r="C28" s="1" t="s">
        <v>59</v>
      </c>
      <c r="D28" s="1" t="s">
        <v>452</v>
      </c>
      <c r="E28" s="1" t="s">
        <v>453</v>
      </c>
      <c r="F28" s="1" t="s">
        <v>454</v>
      </c>
      <c r="H28" s="2" t="s">
        <v>63</v>
      </c>
      <c r="I28" s="2" t="s">
        <v>64</v>
      </c>
      <c r="J28" s="2" t="s">
        <v>63</v>
      </c>
      <c r="K28" s="2" t="s">
        <v>63</v>
      </c>
      <c r="L28" s="2" t="s">
        <v>65</v>
      </c>
      <c r="N28" s="1" t="s">
        <v>455</v>
      </c>
      <c r="O28" s="2" t="s">
        <v>456</v>
      </c>
      <c r="Q28" s="2" t="s">
        <v>68</v>
      </c>
      <c r="R28" s="2" t="s">
        <v>195</v>
      </c>
      <c r="T28" s="2" t="s">
        <v>71</v>
      </c>
      <c r="U28" s="3">
        <v>22</v>
      </c>
      <c r="V28" s="3">
        <v>22</v>
      </c>
      <c r="W28" s="4" t="s">
        <v>457</v>
      </c>
      <c r="X28" s="4" t="s">
        <v>457</v>
      </c>
      <c r="Y28" s="4" t="s">
        <v>458</v>
      </c>
      <c r="Z28" s="4" t="s">
        <v>458</v>
      </c>
      <c r="AA28" s="3">
        <v>469</v>
      </c>
      <c r="AB28" s="3">
        <v>391</v>
      </c>
      <c r="AC28" s="3">
        <v>399</v>
      </c>
      <c r="AD28" s="3">
        <v>3</v>
      </c>
      <c r="AE28" s="3">
        <v>3</v>
      </c>
      <c r="AF28" s="3">
        <v>14</v>
      </c>
      <c r="AG28" s="3">
        <v>14</v>
      </c>
      <c r="AH28" s="3">
        <v>4</v>
      </c>
      <c r="AI28" s="3">
        <v>4</v>
      </c>
      <c r="AJ28" s="3">
        <v>4</v>
      </c>
      <c r="AK28" s="3">
        <v>4</v>
      </c>
      <c r="AL28" s="3">
        <v>9</v>
      </c>
      <c r="AM28" s="3">
        <v>9</v>
      </c>
      <c r="AN28" s="3">
        <v>2</v>
      </c>
      <c r="AO28" s="3">
        <v>2</v>
      </c>
      <c r="AP28" s="3">
        <v>0</v>
      </c>
      <c r="AQ28" s="3">
        <v>0</v>
      </c>
      <c r="AR28" s="2" t="s">
        <v>63</v>
      </c>
      <c r="AS28" s="2" t="s">
        <v>74</v>
      </c>
      <c r="AT28" s="5" t="str">
        <f>HYPERLINK("http://catalog.hathitrust.org/Record/001560708","HathiTrust Record")</f>
        <v>HathiTrust Record</v>
      </c>
      <c r="AU28" s="5" t="str">
        <f>HYPERLINK("https://creighton-primo.hosted.exlibrisgroup.com/primo-explore/search?tab=default_tab&amp;search_scope=EVERYTHING&amp;vid=01CRU&amp;lang=en_US&amp;offset=0&amp;query=any,contains,991005431189702656","Catalog Record")</f>
        <v>Catalog Record</v>
      </c>
      <c r="AV28" s="5" t="str">
        <f>HYPERLINK("http://www.worldcat.org/oclc/259","WorldCat Record")</f>
        <v>WorldCat Record</v>
      </c>
      <c r="AW28" s="2" t="s">
        <v>459</v>
      </c>
      <c r="AX28" s="2" t="s">
        <v>460</v>
      </c>
      <c r="AY28" s="2" t="s">
        <v>461</v>
      </c>
      <c r="AZ28" s="2" t="s">
        <v>461</v>
      </c>
      <c r="BA28" s="2" t="s">
        <v>462</v>
      </c>
      <c r="BB28" s="2" t="s">
        <v>79</v>
      </c>
      <c r="BE28" s="2" t="s">
        <v>463</v>
      </c>
      <c r="BF28" s="2" t="s">
        <v>464</v>
      </c>
    </row>
    <row r="29" spans="1:58" ht="39.75" customHeight="1">
      <c r="A29" s="1"/>
      <c r="B29" s="1" t="s">
        <v>58</v>
      </c>
      <c r="C29" s="1" t="s">
        <v>59</v>
      </c>
      <c r="D29" s="1" t="s">
        <v>465</v>
      </c>
      <c r="E29" s="1" t="s">
        <v>466</v>
      </c>
      <c r="F29" s="1" t="s">
        <v>467</v>
      </c>
      <c r="H29" s="2" t="s">
        <v>63</v>
      </c>
      <c r="I29" s="2" t="s">
        <v>64</v>
      </c>
      <c r="J29" s="2" t="s">
        <v>63</v>
      </c>
      <c r="K29" s="2" t="s">
        <v>63</v>
      </c>
      <c r="L29" s="2" t="s">
        <v>65</v>
      </c>
      <c r="M29" s="1" t="s">
        <v>468</v>
      </c>
      <c r="N29" s="1" t="s">
        <v>469</v>
      </c>
      <c r="O29" s="2" t="s">
        <v>67</v>
      </c>
      <c r="Q29" s="2" t="s">
        <v>68</v>
      </c>
      <c r="R29" s="2" t="s">
        <v>195</v>
      </c>
      <c r="T29" s="2" t="s">
        <v>71</v>
      </c>
      <c r="U29" s="3">
        <v>8</v>
      </c>
      <c r="V29" s="3">
        <v>8</v>
      </c>
      <c r="W29" s="4" t="s">
        <v>470</v>
      </c>
      <c r="X29" s="4" t="s">
        <v>470</v>
      </c>
      <c r="Y29" s="4" t="s">
        <v>471</v>
      </c>
      <c r="Z29" s="4" t="s">
        <v>471</v>
      </c>
      <c r="AA29" s="3">
        <v>455</v>
      </c>
      <c r="AB29" s="3">
        <v>424</v>
      </c>
      <c r="AC29" s="3">
        <v>429</v>
      </c>
      <c r="AD29" s="3">
        <v>1</v>
      </c>
      <c r="AE29" s="3">
        <v>1</v>
      </c>
      <c r="AF29" s="3">
        <v>7</v>
      </c>
      <c r="AG29" s="3">
        <v>7</v>
      </c>
      <c r="AH29" s="3">
        <v>2</v>
      </c>
      <c r="AI29" s="3">
        <v>2</v>
      </c>
      <c r="AJ29" s="3">
        <v>3</v>
      </c>
      <c r="AK29" s="3">
        <v>3</v>
      </c>
      <c r="AL29" s="3">
        <v>3</v>
      </c>
      <c r="AM29" s="3">
        <v>3</v>
      </c>
      <c r="AN29" s="3">
        <v>0</v>
      </c>
      <c r="AO29" s="3">
        <v>0</v>
      </c>
      <c r="AP29" s="3">
        <v>0</v>
      </c>
      <c r="AQ29" s="3">
        <v>0</v>
      </c>
      <c r="AR29" s="2" t="s">
        <v>63</v>
      </c>
      <c r="AS29" s="2" t="s">
        <v>63</v>
      </c>
      <c r="AU29" s="5" t="str">
        <f>HYPERLINK("https://creighton-primo.hosted.exlibrisgroup.com/primo-explore/search?tab=default_tab&amp;search_scope=EVERYTHING&amp;vid=01CRU&amp;lang=en_US&amp;offset=0&amp;query=any,contains,991002184529702656","Catalog Record")</f>
        <v>Catalog Record</v>
      </c>
      <c r="AV29" s="5" t="str">
        <f>HYPERLINK("http://www.worldcat.org/oclc/28130425","WorldCat Record")</f>
        <v>WorldCat Record</v>
      </c>
      <c r="AW29" s="2" t="s">
        <v>472</v>
      </c>
      <c r="AX29" s="2" t="s">
        <v>473</v>
      </c>
      <c r="AY29" s="2" t="s">
        <v>474</v>
      </c>
      <c r="AZ29" s="2" t="s">
        <v>474</v>
      </c>
      <c r="BA29" s="2" t="s">
        <v>475</v>
      </c>
      <c r="BB29" s="2" t="s">
        <v>79</v>
      </c>
      <c r="BD29" s="2" t="s">
        <v>476</v>
      </c>
      <c r="BE29" s="2" t="s">
        <v>477</v>
      </c>
      <c r="BF29" s="2" t="s">
        <v>478</v>
      </c>
    </row>
    <row r="30" spans="1:58" ht="39.75" customHeight="1">
      <c r="A30" s="1"/>
      <c r="B30" s="1" t="s">
        <v>58</v>
      </c>
      <c r="C30" s="1" t="s">
        <v>59</v>
      </c>
      <c r="D30" s="1" t="s">
        <v>479</v>
      </c>
      <c r="E30" s="1" t="s">
        <v>480</v>
      </c>
      <c r="F30" s="1" t="s">
        <v>481</v>
      </c>
      <c r="H30" s="2" t="s">
        <v>63</v>
      </c>
      <c r="I30" s="2" t="s">
        <v>64</v>
      </c>
      <c r="J30" s="2" t="s">
        <v>63</v>
      </c>
      <c r="K30" s="2" t="s">
        <v>63</v>
      </c>
      <c r="L30" s="2" t="s">
        <v>65</v>
      </c>
      <c r="M30" s="1" t="s">
        <v>482</v>
      </c>
      <c r="N30" s="1" t="s">
        <v>483</v>
      </c>
      <c r="O30" s="2" t="s">
        <v>441</v>
      </c>
      <c r="P30" s="1" t="s">
        <v>484</v>
      </c>
      <c r="Q30" s="2" t="s">
        <v>68</v>
      </c>
      <c r="R30" s="2" t="s">
        <v>106</v>
      </c>
      <c r="T30" s="2" t="s">
        <v>71</v>
      </c>
      <c r="U30" s="3">
        <v>4</v>
      </c>
      <c r="V30" s="3">
        <v>4</v>
      </c>
      <c r="W30" s="4" t="s">
        <v>485</v>
      </c>
      <c r="X30" s="4" t="s">
        <v>485</v>
      </c>
      <c r="Y30" s="4" t="s">
        <v>486</v>
      </c>
      <c r="Z30" s="4" t="s">
        <v>486</v>
      </c>
      <c r="AA30" s="3">
        <v>415</v>
      </c>
      <c r="AB30" s="3">
        <v>392</v>
      </c>
      <c r="AC30" s="3">
        <v>517</v>
      </c>
      <c r="AD30" s="3">
        <v>3</v>
      </c>
      <c r="AE30" s="3">
        <v>4</v>
      </c>
      <c r="AF30" s="3">
        <v>6</v>
      </c>
      <c r="AG30" s="3">
        <v>10</v>
      </c>
      <c r="AH30" s="3">
        <v>3</v>
      </c>
      <c r="AI30" s="3">
        <v>4</v>
      </c>
      <c r="AJ30" s="3">
        <v>0</v>
      </c>
      <c r="AK30" s="3">
        <v>1</v>
      </c>
      <c r="AL30" s="3">
        <v>3</v>
      </c>
      <c r="AM30" s="3">
        <v>4</v>
      </c>
      <c r="AN30" s="3">
        <v>1</v>
      </c>
      <c r="AO30" s="3">
        <v>2</v>
      </c>
      <c r="AP30" s="3">
        <v>0</v>
      </c>
      <c r="AQ30" s="3">
        <v>0</v>
      </c>
      <c r="AR30" s="2" t="s">
        <v>63</v>
      </c>
      <c r="AS30" s="2" t="s">
        <v>74</v>
      </c>
      <c r="AT30" s="5" t="str">
        <f>HYPERLINK("http://catalog.hathitrust.org/Record/007987904","HathiTrust Record")</f>
        <v>HathiTrust Record</v>
      </c>
      <c r="AU30" s="5" t="str">
        <f>HYPERLINK("https://creighton-primo.hosted.exlibrisgroup.com/primo-explore/search?tab=default_tab&amp;search_scope=EVERYTHING&amp;vid=01CRU&amp;lang=en_US&amp;offset=0&amp;query=any,contains,991001637879702656","Catalog Record")</f>
        <v>Catalog Record</v>
      </c>
      <c r="AV30" s="5" t="str">
        <f>HYPERLINK("http://www.worldcat.org/oclc/20993102","WorldCat Record")</f>
        <v>WorldCat Record</v>
      </c>
      <c r="AW30" s="2" t="s">
        <v>487</v>
      </c>
      <c r="AX30" s="2" t="s">
        <v>488</v>
      </c>
      <c r="AY30" s="2" t="s">
        <v>489</v>
      </c>
      <c r="AZ30" s="2" t="s">
        <v>489</v>
      </c>
      <c r="BA30" s="2" t="s">
        <v>490</v>
      </c>
      <c r="BB30" s="2" t="s">
        <v>79</v>
      </c>
      <c r="BD30" s="2" t="s">
        <v>491</v>
      </c>
      <c r="BE30" s="2" t="s">
        <v>492</v>
      </c>
      <c r="BF30" s="2" t="s">
        <v>493</v>
      </c>
    </row>
    <row r="31" spans="1:58" ht="39.75" customHeight="1">
      <c r="A31" s="1"/>
      <c r="B31" s="1" t="s">
        <v>58</v>
      </c>
      <c r="C31" s="1" t="s">
        <v>59</v>
      </c>
      <c r="D31" s="1" t="s">
        <v>494</v>
      </c>
      <c r="E31" s="1" t="s">
        <v>495</v>
      </c>
      <c r="F31" s="1" t="s">
        <v>496</v>
      </c>
      <c r="H31" s="2" t="s">
        <v>63</v>
      </c>
      <c r="I31" s="2" t="s">
        <v>64</v>
      </c>
      <c r="J31" s="2" t="s">
        <v>63</v>
      </c>
      <c r="K31" s="2" t="s">
        <v>63</v>
      </c>
      <c r="L31" s="2" t="s">
        <v>65</v>
      </c>
      <c r="M31" s="1" t="s">
        <v>497</v>
      </c>
      <c r="N31" s="1" t="s">
        <v>498</v>
      </c>
      <c r="O31" s="2" t="s">
        <v>499</v>
      </c>
      <c r="Q31" s="2" t="s">
        <v>68</v>
      </c>
      <c r="R31" s="2" t="s">
        <v>500</v>
      </c>
      <c r="S31" s="1" t="s">
        <v>501</v>
      </c>
      <c r="T31" s="2" t="s">
        <v>71</v>
      </c>
      <c r="U31" s="3">
        <v>5</v>
      </c>
      <c r="V31" s="3">
        <v>5</v>
      </c>
      <c r="W31" s="4" t="s">
        <v>502</v>
      </c>
      <c r="X31" s="4" t="s">
        <v>502</v>
      </c>
      <c r="Y31" s="4" t="s">
        <v>503</v>
      </c>
      <c r="Z31" s="4" t="s">
        <v>503</v>
      </c>
      <c r="AA31" s="3">
        <v>197</v>
      </c>
      <c r="AB31" s="3">
        <v>147</v>
      </c>
      <c r="AC31" s="3">
        <v>147</v>
      </c>
      <c r="AD31" s="3">
        <v>2</v>
      </c>
      <c r="AE31" s="3">
        <v>2</v>
      </c>
      <c r="AF31" s="3">
        <v>3</v>
      </c>
      <c r="AG31" s="3">
        <v>3</v>
      </c>
      <c r="AH31" s="3">
        <v>0</v>
      </c>
      <c r="AI31" s="3">
        <v>0</v>
      </c>
      <c r="AJ31" s="3">
        <v>1</v>
      </c>
      <c r="AK31" s="3">
        <v>1</v>
      </c>
      <c r="AL31" s="3">
        <v>2</v>
      </c>
      <c r="AM31" s="3">
        <v>2</v>
      </c>
      <c r="AN31" s="3">
        <v>1</v>
      </c>
      <c r="AO31" s="3">
        <v>1</v>
      </c>
      <c r="AP31" s="3">
        <v>0</v>
      </c>
      <c r="AQ31" s="3">
        <v>0</v>
      </c>
      <c r="AR31" s="2" t="s">
        <v>63</v>
      </c>
      <c r="AS31" s="2" t="s">
        <v>63</v>
      </c>
      <c r="AU31" s="5" t="str">
        <f>HYPERLINK("https://creighton-primo.hosted.exlibrisgroup.com/primo-explore/search?tab=default_tab&amp;search_scope=EVERYTHING&amp;vid=01CRU&amp;lang=en_US&amp;offset=0&amp;query=any,contains,991003577039702656","Catalog Record")</f>
        <v>Catalog Record</v>
      </c>
      <c r="AV31" s="5" t="str">
        <f>HYPERLINK("http://www.worldcat.org/oclc/1156503","WorldCat Record")</f>
        <v>WorldCat Record</v>
      </c>
      <c r="AW31" s="2" t="s">
        <v>504</v>
      </c>
      <c r="AX31" s="2" t="s">
        <v>505</v>
      </c>
      <c r="AY31" s="2" t="s">
        <v>506</v>
      </c>
      <c r="AZ31" s="2" t="s">
        <v>506</v>
      </c>
      <c r="BA31" s="2" t="s">
        <v>507</v>
      </c>
      <c r="BB31" s="2" t="s">
        <v>79</v>
      </c>
      <c r="BD31" s="2" t="s">
        <v>508</v>
      </c>
      <c r="BE31" s="2" t="s">
        <v>509</v>
      </c>
      <c r="BF31" s="2" t="s">
        <v>510</v>
      </c>
    </row>
    <row r="32" spans="1:58" ht="39.75" customHeight="1">
      <c r="A32" s="1"/>
      <c r="B32" s="1" t="s">
        <v>58</v>
      </c>
      <c r="C32" s="1" t="s">
        <v>59</v>
      </c>
      <c r="D32" s="1" t="s">
        <v>511</v>
      </c>
      <c r="E32" s="1" t="s">
        <v>512</v>
      </c>
      <c r="F32" s="1" t="s">
        <v>513</v>
      </c>
      <c r="H32" s="2" t="s">
        <v>63</v>
      </c>
      <c r="I32" s="2" t="s">
        <v>64</v>
      </c>
      <c r="J32" s="2" t="s">
        <v>63</v>
      </c>
      <c r="K32" s="2" t="s">
        <v>63</v>
      </c>
      <c r="L32" s="2" t="s">
        <v>65</v>
      </c>
      <c r="M32" s="1" t="s">
        <v>514</v>
      </c>
      <c r="N32" s="1" t="s">
        <v>515</v>
      </c>
      <c r="O32" s="2" t="s">
        <v>88</v>
      </c>
      <c r="P32" s="1" t="s">
        <v>516</v>
      </c>
      <c r="Q32" s="2" t="s">
        <v>68</v>
      </c>
      <c r="R32" s="2" t="s">
        <v>181</v>
      </c>
      <c r="T32" s="2" t="s">
        <v>71</v>
      </c>
      <c r="U32" s="3">
        <v>5</v>
      </c>
      <c r="V32" s="3">
        <v>5</v>
      </c>
      <c r="W32" s="4" t="s">
        <v>517</v>
      </c>
      <c r="X32" s="4" t="s">
        <v>517</v>
      </c>
      <c r="Y32" s="4" t="s">
        <v>503</v>
      </c>
      <c r="Z32" s="4" t="s">
        <v>503</v>
      </c>
      <c r="AA32" s="3">
        <v>105</v>
      </c>
      <c r="AB32" s="3">
        <v>70</v>
      </c>
      <c r="AC32" s="3">
        <v>105</v>
      </c>
      <c r="AD32" s="3">
        <v>1</v>
      </c>
      <c r="AE32" s="3">
        <v>1</v>
      </c>
      <c r="AF32" s="3">
        <v>0</v>
      </c>
      <c r="AG32" s="3">
        <v>0</v>
      </c>
      <c r="AH32" s="3">
        <v>0</v>
      </c>
      <c r="AI32" s="3">
        <v>0</v>
      </c>
      <c r="AJ32" s="3">
        <v>0</v>
      </c>
      <c r="AK32" s="3">
        <v>0</v>
      </c>
      <c r="AL32" s="3">
        <v>0</v>
      </c>
      <c r="AM32" s="3">
        <v>0</v>
      </c>
      <c r="AN32" s="3">
        <v>0</v>
      </c>
      <c r="AO32" s="3">
        <v>0</v>
      </c>
      <c r="AP32" s="3">
        <v>0</v>
      </c>
      <c r="AQ32" s="3">
        <v>0</v>
      </c>
      <c r="AR32" s="2" t="s">
        <v>63</v>
      </c>
      <c r="AS32" s="2" t="s">
        <v>63</v>
      </c>
      <c r="AU32" s="5" t="str">
        <f>HYPERLINK("https://creighton-primo.hosted.exlibrisgroup.com/primo-explore/search?tab=default_tab&amp;search_scope=EVERYTHING&amp;vid=01CRU&amp;lang=en_US&amp;offset=0&amp;query=any,contains,991004962879702656","Catalog Record")</f>
        <v>Catalog Record</v>
      </c>
      <c r="AV32" s="5" t="str">
        <f>HYPERLINK("http://www.worldcat.org/oclc/11495645","WorldCat Record")</f>
        <v>WorldCat Record</v>
      </c>
      <c r="AW32" s="2" t="s">
        <v>518</v>
      </c>
      <c r="AX32" s="2" t="s">
        <v>519</v>
      </c>
      <c r="AY32" s="2" t="s">
        <v>520</v>
      </c>
      <c r="AZ32" s="2" t="s">
        <v>520</v>
      </c>
      <c r="BA32" s="2" t="s">
        <v>521</v>
      </c>
      <c r="BB32" s="2" t="s">
        <v>79</v>
      </c>
      <c r="BE32" s="2" t="s">
        <v>522</v>
      </c>
      <c r="BF32" s="2" t="s">
        <v>523</v>
      </c>
    </row>
    <row r="33" spans="1:58" ht="39.75" customHeight="1">
      <c r="A33" s="1"/>
      <c r="B33" s="1" t="s">
        <v>58</v>
      </c>
      <c r="C33" s="1" t="s">
        <v>59</v>
      </c>
      <c r="D33" s="1" t="s">
        <v>524</v>
      </c>
      <c r="E33" s="1" t="s">
        <v>525</v>
      </c>
      <c r="F33" s="1" t="s">
        <v>526</v>
      </c>
      <c r="H33" s="2" t="s">
        <v>63</v>
      </c>
      <c r="I33" s="2" t="s">
        <v>64</v>
      </c>
      <c r="J33" s="2" t="s">
        <v>63</v>
      </c>
      <c r="K33" s="2" t="s">
        <v>63</v>
      </c>
      <c r="L33" s="2" t="s">
        <v>65</v>
      </c>
      <c r="N33" s="1" t="s">
        <v>527</v>
      </c>
      <c r="O33" s="2" t="s">
        <v>528</v>
      </c>
      <c r="P33" s="1" t="s">
        <v>529</v>
      </c>
      <c r="Q33" s="2" t="s">
        <v>68</v>
      </c>
      <c r="R33" s="2" t="s">
        <v>106</v>
      </c>
      <c r="S33" s="1" t="s">
        <v>530</v>
      </c>
      <c r="T33" s="2" t="s">
        <v>71</v>
      </c>
      <c r="U33" s="3">
        <v>5</v>
      </c>
      <c r="V33" s="3">
        <v>5</v>
      </c>
      <c r="W33" s="4" t="s">
        <v>531</v>
      </c>
      <c r="X33" s="4" t="s">
        <v>531</v>
      </c>
      <c r="Y33" s="4" t="s">
        <v>532</v>
      </c>
      <c r="Z33" s="4" t="s">
        <v>532</v>
      </c>
      <c r="AA33" s="3">
        <v>214</v>
      </c>
      <c r="AB33" s="3">
        <v>156</v>
      </c>
      <c r="AC33" s="3">
        <v>380</v>
      </c>
      <c r="AD33" s="3">
        <v>1</v>
      </c>
      <c r="AE33" s="3">
        <v>1</v>
      </c>
      <c r="AF33" s="3">
        <v>10</v>
      </c>
      <c r="AG33" s="3">
        <v>13</v>
      </c>
      <c r="AH33" s="3">
        <v>5</v>
      </c>
      <c r="AI33" s="3">
        <v>5</v>
      </c>
      <c r="AJ33" s="3">
        <v>2</v>
      </c>
      <c r="AK33" s="3">
        <v>2</v>
      </c>
      <c r="AL33" s="3">
        <v>5</v>
      </c>
      <c r="AM33" s="3">
        <v>8</v>
      </c>
      <c r="AN33" s="3">
        <v>0</v>
      </c>
      <c r="AO33" s="3">
        <v>0</v>
      </c>
      <c r="AP33" s="3">
        <v>0</v>
      </c>
      <c r="AQ33" s="3">
        <v>0</v>
      </c>
      <c r="AR33" s="2" t="s">
        <v>63</v>
      </c>
      <c r="AS33" s="2" t="s">
        <v>63</v>
      </c>
      <c r="AU33" s="5" t="str">
        <f>HYPERLINK("https://creighton-primo.hosted.exlibrisgroup.com/primo-explore/search?tab=default_tab&amp;search_scope=EVERYTHING&amp;vid=01CRU&amp;lang=en_US&amp;offset=0&amp;query=any,contains,991003028179702656","Catalog Record")</f>
        <v>Catalog Record</v>
      </c>
      <c r="AV33" s="5" t="str">
        <f>HYPERLINK("http://www.worldcat.org/oclc/41419595","WorldCat Record")</f>
        <v>WorldCat Record</v>
      </c>
      <c r="AW33" s="2" t="s">
        <v>533</v>
      </c>
      <c r="AX33" s="2" t="s">
        <v>534</v>
      </c>
      <c r="AY33" s="2" t="s">
        <v>535</v>
      </c>
      <c r="AZ33" s="2" t="s">
        <v>535</v>
      </c>
      <c r="BA33" s="2" t="s">
        <v>536</v>
      </c>
      <c r="BB33" s="2" t="s">
        <v>79</v>
      </c>
      <c r="BD33" s="2" t="s">
        <v>537</v>
      </c>
      <c r="BE33" s="2" t="s">
        <v>538</v>
      </c>
      <c r="BF33" s="2" t="s">
        <v>539</v>
      </c>
    </row>
    <row r="34" spans="1:58" ht="39.75" customHeight="1">
      <c r="A34" s="1"/>
      <c r="B34" s="1" t="s">
        <v>58</v>
      </c>
      <c r="C34" s="1" t="s">
        <v>59</v>
      </c>
      <c r="D34" s="1" t="s">
        <v>540</v>
      </c>
      <c r="E34" s="1" t="s">
        <v>541</v>
      </c>
      <c r="F34" s="1" t="s">
        <v>542</v>
      </c>
      <c r="H34" s="2" t="s">
        <v>63</v>
      </c>
      <c r="I34" s="2" t="s">
        <v>64</v>
      </c>
      <c r="J34" s="2" t="s">
        <v>74</v>
      </c>
      <c r="K34" s="2" t="s">
        <v>63</v>
      </c>
      <c r="L34" s="2" t="s">
        <v>65</v>
      </c>
      <c r="M34" s="1" t="s">
        <v>543</v>
      </c>
      <c r="N34" s="1" t="s">
        <v>544</v>
      </c>
      <c r="O34" s="2" t="s">
        <v>209</v>
      </c>
      <c r="P34" s="1" t="s">
        <v>255</v>
      </c>
      <c r="Q34" s="2" t="s">
        <v>68</v>
      </c>
      <c r="R34" s="2" t="s">
        <v>399</v>
      </c>
      <c r="T34" s="2" t="s">
        <v>71</v>
      </c>
      <c r="U34" s="3">
        <v>3</v>
      </c>
      <c r="V34" s="3">
        <v>3</v>
      </c>
      <c r="W34" s="4" t="s">
        <v>502</v>
      </c>
      <c r="X34" s="4" t="s">
        <v>502</v>
      </c>
      <c r="Y34" s="4" t="s">
        <v>139</v>
      </c>
      <c r="Z34" s="4" t="s">
        <v>139</v>
      </c>
      <c r="AA34" s="3">
        <v>296</v>
      </c>
      <c r="AB34" s="3">
        <v>252</v>
      </c>
      <c r="AC34" s="3">
        <v>428</v>
      </c>
      <c r="AD34" s="3">
        <v>4</v>
      </c>
      <c r="AE34" s="3">
        <v>4</v>
      </c>
      <c r="AF34" s="3">
        <v>8</v>
      </c>
      <c r="AG34" s="3">
        <v>10</v>
      </c>
      <c r="AH34" s="3">
        <v>1</v>
      </c>
      <c r="AI34" s="3">
        <v>2</v>
      </c>
      <c r="AJ34" s="3">
        <v>2</v>
      </c>
      <c r="AK34" s="3">
        <v>3</v>
      </c>
      <c r="AL34" s="3">
        <v>5</v>
      </c>
      <c r="AM34" s="3">
        <v>5</v>
      </c>
      <c r="AN34" s="3">
        <v>2</v>
      </c>
      <c r="AO34" s="3">
        <v>2</v>
      </c>
      <c r="AP34" s="3">
        <v>0</v>
      </c>
      <c r="AQ34" s="3">
        <v>0</v>
      </c>
      <c r="AR34" s="2" t="s">
        <v>63</v>
      </c>
      <c r="AS34" s="2" t="s">
        <v>74</v>
      </c>
      <c r="AT34" s="5" t="str">
        <f>HYPERLINK("http://catalog.hathitrust.org/Record/000780335","HathiTrust Record")</f>
        <v>HathiTrust Record</v>
      </c>
      <c r="AU34" s="5" t="str">
        <f>HYPERLINK("https://creighton-primo.hosted.exlibrisgroup.com/primo-explore/search?tab=default_tab&amp;search_scope=EVERYTHING&amp;vid=01CRU&amp;lang=en_US&amp;offset=0&amp;query=any,contains,991000346109702656","Catalog Record")</f>
        <v>Catalog Record</v>
      </c>
      <c r="AV34" s="5" t="str">
        <f>HYPERLINK("http://www.worldcat.org/oclc/10277824","WorldCat Record")</f>
        <v>WorldCat Record</v>
      </c>
      <c r="AW34" s="2" t="s">
        <v>545</v>
      </c>
      <c r="AX34" s="2" t="s">
        <v>546</v>
      </c>
      <c r="AY34" s="2" t="s">
        <v>547</v>
      </c>
      <c r="AZ34" s="2" t="s">
        <v>547</v>
      </c>
      <c r="BA34" s="2" t="s">
        <v>548</v>
      </c>
      <c r="BB34" s="2" t="s">
        <v>79</v>
      </c>
      <c r="BD34" s="2" t="s">
        <v>549</v>
      </c>
      <c r="BE34" s="2" t="s">
        <v>550</v>
      </c>
      <c r="BF34" s="2" t="s">
        <v>551</v>
      </c>
    </row>
    <row r="35" spans="1:58" ht="39.75" customHeight="1">
      <c r="A35" s="1"/>
      <c r="B35" s="1" t="s">
        <v>58</v>
      </c>
      <c r="C35" s="1" t="s">
        <v>59</v>
      </c>
      <c r="D35" s="1" t="s">
        <v>552</v>
      </c>
      <c r="E35" s="1" t="s">
        <v>553</v>
      </c>
      <c r="F35" s="1" t="s">
        <v>554</v>
      </c>
      <c r="H35" s="2" t="s">
        <v>63</v>
      </c>
      <c r="I35" s="2" t="s">
        <v>64</v>
      </c>
      <c r="J35" s="2" t="s">
        <v>63</v>
      </c>
      <c r="K35" s="2" t="s">
        <v>63</v>
      </c>
      <c r="L35" s="2" t="s">
        <v>65</v>
      </c>
      <c r="M35" s="1" t="s">
        <v>555</v>
      </c>
      <c r="N35" s="1" t="s">
        <v>556</v>
      </c>
      <c r="O35" s="2" t="s">
        <v>557</v>
      </c>
      <c r="Q35" s="2" t="s">
        <v>68</v>
      </c>
      <c r="R35" s="2" t="s">
        <v>331</v>
      </c>
      <c r="T35" s="2" t="s">
        <v>71</v>
      </c>
      <c r="U35" s="3">
        <v>1</v>
      </c>
      <c r="V35" s="3">
        <v>1</v>
      </c>
      <c r="W35" s="4" t="s">
        <v>558</v>
      </c>
      <c r="X35" s="4" t="s">
        <v>558</v>
      </c>
      <c r="Y35" s="4" t="s">
        <v>333</v>
      </c>
      <c r="Z35" s="4" t="s">
        <v>333</v>
      </c>
      <c r="AA35" s="3">
        <v>183</v>
      </c>
      <c r="AB35" s="3">
        <v>144</v>
      </c>
      <c r="AC35" s="3">
        <v>159</v>
      </c>
      <c r="AD35" s="3">
        <v>1</v>
      </c>
      <c r="AE35" s="3">
        <v>1</v>
      </c>
      <c r="AF35" s="3">
        <v>2</v>
      </c>
      <c r="AG35" s="3">
        <v>3</v>
      </c>
      <c r="AH35" s="3">
        <v>0</v>
      </c>
      <c r="AI35" s="3">
        <v>1</v>
      </c>
      <c r="AJ35" s="3">
        <v>1</v>
      </c>
      <c r="AK35" s="3">
        <v>1</v>
      </c>
      <c r="AL35" s="3">
        <v>1</v>
      </c>
      <c r="AM35" s="3">
        <v>1</v>
      </c>
      <c r="AN35" s="3">
        <v>0</v>
      </c>
      <c r="AO35" s="3">
        <v>0</v>
      </c>
      <c r="AP35" s="3">
        <v>0</v>
      </c>
      <c r="AQ35" s="3">
        <v>0</v>
      </c>
      <c r="AR35" s="2" t="s">
        <v>74</v>
      </c>
      <c r="AS35" s="2" t="s">
        <v>63</v>
      </c>
      <c r="AT35" s="5" t="str">
        <f>HYPERLINK("http://catalog.hathitrust.org/Record/001577277","HathiTrust Record")</f>
        <v>HathiTrust Record</v>
      </c>
      <c r="AU35" s="5" t="str">
        <f>HYPERLINK("https://creighton-primo.hosted.exlibrisgroup.com/primo-explore/search?tab=default_tab&amp;search_scope=EVERYTHING&amp;vid=01CRU&amp;lang=en_US&amp;offset=0&amp;query=any,contains,991003757189702656","Catalog Record")</f>
        <v>Catalog Record</v>
      </c>
      <c r="AV35" s="5" t="str">
        <f>HYPERLINK("http://www.worldcat.org/oclc/1440103","WorldCat Record")</f>
        <v>WorldCat Record</v>
      </c>
      <c r="AW35" s="2" t="s">
        <v>559</v>
      </c>
      <c r="AX35" s="2" t="s">
        <v>560</v>
      </c>
      <c r="AY35" s="2" t="s">
        <v>561</v>
      </c>
      <c r="AZ35" s="2" t="s">
        <v>561</v>
      </c>
      <c r="BA35" s="2" t="s">
        <v>562</v>
      </c>
      <c r="BB35" s="2" t="s">
        <v>79</v>
      </c>
      <c r="BE35" s="2" t="s">
        <v>563</v>
      </c>
      <c r="BF35" s="2" t="s">
        <v>564</v>
      </c>
    </row>
    <row r="36" spans="1:58" ht="39.75" customHeight="1">
      <c r="A36" s="1"/>
      <c r="B36" s="1" t="s">
        <v>58</v>
      </c>
      <c r="C36" s="1" t="s">
        <v>59</v>
      </c>
      <c r="D36" s="1" t="s">
        <v>565</v>
      </c>
      <c r="E36" s="1" t="s">
        <v>566</v>
      </c>
      <c r="F36" s="1" t="s">
        <v>567</v>
      </c>
      <c r="H36" s="2" t="s">
        <v>63</v>
      </c>
      <c r="I36" s="2" t="s">
        <v>64</v>
      </c>
      <c r="J36" s="2" t="s">
        <v>63</v>
      </c>
      <c r="K36" s="2" t="s">
        <v>63</v>
      </c>
      <c r="L36" s="2" t="s">
        <v>65</v>
      </c>
      <c r="M36" s="1" t="s">
        <v>568</v>
      </c>
      <c r="N36" s="1" t="s">
        <v>569</v>
      </c>
      <c r="O36" s="2" t="s">
        <v>209</v>
      </c>
      <c r="Q36" s="2" t="s">
        <v>68</v>
      </c>
      <c r="R36" s="2" t="s">
        <v>500</v>
      </c>
      <c r="S36" s="1" t="s">
        <v>570</v>
      </c>
      <c r="T36" s="2" t="s">
        <v>71</v>
      </c>
      <c r="U36" s="3">
        <v>4</v>
      </c>
      <c r="V36" s="3">
        <v>4</v>
      </c>
      <c r="W36" s="4" t="s">
        <v>571</v>
      </c>
      <c r="X36" s="4" t="s">
        <v>571</v>
      </c>
      <c r="Y36" s="4" t="s">
        <v>429</v>
      </c>
      <c r="Z36" s="4" t="s">
        <v>429</v>
      </c>
      <c r="AA36" s="3">
        <v>312</v>
      </c>
      <c r="AB36" s="3">
        <v>241</v>
      </c>
      <c r="AC36" s="3">
        <v>258</v>
      </c>
      <c r="AD36" s="3">
        <v>1</v>
      </c>
      <c r="AE36" s="3">
        <v>1</v>
      </c>
      <c r="AF36" s="3">
        <v>7</v>
      </c>
      <c r="AG36" s="3">
        <v>7</v>
      </c>
      <c r="AH36" s="3">
        <v>1</v>
      </c>
      <c r="AI36" s="3">
        <v>1</v>
      </c>
      <c r="AJ36" s="3">
        <v>3</v>
      </c>
      <c r="AK36" s="3">
        <v>3</v>
      </c>
      <c r="AL36" s="3">
        <v>5</v>
      </c>
      <c r="AM36" s="3">
        <v>5</v>
      </c>
      <c r="AN36" s="3">
        <v>0</v>
      </c>
      <c r="AO36" s="3">
        <v>0</v>
      </c>
      <c r="AP36" s="3">
        <v>0</v>
      </c>
      <c r="AQ36" s="3">
        <v>0</v>
      </c>
      <c r="AR36" s="2" t="s">
        <v>63</v>
      </c>
      <c r="AS36" s="2" t="s">
        <v>63</v>
      </c>
      <c r="AU36" s="5" t="str">
        <f>HYPERLINK("https://creighton-primo.hosted.exlibrisgroup.com/primo-explore/search?tab=default_tab&amp;search_scope=EVERYTHING&amp;vid=01CRU&amp;lang=en_US&amp;offset=0&amp;query=any,contains,991000315979702656","Catalog Record")</f>
        <v>Catalog Record</v>
      </c>
      <c r="AV36" s="5" t="str">
        <f>HYPERLINK("http://www.worldcat.org/oclc/10121940","WorldCat Record")</f>
        <v>WorldCat Record</v>
      </c>
      <c r="AW36" s="2" t="s">
        <v>572</v>
      </c>
      <c r="AX36" s="2" t="s">
        <v>573</v>
      </c>
      <c r="AY36" s="2" t="s">
        <v>574</v>
      </c>
      <c r="AZ36" s="2" t="s">
        <v>574</v>
      </c>
      <c r="BA36" s="2" t="s">
        <v>575</v>
      </c>
      <c r="BB36" s="2" t="s">
        <v>79</v>
      </c>
      <c r="BD36" s="2" t="s">
        <v>576</v>
      </c>
      <c r="BE36" s="2" t="s">
        <v>577</v>
      </c>
      <c r="BF36" s="2" t="s">
        <v>578</v>
      </c>
    </row>
    <row r="37" spans="1:58" ht="39.75" customHeight="1">
      <c r="A37" s="1"/>
      <c r="B37" s="1" t="s">
        <v>58</v>
      </c>
      <c r="C37" s="1" t="s">
        <v>59</v>
      </c>
      <c r="D37" s="1" t="s">
        <v>579</v>
      </c>
      <c r="E37" s="1" t="s">
        <v>580</v>
      </c>
      <c r="F37" s="1" t="s">
        <v>581</v>
      </c>
      <c r="H37" s="2" t="s">
        <v>63</v>
      </c>
      <c r="I37" s="2" t="s">
        <v>64</v>
      </c>
      <c r="J37" s="2" t="s">
        <v>63</v>
      </c>
      <c r="K37" s="2" t="s">
        <v>63</v>
      </c>
      <c r="L37" s="2" t="s">
        <v>65</v>
      </c>
      <c r="N37" s="1" t="s">
        <v>582</v>
      </c>
      <c r="O37" s="2" t="s">
        <v>67</v>
      </c>
      <c r="Q37" s="2" t="s">
        <v>68</v>
      </c>
      <c r="R37" s="2" t="s">
        <v>583</v>
      </c>
      <c r="T37" s="2" t="s">
        <v>71</v>
      </c>
      <c r="U37" s="3">
        <v>6</v>
      </c>
      <c r="V37" s="3">
        <v>6</v>
      </c>
      <c r="W37" s="4" t="s">
        <v>584</v>
      </c>
      <c r="X37" s="4" t="s">
        <v>584</v>
      </c>
      <c r="Y37" s="4" t="s">
        <v>585</v>
      </c>
      <c r="Z37" s="4" t="s">
        <v>585</v>
      </c>
      <c r="AA37" s="3">
        <v>209</v>
      </c>
      <c r="AB37" s="3">
        <v>179</v>
      </c>
      <c r="AC37" s="3">
        <v>184</v>
      </c>
      <c r="AD37" s="3">
        <v>1</v>
      </c>
      <c r="AE37" s="3">
        <v>1</v>
      </c>
      <c r="AF37" s="3">
        <v>16</v>
      </c>
      <c r="AG37" s="3">
        <v>16</v>
      </c>
      <c r="AH37" s="3">
        <v>5</v>
      </c>
      <c r="AI37" s="3">
        <v>5</v>
      </c>
      <c r="AJ37" s="3">
        <v>5</v>
      </c>
      <c r="AK37" s="3">
        <v>5</v>
      </c>
      <c r="AL37" s="3">
        <v>6</v>
      </c>
      <c r="AM37" s="3">
        <v>6</v>
      </c>
      <c r="AN37" s="3">
        <v>0</v>
      </c>
      <c r="AO37" s="3">
        <v>0</v>
      </c>
      <c r="AP37" s="3">
        <v>4</v>
      </c>
      <c r="AQ37" s="3">
        <v>4</v>
      </c>
      <c r="AR37" s="2" t="s">
        <v>63</v>
      </c>
      <c r="AS37" s="2" t="s">
        <v>63</v>
      </c>
      <c r="AU37" s="5" t="str">
        <f>HYPERLINK("https://creighton-primo.hosted.exlibrisgroup.com/primo-explore/search?tab=default_tab&amp;search_scope=EVERYTHING&amp;vid=01CRU&amp;lang=en_US&amp;offset=0&amp;query=any,contains,991002163789702656","Catalog Record")</f>
        <v>Catalog Record</v>
      </c>
      <c r="AV37" s="5" t="str">
        <f>HYPERLINK("http://www.worldcat.org/oclc/27854373","WorldCat Record")</f>
        <v>WorldCat Record</v>
      </c>
      <c r="AW37" s="2" t="s">
        <v>586</v>
      </c>
      <c r="AX37" s="2" t="s">
        <v>587</v>
      </c>
      <c r="AY37" s="2" t="s">
        <v>588</v>
      </c>
      <c r="AZ37" s="2" t="s">
        <v>588</v>
      </c>
      <c r="BA37" s="2" t="s">
        <v>589</v>
      </c>
      <c r="BB37" s="2" t="s">
        <v>79</v>
      </c>
      <c r="BD37" s="2" t="s">
        <v>590</v>
      </c>
      <c r="BE37" s="2" t="s">
        <v>591</v>
      </c>
      <c r="BF37" s="2" t="s">
        <v>592</v>
      </c>
    </row>
    <row r="38" spans="1:58" ht="39.75" customHeight="1">
      <c r="A38" s="1"/>
      <c r="B38" s="1" t="s">
        <v>58</v>
      </c>
      <c r="C38" s="1" t="s">
        <v>59</v>
      </c>
      <c r="D38" s="1" t="s">
        <v>593</v>
      </c>
      <c r="E38" s="1" t="s">
        <v>594</v>
      </c>
      <c r="F38" s="1" t="s">
        <v>595</v>
      </c>
      <c r="H38" s="2" t="s">
        <v>63</v>
      </c>
      <c r="I38" s="2" t="s">
        <v>64</v>
      </c>
      <c r="J38" s="2" t="s">
        <v>63</v>
      </c>
      <c r="K38" s="2" t="s">
        <v>63</v>
      </c>
      <c r="L38" s="2" t="s">
        <v>65</v>
      </c>
      <c r="M38" s="1" t="s">
        <v>596</v>
      </c>
      <c r="N38" s="1" t="s">
        <v>597</v>
      </c>
      <c r="O38" s="2" t="s">
        <v>598</v>
      </c>
      <c r="Q38" s="2" t="s">
        <v>68</v>
      </c>
      <c r="R38" s="2" t="s">
        <v>181</v>
      </c>
      <c r="T38" s="2" t="s">
        <v>71</v>
      </c>
      <c r="U38" s="3">
        <v>4</v>
      </c>
      <c r="V38" s="3">
        <v>4</v>
      </c>
      <c r="W38" s="4" t="s">
        <v>599</v>
      </c>
      <c r="X38" s="4" t="s">
        <v>599</v>
      </c>
      <c r="Y38" s="4" t="s">
        <v>600</v>
      </c>
      <c r="Z38" s="4" t="s">
        <v>600</v>
      </c>
      <c r="AA38" s="3">
        <v>521</v>
      </c>
      <c r="AB38" s="3">
        <v>461</v>
      </c>
      <c r="AC38" s="3">
        <v>466</v>
      </c>
      <c r="AD38" s="3">
        <v>2</v>
      </c>
      <c r="AE38" s="3">
        <v>2</v>
      </c>
      <c r="AF38" s="3">
        <v>24</v>
      </c>
      <c r="AG38" s="3">
        <v>24</v>
      </c>
      <c r="AH38" s="3">
        <v>8</v>
      </c>
      <c r="AI38" s="3">
        <v>8</v>
      </c>
      <c r="AJ38" s="3">
        <v>6</v>
      </c>
      <c r="AK38" s="3">
        <v>6</v>
      </c>
      <c r="AL38" s="3">
        <v>11</v>
      </c>
      <c r="AM38" s="3">
        <v>11</v>
      </c>
      <c r="AN38" s="3">
        <v>1</v>
      </c>
      <c r="AO38" s="3">
        <v>1</v>
      </c>
      <c r="AP38" s="3">
        <v>6</v>
      </c>
      <c r="AQ38" s="3">
        <v>6</v>
      </c>
      <c r="AR38" s="2" t="s">
        <v>63</v>
      </c>
      <c r="AS38" s="2" t="s">
        <v>63</v>
      </c>
      <c r="AU38" s="5" t="str">
        <f>HYPERLINK("https://creighton-primo.hosted.exlibrisgroup.com/primo-explore/search?tab=default_tab&amp;search_scope=EVERYTHING&amp;vid=01CRU&amp;lang=en_US&amp;offset=0&amp;query=any,contains,991002329929702656","Catalog Record")</f>
        <v>Catalog Record</v>
      </c>
      <c r="AV38" s="5" t="str">
        <f>HYPERLINK("http://www.worldcat.org/oclc/30319603","WorldCat Record")</f>
        <v>WorldCat Record</v>
      </c>
      <c r="AW38" s="2" t="s">
        <v>601</v>
      </c>
      <c r="AX38" s="2" t="s">
        <v>602</v>
      </c>
      <c r="AY38" s="2" t="s">
        <v>603</v>
      </c>
      <c r="AZ38" s="2" t="s">
        <v>603</v>
      </c>
      <c r="BA38" s="2" t="s">
        <v>604</v>
      </c>
      <c r="BB38" s="2" t="s">
        <v>79</v>
      </c>
      <c r="BD38" s="2" t="s">
        <v>605</v>
      </c>
      <c r="BE38" s="2" t="s">
        <v>606</v>
      </c>
      <c r="BF38" s="2" t="s">
        <v>607</v>
      </c>
    </row>
    <row r="39" spans="1:58" ht="39.75" customHeight="1">
      <c r="A39" s="1"/>
      <c r="B39" s="1" t="s">
        <v>58</v>
      </c>
      <c r="C39" s="1" t="s">
        <v>59</v>
      </c>
      <c r="D39" s="1" t="s">
        <v>608</v>
      </c>
      <c r="E39" s="1" t="s">
        <v>609</v>
      </c>
      <c r="F39" s="1" t="s">
        <v>610</v>
      </c>
      <c r="H39" s="2" t="s">
        <v>63</v>
      </c>
      <c r="I39" s="2" t="s">
        <v>64</v>
      </c>
      <c r="J39" s="2" t="s">
        <v>63</v>
      </c>
      <c r="K39" s="2" t="s">
        <v>63</v>
      </c>
      <c r="L39" s="2" t="s">
        <v>65</v>
      </c>
      <c r="N39" s="1" t="s">
        <v>611</v>
      </c>
      <c r="O39" s="2" t="s">
        <v>105</v>
      </c>
      <c r="Q39" s="2" t="s">
        <v>68</v>
      </c>
      <c r="R39" s="2" t="s">
        <v>181</v>
      </c>
      <c r="S39" s="1" t="s">
        <v>612</v>
      </c>
      <c r="T39" s="2" t="s">
        <v>71</v>
      </c>
      <c r="U39" s="3">
        <v>4</v>
      </c>
      <c r="V39" s="3">
        <v>4</v>
      </c>
      <c r="W39" s="4" t="s">
        <v>613</v>
      </c>
      <c r="X39" s="4" t="s">
        <v>613</v>
      </c>
      <c r="Y39" s="4" t="s">
        <v>614</v>
      </c>
      <c r="Z39" s="4" t="s">
        <v>614</v>
      </c>
      <c r="AA39" s="3">
        <v>177</v>
      </c>
      <c r="AB39" s="3">
        <v>163</v>
      </c>
      <c r="AC39" s="3">
        <v>186</v>
      </c>
      <c r="AD39" s="3">
        <v>1</v>
      </c>
      <c r="AE39" s="3">
        <v>1</v>
      </c>
      <c r="AF39" s="3">
        <v>5</v>
      </c>
      <c r="AG39" s="3">
        <v>6</v>
      </c>
      <c r="AH39" s="3">
        <v>2</v>
      </c>
      <c r="AI39" s="3">
        <v>2</v>
      </c>
      <c r="AJ39" s="3">
        <v>0</v>
      </c>
      <c r="AK39" s="3">
        <v>0</v>
      </c>
      <c r="AL39" s="3">
        <v>3</v>
      </c>
      <c r="AM39" s="3">
        <v>3</v>
      </c>
      <c r="AN39" s="3">
        <v>0</v>
      </c>
      <c r="AO39" s="3">
        <v>0</v>
      </c>
      <c r="AP39" s="3">
        <v>2</v>
      </c>
      <c r="AQ39" s="3">
        <v>3</v>
      </c>
      <c r="AR39" s="2" t="s">
        <v>63</v>
      </c>
      <c r="AS39" s="2" t="s">
        <v>74</v>
      </c>
      <c r="AT39" s="5" t="str">
        <f>HYPERLINK("http://catalog.hathitrust.org/Record/000403516","HathiTrust Record")</f>
        <v>HathiTrust Record</v>
      </c>
      <c r="AU39" s="5" t="str">
        <f>HYPERLINK("https://creighton-primo.hosted.exlibrisgroup.com/primo-explore/search?tab=default_tab&amp;search_scope=EVERYTHING&amp;vid=01CRU&amp;lang=en_US&amp;offset=0&amp;query=any,contains,991000872199702656","Catalog Record")</f>
        <v>Catalog Record</v>
      </c>
      <c r="AV39" s="5" t="str">
        <f>HYPERLINK("http://www.worldcat.org/oclc/13793511","WorldCat Record")</f>
        <v>WorldCat Record</v>
      </c>
      <c r="AW39" s="2" t="s">
        <v>615</v>
      </c>
      <c r="AX39" s="2" t="s">
        <v>616</v>
      </c>
      <c r="AY39" s="2" t="s">
        <v>617</v>
      </c>
      <c r="AZ39" s="2" t="s">
        <v>617</v>
      </c>
      <c r="BA39" s="2" t="s">
        <v>618</v>
      </c>
      <c r="BB39" s="2" t="s">
        <v>79</v>
      </c>
      <c r="BD39" s="2" t="s">
        <v>619</v>
      </c>
      <c r="BE39" s="2" t="s">
        <v>620</v>
      </c>
      <c r="BF39" s="2" t="s">
        <v>621</v>
      </c>
    </row>
    <row r="40" spans="1:58" ht="39.75" customHeight="1">
      <c r="A40" s="1"/>
      <c r="B40" s="1" t="s">
        <v>58</v>
      </c>
      <c r="C40" s="1" t="s">
        <v>59</v>
      </c>
      <c r="D40" s="1" t="s">
        <v>622</v>
      </c>
      <c r="E40" s="1" t="s">
        <v>623</v>
      </c>
      <c r="F40" s="1" t="s">
        <v>624</v>
      </c>
      <c r="H40" s="2" t="s">
        <v>63</v>
      </c>
      <c r="I40" s="2" t="s">
        <v>64</v>
      </c>
      <c r="J40" s="2" t="s">
        <v>63</v>
      </c>
      <c r="K40" s="2" t="s">
        <v>63</v>
      </c>
      <c r="L40" s="2" t="s">
        <v>65</v>
      </c>
      <c r="M40" s="1" t="s">
        <v>625</v>
      </c>
      <c r="N40" s="1" t="s">
        <v>626</v>
      </c>
      <c r="O40" s="2" t="s">
        <v>627</v>
      </c>
      <c r="Q40" s="2" t="s">
        <v>68</v>
      </c>
      <c r="R40" s="2" t="s">
        <v>628</v>
      </c>
      <c r="T40" s="2" t="s">
        <v>71</v>
      </c>
      <c r="U40" s="3">
        <v>1</v>
      </c>
      <c r="V40" s="3">
        <v>1</v>
      </c>
      <c r="W40" s="4" t="s">
        <v>629</v>
      </c>
      <c r="X40" s="4" t="s">
        <v>629</v>
      </c>
      <c r="Y40" s="4" t="s">
        <v>629</v>
      </c>
      <c r="Z40" s="4" t="s">
        <v>629</v>
      </c>
      <c r="AA40" s="3">
        <v>125</v>
      </c>
      <c r="AB40" s="3">
        <v>108</v>
      </c>
      <c r="AC40" s="3">
        <v>108</v>
      </c>
      <c r="AD40" s="3">
        <v>2</v>
      </c>
      <c r="AE40" s="3">
        <v>2</v>
      </c>
      <c r="AF40" s="3">
        <v>7</v>
      </c>
      <c r="AG40" s="3">
        <v>7</v>
      </c>
      <c r="AH40" s="3">
        <v>1</v>
      </c>
      <c r="AI40" s="3">
        <v>1</v>
      </c>
      <c r="AJ40" s="3">
        <v>2</v>
      </c>
      <c r="AK40" s="3">
        <v>2</v>
      </c>
      <c r="AL40" s="3">
        <v>5</v>
      </c>
      <c r="AM40" s="3">
        <v>5</v>
      </c>
      <c r="AN40" s="3">
        <v>1</v>
      </c>
      <c r="AO40" s="3">
        <v>1</v>
      </c>
      <c r="AP40" s="3">
        <v>0</v>
      </c>
      <c r="AQ40" s="3">
        <v>0</v>
      </c>
      <c r="AR40" s="2" t="s">
        <v>63</v>
      </c>
      <c r="AS40" s="2" t="s">
        <v>63</v>
      </c>
      <c r="AU40" s="5" t="str">
        <f>HYPERLINK("https://creighton-primo.hosted.exlibrisgroup.com/primo-explore/search?tab=default_tab&amp;search_scope=EVERYTHING&amp;vid=01CRU&amp;lang=en_US&amp;offset=0&amp;query=any,contains,991003969889702656","Catalog Record")</f>
        <v>Catalog Record</v>
      </c>
      <c r="AV40" s="5" t="str">
        <f>HYPERLINK("http://www.worldcat.org/oclc/32016012","WorldCat Record")</f>
        <v>WorldCat Record</v>
      </c>
      <c r="AW40" s="2" t="s">
        <v>630</v>
      </c>
      <c r="AX40" s="2" t="s">
        <v>631</v>
      </c>
      <c r="AY40" s="2" t="s">
        <v>632</v>
      </c>
      <c r="AZ40" s="2" t="s">
        <v>632</v>
      </c>
      <c r="BA40" s="2" t="s">
        <v>633</v>
      </c>
      <c r="BB40" s="2" t="s">
        <v>79</v>
      </c>
      <c r="BD40" s="2" t="s">
        <v>634</v>
      </c>
      <c r="BE40" s="2" t="s">
        <v>635</v>
      </c>
      <c r="BF40" s="2" t="s">
        <v>636</v>
      </c>
    </row>
    <row r="41" spans="1:58" ht="39.75" customHeight="1">
      <c r="A41" s="1"/>
      <c r="B41" s="1" t="s">
        <v>58</v>
      </c>
      <c r="C41" s="1" t="s">
        <v>59</v>
      </c>
      <c r="D41" s="1" t="s">
        <v>637</v>
      </c>
      <c r="E41" s="1" t="s">
        <v>638</v>
      </c>
      <c r="F41" s="1" t="s">
        <v>639</v>
      </c>
      <c r="H41" s="2" t="s">
        <v>63</v>
      </c>
      <c r="I41" s="2" t="s">
        <v>64</v>
      </c>
      <c r="J41" s="2" t="s">
        <v>63</v>
      </c>
      <c r="K41" s="2" t="s">
        <v>63</v>
      </c>
      <c r="L41" s="2" t="s">
        <v>65</v>
      </c>
      <c r="N41" s="1" t="s">
        <v>640</v>
      </c>
      <c r="O41" s="2" t="s">
        <v>641</v>
      </c>
      <c r="Q41" s="2" t="s">
        <v>68</v>
      </c>
      <c r="R41" s="2" t="s">
        <v>583</v>
      </c>
      <c r="T41" s="2" t="s">
        <v>71</v>
      </c>
      <c r="U41" s="3">
        <v>5</v>
      </c>
      <c r="V41" s="3">
        <v>5</v>
      </c>
      <c r="W41" s="4" t="s">
        <v>642</v>
      </c>
      <c r="X41" s="4" t="s">
        <v>642</v>
      </c>
      <c r="Y41" s="4" t="s">
        <v>643</v>
      </c>
      <c r="Z41" s="4" t="s">
        <v>643</v>
      </c>
      <c r="AA41" s="3">
        <v>238</v>
      </c>
      <c r="AB41" s="3">
        <v>191</v>
      </c>
      <c r="AC41" s="3">
        <v>200</v>
      </c>
      <c r="AD41" s="3">
        <v>2</v>
      </c>
      <c r="AE41" s="3">
        <v>2</v>
      </c>
      <c r="AF41" s="3">
        <v>6</v>
      </c>
      <c r="AG41" s="3">
        <v>6</v>
      </c>
      <c r="AH41" s="3">
        <v>0</v>
      </c>
      <c r="AI41" s="3">
        <v>0</v>
      </c>
      <c r="AJ41" s="3">
        <v>1</v>
      </c>
      <c r="AK41" s="3">
        <v>1</v>
      </c>
      <c r="AL41" s="3">
        <v>3</v>
      </c>
      <c r="AM41" s="3">
        <v>3</v>
      </c>
      <c r="AN41" s="3">
        <v>1</v>
      </c>
      <c r="AO41" s="3">
        <v>1</v>
      </c>
      <c r="AP41" s="3">
        <v>2</v>
      </c>
      <c r="AQ41" s="3">
        <v>2</v>
      </c>
      <c r="AR41" s="2" t="s">
        <v>63</v>
      </c>
      <c r="AS41" s="2" t="s">
        <v>74</v>
      </c>
      <c r="AT41" s="5" t="str">
        <f>HYPERLINK("http://catalog.hathitrust.org/Record/000761488","HathiTrust Record")</f>
        <v>HathiTrust Record</v>
      </c>
      <c r="AU41" s="5" t="str">
        <f>HYPERLINK("https://creighton-primo.hosted.exlibrisgroup.com/primo-explore/search?tab=default_tab&amp;search_scope=EVERYTHING&amp;vid=01CRU&amp;lang=en_US&amp;offset=0&amp;query=any,contains,991004999219702656","Catalog Record")</f>
        <v>Catalog Record</v>
      </c>
      <c r="AV41" s="5" t="str">
        <f>HYPERLINK("http://www.worldcat.org/oclc/6533099","WorldCat Record")</f>
        <v>WorldCat Record</v>
      </c>
      <c r="AW41" s="2" t="s">
        <v>644</v>
      </c>
      <c r="AX41" s="2" t="s">
        <v>645</v>
      </c>
      <c r="AY41" s="2" t="s">
        <v>646</v>
      </c>
      <c r="AZ41" s="2" t="s">
        <v>646</v>
      </c>
      <c r="BA41" s="2" t="s">
        <v>647</v>
      </c>
      <c r="BB41" s="2" t="s">
        <v>79</v>
      </c>
      <c r="BD41" s="2" t="s">
        <v>648</v>
      </c>
      <c r="BE41" s="2" t="s">
        <v>649</v>
      </c>
      <c r="BF41" s="2" t="s">
        <v>650</v>
      </c>
    </row>
    <row r="42" spans="1:58" ht="39.75" customHeight="1">
      <c r="A42" s="1"/>
      <c r="B42" s="1" t="s">
        <v>58</v>
      </c>
      <c r="C42" s="1" t="s">
        <v>59</v>
      </c>
      <c r="D42" s="1" t="s">
        <v>651</v>
      </c>
      <c r="E42" s="1" t="s">
        <v>652</v>
      </c>
      <c r="F42" s="1" t="s">
        <v>653</v>
      </c>
      <c r="H42" s="2" t="s">
        <v>63</v>
      </c>
      <c r="I42" s="2" t="s">
        <v>64</v>
      </c>
      <c r="J42" s="2" t="s">
        <v>63</v>
      </c>
      <c r="K42" s="2" t="s">
        <v>63</v>
      </c>
      <c r="L42" s="2" t="s">
        <v>65</v>
      </c>
      <c r="N42" s="1" t="s">
        <v>654</v>
      </c>
      <c r="O42" s="2" t="s">
        <v>655</v>
      </c>
      <c r="Q42" s="2" t="s">
        <v>68</v>
      </c>
      <c r="R42" s="2" t="s">
        <v>583</v>
      </c>
      <c r="T42" s="2" t="s">
        <v>71</v>
      </c>
      <c r="U42" s="3">
        <v>4</v>
      </c>
      <c r="V42" s="3">
        <v>4</v>
      </c>
      <c r="W42" s="4" t="s">
        <v>656</v>
      </c>
      <c r="X42" s="4" t="s">
        <v>656</v>
      </c>
      <c r="Y42" s="4" t="s">
        <v>657</v>
      </c>
      <c r="Z42" s="4" t="s">
        <v>657</v>
      </c>
      <c r="AA42" s="3">
        <v>183</v>
      </c>
      <c r="AB42" s="3">
        <v>167</v>
      </c>
      <c r="AC42" s="3">
        <v>169</v>
      </c>
      <c r="AD42" s="3">
        <v>2</v>
      </c>
      <c r="AE42" s="3">
        <v>2</v>
      </c>
      <c r="AF42" s="3">
        <v>10</v>
      </c>
      <c r="AG42" s="3">
        <v>10</v>
      </c>
      <c r="AH42" s="3">
        <v>4</v>
      </c>
      <c r="AI42" s="3">
        <v>4</v>
      </c>
      <c r="AJ42" s="3">
        <v>3</v>
      </c>
      <c r="AK42" s="3">
        <v>3</v>
      </c>
      <c r="AL42" s="3">
        <v>1</v>
      </c>
      <c r="AM42" s="3">
        <v>1</v>
      </c>
      <c r="AN42" s="3">
        <v>1</v>
      </c>
      <c r="AO42" s="3">
        <v>1</v>
      </c>
      <c r="AP42" s="3">
        <v>3</v>
      </c>
      <c r="AQ42" s="3">
        <v>3</v>
      </c>
      <c r="AR42" s="2" t="s">
        <v>63</v>
      </c>
      <c r="AS42" s="2" t="s">
        <v>74</v>
      </c>
      <c r="AT42" s="5" t="str">
        <f>HYPERLINK("http://catalog.hathitrust.org/Record/004056230","HathiTrust Record")</f>
        <v>HathiTrust Record</v>
      </c>
      <c r="AU42" s="5" t="str">
        <f>HYPERLINK("https://creighton-primo.hosted.exlibrisgroup.com/primo-explore/search?tab=default_tab&amp;search_scope=EVERYTHING&amp;vid=01CRU&amp;lang=en_US&amp;offset=0&amp;query=any,contains,991005430229702656","Catalog Record")</f>
        <v>Catalog Record</v>
      </c>
      <c r="AV42" s="5" t="str">
        <f>HYPERLINK("http://www.worldcat.org/oclc/41026486","WorldCat Record")</f>
        <v>WorldCat Record</v>
      </c>
      <c r="AW42" s="2" t="s">
        <v>658</v>
      </c>
      <c r="AX42" s="2" t="s">
        <v>659</v>
      </c>
      <c r="AY42" s="2" t="s">
        <v>660</v>
      </c>
      <c r="AZ42" s="2" t="s">
        <v>660</v>
      </c>
      <c r="BA42" s="2" t="s">
        <v>661</v>
      </c>
      <c r="BB42" s="2" t="s">
        <v>79</v>
      </c>
      <c r="BD42" s="2" t="s">
        <v>662</v>
      </c>
      <c r="BE42" s="2" t="s">
        <v>663</v>
      </c>
      <c r="BF42" s="2" t="s">
        <v>664</v>
      </c>
    </row>
    <row r="43" spans="1:58" ht="39.75" customHeight="1">
      <c r="A43" s="1"/>
      <c r="B43" s="1" t="s">
        <v>58</v>
      </c>
      <c r="C43" s="1" t="s">
        <v>59</v>
      </c>
      <c r="D43" s="1" t="s">
        <v>665</v>
      </c>
      <c r="E43" s="1" t="s">
        <v>666</v>
      </c>
      <c r="F43" s="1" t="s">
        <v>667</v>
      </c>
      <c r="H43" s="2" t="s">
        <v>63</v>
      </c>
      <c r="I43" s="2" t="s">
        <v>64</v>
      </c>
      <c r="J43" s="2" t="s">
        <v>63</v>
      </c>
      <c r="K43" s="2" t="s">
        <v>63</v>
      </c>
      <c r="L43" s="2" t="s">
        <v>65</v>
      </c>
      <c r="M43" s="1" t="s">
        <v>668</v>
      </c>
      <c r="N43" s="1" t="s">
        <v>669</v>
      </c>
      <c r="O43" s="2" t="s">
        <v>670</v>
      </c>
      <c r="Q43" s="2" t="s">
        <v>68</v>
      </c>
      <c r="R43" s="2" t="s">
        <v>399</v>
      </c>
      <c r="T43" s="2" t="s">
        <v>71</v>
      </c>
      <c r="U43" s="3">
        <v>5</v>
      </c>
      <c r="V43" s="3">
        <v>5</v>
      </c>
      <c r="W43" s="4" t="s">
        <v>671</v>
      </c>
      <c r="X43" s="4" t="s">
        <v>671</v>
      </c>
      <c r="Y43" s="4" t="s">
        <v>672</v>
      </c>
      <c r="Z43" s="4" t="s">
        <v>672</v>
      </c>
      <c r="AA43" s="3">
        <v>232</v>
      </c>
      <c r="AB43" s="3">
        <v>197</v>
      </c>
      <c r="AC43" s="3">
        <v>202</v>
      </c>
      <c r="AD43" s="3">
        <v>2</v>
      </c>
      <c r="AE43" s="3">
        <v>2</v>
      </c>
      <c r="AF43" s="3">
        <v>13</v>
      </c>
      <c r="AG43" s="3">
        <v>13</v>
      </c>
      <c r="AH43" s="3">
        <v>4</v>
      </c>
      <c r="AI43" s="3">
        <v>4</v>
      </c>
      <c r="AJ43" s="3">
        <v>3</v>
      </c>
      <c r="AK43" s="3">
        <v>3</v>
      </c>
      <c r="AL43" s="3">
        <v>6</v>
      </c>
      <c r="AM43" s="3">
        <v>6</v>
      </c>
      <c r="AN43" s="3">
        <v>1</v>
      </c>
      <c r="AO43" s="3">
        <v>1</v>
      </c>
      <c r="AP43" s="3">
        <v>2</v>
      </c>
      <c r="AQ43" s="3">
        <v>2</v>
      </c>
      <c r="AR43" s="2" t="s">
        <v>63</v>
      </c>
      <c r="AS43" s="2" t="s">
        <v>63</v>
      </c>
      <c r="AU43" s="5" t="str">
        <f>HYPERLINK("https://creighton-primo.hosted.exlibrisgroup.com/primo-explore/search?tab=default_tab&amp;search_scope=EVERYTHING&amp;vid=01CRU&amp;lang=en_US&amp;offset=0&amp;query=any,contains,991002527089702656","Catalog Record")</f>
        <v>Catalog Record</v>
      </c>
      <c r="AV43" s="5" t="str">
        <f>HYPERLINK("http://www.worldcat.org/oclc/32855149","WorldCat Record")</f>
        <v>WorldCat Record</v>
      </c>
      <c r="AW43" s="2" t="s">
        <v>673</v>
      </c>
      <c r="AX43" s="2" t="s">
        <v>674</v>
      </c>
      <c r="AY43" s="2" t="s">
        <v>675</v>
      </c>
      <c r="AZ43" s="2" t="s">
        <v>675</v>
      </c>
      <c r="BA43" s="2" t="s">
        <v>676</v>
      </c>
      <c r="BB43" s="2" t="s">
        <v>79</v>
      </c>
      <c r="BD43" s="2" t="s">
        <v>677</v>
      </c>
      <c r="BE43" s="2" t="s">
        <v>678</v>
      </c>
      <c r="BF43" s="2" t="s">
        <v>679</v>
      </c>
    </row>
    <row r="44" spans="1:58" ht="39.75" customHeight="1">
      <c r="A44" s="1"/>
      <c r="B44" s="1" t="s">
        <v>58</v>
      </c>
      <c r="C44" s="1" t="s">
        <v>59</v>
      </c>
      <c r="D44" s="1" t="s">
        <v>680</v>
      </c>
      <c r="E44" s="1" t="s">
        <v>681</v>
      </c>
      <c r="F44" s="1" t="s">
        <v>682</v>
      </c>
      <c r="H44" s="2" t="s">
        <v>63</v>
      </c>
      <c r="I44" s="2" t="s">
        <v>64</v>
      </c>
      <c r="J44" s="2" t="s">
        <v>63</v>
      </c>
      <c r="K44" s="2" t="s">
        <v>63</v>
      </c>
      <c r="L44" s="2" t="s">
        <v>65</v>
      </c>
      <c r="M44" s="1" t="s">
        <v>683</v>
      </c>
      <c r="N44" s="1" t="s">
        <v>684</v>
      </c>
      <c r="O44" s="2" t="s">
        <v>685</v>
      </c>
      <c r="Q44" s="2" t="s">
        <v>68</v>
      </c>
      <c r="R44" s="2" t="s">
        <v>106</v>
      </c>
      <c r="T44" s="2" t="s">
        <v>71</v>
      </c>
      <c r="U44" s="3">
        <v>5</v>
      </c>
      <c r="V44" s="3">
        <v>5</v>
      </c>
      <c r="W44" s="4" t="s">
        <v>686</v>
      </c>
      <c r="X44" s="4" t="s">
        <v>686</v>
      </c>
      <c r="Y44" s="4" t="s">
        <v>687</v>
      </c>
      <c r="Z44" s="4" t="s">
        <v>687</v>
      </c>
      <c r="AA44" s="3">
        <v>659</v>
      </c>
      <c r="AB44" s="3">
        <v>620</v>
      </c>
      <c r="AC44" s="3">
        <v>692</v>
      </c>
      <c r="AD44" s="3">
        <v>2</v>
      </c>
      <c r="AE44" s="3">
        <v>2</v>
      </c>
      <c r="AF44" s="3">
        <v>22</v>
      </c>
      <c r="AG44" s="3">
        <v>26</v>
      </c>
      <c r="AH44" s="3">
        <v>8</v>
      </c>
      <c r="AI44" s="3">
        <v>8</v>
      </c>
      <c r="AJ44" s="3">
        <v>5</v>
      </c>
      <c r="AK44" s="3">
        <v>7</v>
      </c>
      <c r="AL44" s="3">
        <v>13</v>
      </c>
      <c r="AM44" s="3">
        <v>17</v>
      </c>
      <c r="AN44" s="3">
        <v>1</v>
      </c>
      <c r="AO44" s="3">
        <v>1</v>
      </c>
      <c r="AP44" s="3">
        <v>1</v>
      </c>
      <c r="AQ44" s="3">
        <v>1</v>
      </c>
      <c r="AR44" s="2" t="s">
        <v>63</v>
      </c>
      <c r="AS44" s="2" t="s">
        <v>63</v>
      </c>
      <c r="AU44" s="5" t="str">
        <f>HYPERLINK("https://creighton-primo.hosted.exlibrisgroup.com/primo-explore/search?tab=default_tab&amp;search_scope=EVERYTHING&amp;vid=01CRU&amp;lang=en_US&amp;offset=0&amp;query=any,contains,991002854609702656","Catalog Record")</f>
        <v>Catalog Record</v>
      </c>
      <c r="AV44" s="5" t="str">
        <f>HYPERLINK("http://www.worldcat.org/oclc/37615433","WorldCat Record")</f>
        <v>WorldCat Record</v>
      </c>
      <c r="AW44" s="2" t="s">
        <v>688</v>
      </c>
      <c r="AX44" s="2" t="s">
        <v>689</v>
      </c>
      <c r="AY44" s="2" t="s">
        <v>690</v>
      </c>
      <c r="AZ44" s="2" t="s">
        <v>690</v>
      </c>
      <c r="BA44" s="2" t="s">
        <v>691</v>
      </c>
      <c r="BB44" s="2" t="s">
        <v>79</v>
      </c>
      <c r="BD44" s="2" t="s">
        <v>692</v>
      </c>
      <c r="BE44" s="2" t="s">
        <v>693</v>
      </c>
      <c r="BF44" s="2" t="s">
        <v>694</v>
      </c>
    </row>
    <row r="45" spans="1:58" ht="39.75" customHeight="1">
      <c r="A45" s="1"/>
      <c r="B45" s="1" t="s">
        <v>58</v>
      </c>
      <c r="C45" s="1" t="s">
        <v>59</v>
      </c>
      <c r="D45" s="1" t="s">
        <v>695</v>
      </c>
      <c r="E45" s="1" t="s">
        <v>696</v>
      </c>
      <c r="F45" s="1" t="s">
        <v>697</v>
      </c>
      <c r="H45" s="2" t="s">
        <v>63</v>
      </c>
      <c r="I45" s="2" t="s">
        <v>64</v>
      </c>
      <c r="J45" s="2" t="s">
        <v>63</v>
      </c>
      <c r="K45" s="2" t="s">
        <v>63</v>
      </c>
      <c r="L45" s="2" t="s">
        <v>65</v>
      </c>
      <c r="M45" s="1" t="s">
        <v>698</v>
      </c>
      <c r="N45" s="1" t="s">
        <v>699</v>
      </c>
      <c r="O45" s="2" t="s">
        <v>314</v>
      </c>
      <c r="Q45" s="2" t="s">
        <v>68</v>
      </c>
      <c r="R45" s="2" t="s">
        <v>106</v>
      </c>
      <c r="T45" s="2" t="s">
        <v>71</v>
      </c>
      <c r="U45" s="3">
        <v>3</v>
      </c>
      <c r="V45" s="3">
        <v>3</v>
      </c>
      <c r="W45" s="4" t="s">
        <v>700</v>
      </c>
      <c r="X45" s="4" t="s">
        <v>700</v>
      </c>
      <c r="Y45" s="4" t="s">
        <v>701</v>
      </c>
      <c r="Z45" s="4" t="s">
        <v>701</v>
      </c>
      <c r="AA45" s="3">
        <v>286</v>
      </c>
      <c r="AB45" s="3">
        <v>228</v>
      </c>
      <c r="AC45" s="3">
        <v>229</v>
      </c>
      <c r="AD45" s="3">
        <v>2</v>
      </c>
      <c r="AE45" s="3">
        <v>2</v>
      </c>
      <c r="AF45" s="3">
        <v>11</v>
      </c>
      <c r="AG45" s="3">
        <v>11</v>
      </c>
      <c r="AH45" s="3">
        <v>2</v>
      </c>
      <c r="AI45" s="3">
        <v>2</v>
      </c>
      <c r="AJ45" s="3">
        <v>2</v>
      </c>
      <c r="AK45" s="3">
        <v>2</v>
      </c>
      <c r="AL45" s="3">
        <v>7</v>
      </c>
      <c r="AM45" s="3">
        <v>7</v>
      </c>
      <c r="AN45" s="3">
        <v>1</v>
      </c>
      <c r="AO45" s="3">
        <v>1</v>
      </c>
      <c r="AP45" s="3">
        <v>1</v>
      </c>
      <c r="AQ45" s="3">
        <v>1</v>
      </c>
      <c r="AR45" s="2" t="s">
        <v>63</v>
      </c>
      <c r="AS45" s="2" t="s">
        <v>63</v>
      </c>
      <c r="AU45" s="5" t="str">
        <f>HYPERLINK("https://creighton-primo.hosted.exlibrisgroup.com/primo-explore/search?tab=default_tab&amp;search_scope=EVERYTHING&amp;vid=01CRU&amp;lang=en_US&amp;offset=0&amp;query=any,contains,991004157059702656","Catalog Record")</f>
        <v>Catalog Record</v>
      </c>
      <c r="AV45" s="5" t="str">
        <f>HYPERLINK("http://www.worldcat.org/oclc/2542309","WorldCat Record")</f>
        <v>WorldCat Record</v>
      </c>
      <c r="AW45" s="2" t="s">
        <v>702</v>
      </c>
      <c r="AX45" s="2" t="s">
        <v>703</v>
      </c>
      <c r="AY45" s="2" t="s">
        <v>704</v>
      </c>
      <c r="AZ45" s="2" t="s">
        <v>704</v>
      </c>
      <c r="BA45" s="2" t="s">
        <v>705</v>
      </c>
      <c r="BB45" s="2" t="s">
        <v>79</v>
      </c>
      <c r="BD45" s="2" t="s">
        <v>706</v>
      </c>
      <c r="BE45" s="2" t="s">
        <v>707</v>
      </c>
      <c r="BF45" s="2" t="s">
        <v>708</v>
      </c>
    </row>
    <row r="46" spans="1:58" ht="39.75" customHeight="1">
      <c r="A46" s="1"/>
      <c r="B46" s="1" t="s">
        <v>58</v>
      </c>
      <c r="C46" s="1" t="s">
        <v>59</v>
      </c>
      <c r="D46" s="1" t="s">
        <v>709</v>
      </c>
      <c r="E46" s="1" t="s">
        <v>710</v>
      </c>
      <c r="F46" s="1" t="s">
        <v>711</v>
      </c>
      <c r="H46" s="2" t="s">
        <v>63</v>
      </c>
      <c r="I46" s="2" t="s">
        <v>64</v>
      </c>
      <c r="J46" s="2" t="s">
        <v>63</v>
      </c>
      <c r="K46" s="2" t="s">
        <v>63</v>
      </c>
      <c r="L46" s="2" t="s">
        <v>65</v>
      </c>
      <c r="M46" s="1" t="s">
        <v>712</v>
      </c>
      <c r="N46" s="1" t="s">
        <v>713</v>
      </c>
      <c r="O46" s="2" t="s">
        <v>88</v>
      </c>
      <c r="Q46" s="2" t="s">
        <v>68</v>
      </c>
      <c r="R46" s="2" t="s">
        <v>106</v>
      </c>
      <c r="T46" s="2" t="s">
        <v>71</v>
      </c>
      <c r="U46" s="3">
        <v>6</v>
      </c>
      <c r="V46" s="3">
        <v>6</v>
      </c>
      <c r="W46" s="4" t="s">
        <v>700</v>
      </c>
      <c r="X46" s="4" t="s">
        <v>700</v>
      </c>
      <c r="Y46" s="4" t="s">
        <v>714</v>
      </c>
      <c r="Z46" s="4" t="s">
        <v>714</v>
      </c>
      <c r="AA46" s="3">
        <v>32</v>
      </c>
      <c r="AB46" s="3">
        <v>31</v>
      </c>
      <c r="AC46" s="3">
        <v>235</v>
      </c>
      <c r="AD46" s="3">
        <v>1</v>
      </c>
      <c r="AE46" s="3">
        <v>2</v>
      </c>
      <c r="AF46" s="3">
        <v>4</v>
      </c>
      <c r="AG46" s="3">
        <v>9</v>
      </c>
      <c r="AH46" s="3">
        <v>3</v>
      </c>
      <c r="AI46" s="3">
        <v>4</v>
      </c>
      <c r="AJ46" s="3">
        <v>1</v>
      </c>
      <c r="AK46" s="3">
        <v>1</v>
      </c>
      <c r="AL46" s="3">
        <v>2</v>
      </c>
      <c r="AM46" s="3">
        <v>5</v>
      </c>
      <c r="AN46" s="3">
        <v>0</v>
      </c>
      <c r="AO46" s="3">
        <v>1</v>
      </c>
      <c r="AP46" s="3">
        <v>0</v>
      </c>
      <c r="AQ46" s="3">
        <v>0</v>
      </c>
      <c r="AR46" s="2" t="s">
        <v>63</v>
      </c>
      <c r="AS46" s="2" t="s">
        <v>63</v>
      </c>
      <c r="AU46" s="5" t="str">
        <f>HYPERLINK("https://creighton-primo.hosted.exlibrisgroup.com/primo-explore/search?tab=default_tab&amp;search_scope=EVERYTHING&amp;vid=01CRU&amp;lang=en_US&amp;offset=0&amp;query=any,contains,991004964599702656","Catalog Record")</f>
        <v>Catalog Record</v>
      </c>
      <c r="AV46" s="5" t="str">
        <f>HYPERLINK("http://www.worldcat.org/oclc/6330957","WorldCat Record")</f>
        <v>WorldCat Record</v>
      </c>
      <c r="AW46" s="2" t="s">
        <v>715</v>
      </c>
      <c r="AX46" s="2" t="s">
        <v>716</v>
      </c>
      <c r="AY46" s="2" t="s">
        <v>717</v>
      </c>
      <c r="AZ46" s="2" t="s">
        <v>717</v>
      </c>
      <c r="BA46" s="2" t="s">
        <v>718</v>
      </c>
      <c r="BB46" s="2" t="s">
        <v>79</v>
      </c>
      <c r="BD46" s="2" t="s">
        <v>719</v>
      </c>
      <c r="BE46" s="2" t="s">
        <v>720</v>
      </c>
      <c r="BF46" s="2" t="s">
        <v>721</v>
      </c>
    </row>
    <row r="47" spans="1:58" ht="39.75" customHeight="1">
      <c r="A47" s="1"/>
      <c r="B47" s="1" t="s">
        <v>58</v>
      </c>
      <c r="C47" s="1" t="s">
        <v>59</v>
      </c>
      <c r="D47" s="1" t="s">
        <v>722</v>
      </c>
      <c r="E47" s="1" t="s">
        <v>723</v>
      </c>
      <c r="F47" s="1" t="s">
        <v>724</v>
      </c>
      <c r="H47" s="2" t="s">
        <v>63</v>
      </c>
      <c r="I47" s="2" t="s">
        <v>64</v>
      </c>
      <c r="J47" s="2" t="s">
        <v>63</v>
      </c>
      <c r="K47" s="2" t="s">
        <v>63</v>
      </c>
      <c r="L47" s="2" t="s">
        <v>65</v>
      </c>
      <c r="N47" s="1" t="s">
        <v>725</v>
      </c>
      <c r="O47" s="2" t="s">
        <v>726</v>
      </c>
      <c r="Q47" s="2" t="s">
        <v>68</v>
      </c>
      <c r="R47" s="2" t="s">
        <v>106</v>
      </c>
      <c r="S47" s="1" t="s">
        <v>727</v>
      </c>
      <c r="T47" s="2" t="s">
        <v>71</v>
      </c>
      <c r="U47" s="3">
        <v>6</v>
      </c>
      <c r="V47" s="3">
        <v>6</v>
      </c>
      <c r="W47" s="4" t="s">
        <v>728</v>
      </c>
      <c r="X47" s="4" t="s">
        <v>728</v>
      </c>
      <c r="Y47" s="4" t="s">
        <v>729</v>
      </c>
      <c r="Z47" s="4" t="s">
        <v>729</v>
      </c>
      <c r="AA47" s="3">
        <v>362</v>
      </c>
      <c r="AB47" s="3">
        <v>348</v>
      </c>
      <c r="AC47" s="3">
        <v>354</v>
      </c>
      <c r="AD47" s="3">
        <v>4</v>
      </c>
      <c r="AE47" s="3">
        <v>4</v>
      </c>
      <c r="AF47" s="3">
        <v>11</v>
      </c>
      <c r="AG47" s="3">
        <v>11</v>
      </c>
      <c r="AH47" s="3">
        <v>3</v>
      </c>
      <c r="AI47" s="3">
        <v>3</v>
      </c>
      <c r="AJ47" s="3">
        <v>1</v>
      </c>
      <c r="AK47" s="3">
        <v>1</v>
      </c>
      <c r="AL47" s="3">
        <v>8</v>
      </c>
      <c r="AM47" s="3">
        <v>8</v>
      </c>
      <c r="AN47" s="3">
        <v>2</v>
      </c>
      <c r="AO47" s="3">
        <v>2</v>
      </c>
      <c r="AP47" s="3">
        <v>0</v>
      </c>
      <c r="AQ47" s="3">
        <v>0</v>
      </c>
      <c r="AR47" s="2" t="s">
        <v>63</v>
      </c>
      <c r="AS47" s="2" t="s">
        <v>74</v>
      </c>
      <c r="AT47" s="5" t="str">
        <f>HYPERLINK("http://catalog.hathitrust.org/Record/000719747","HathiTrust Record")</f>
        <v>HathiTrust Record</v>
      </c>
      <c r="AU47" s="5" t="str">
        <f>HYPERLINK("https://creighton-primo.hosted.exlibrisgroup.com/primo-explore/search?tab=default_tab&amp;search_scope=EVERYTHING&amp;vid=01CRU&amp;lang=en_US&amp;offset=0&amp;query=any,contains,991004233329702656","Catalog Record")</f>
        <v>Catalog Record</v>
      </c>
      <c r="AV47" s="5" t="str">
        <f>HYPERLINK("http://www.worldcat.org/oclc/2756136","WorldCat Record")</f>
        <v>WorldCat Record</v>
      </c>
      <c r="AW47" s="2" t="s">
        <v>730</v>
      </c>
      <c r="AX47" s="2" t="s">
        <v>731</v>
      </c>
      <c r="AY47" s="2" t="s">
        <v>732</v>
      </c>
      <c r="AZ47" s="2" t="s">
        <v>732</v>
      </c>
      <c r="BA47" s="2" t="s">
        <v>733</v>
      </c>
      <c r="BB47" s="2" t="s">
        <v>79</v>
      </c>
      <c r="BE47" s="2" t="s">
        <v>734</v>
      </c>
      <c r="BF47" s="2" t="s">
        <v>735</v>
      </c>
    </row>
    <row r="48" spans="1:58" ht="39.75" customHeight="1">
      <c r="A48" s="1"/>
      <c r="B48" s="1" t="s">
        <v>58</v>
      </c>
      <c r="C48" s="1" t="s">
        <v>59</v>
      </c>
      <c r="D48" s="1" t="s">
        <v>736</v>
      </c>
      <c r="E48" s="1" t="s">
        <v>737</v>
      </c>
      <c r="F48" s="1" t="s">
        <v>738</v>
      </c>
      <c r="H48" s="2" t="s">
        <v>63</v>
      </c>
      <c r="I48" s="2" t="s">
        <v>64</v>
      </c>
      <c r="J48" s="2" t="s">
        <v>63</v>
      </c>
      <c r="K48" s="2" t="s">
        <v>63</v>
      </c>
      <c r="L48" s="2" t="s">
        <v>65</v>
      </c>
      <c r="N48" s="1" t="s">
        <v>739</v>
      </c>
      <c r="O48" s="2" t="s">
        <v>740</v>
      </c>
      <c r="P48" s="1" t="s">
        <v>484</v>
      </c>
      <c r="Q48" s="2" t="s">
        <v>68</v>
      </c>
      <c r="R48" s="2" t="s">
        <v>106</v>
      </c>
      <c r="T48" s="2" t="s">
        <v>71</v>
      </c>
      <c r="U48" s="3">
        <v>12</v>
      </c>
      <c r="V48" s="3">
        <v>12</v>
      </c>
      <c r="W48" s="4" t="s">
        <v>741</v>
      </c>
      <c r="X48" s="4" t="s">
        <v>741</v>
      </c>
      <c r="Y48" s="4" t="s">
        <v>742</v>
      </c>
      <c r="Z48" s="4" t="s">
        <v>742</v>
      </c>
      <c r="AA48" s="3">
        <v>470</v>
      </c>
      <c r="AB48" s="3">
        <v>425</v>
      </c>
      <c r="AC48" s="3">
        <v>433</v>
      </c>
      <c r="AD48" s="3">
        <v>2</v>
      </c>
      <c r="AE48" s="3">
        <v>2</v>
      </c>
      <c r="AF48" s="3">
        <v>17</v>
      </c>
      <c r="AG48" s="3">
        <v>17</v>
      </c>
      <c r="AH48" s="3">
        <v>7</v>
      </c>
      <c r="AI48" s="3">
        <v>7</v>
      </c>
      <c r="AJ48" s="3">
        <v>3</v>
      </c>
      <c r="AK48" s="3">
        <v>3</v>
      </c>
      <c r="AL48" s="3">
        <v>9</v>
      </c>
      <c r="AM48" s="3">
        <v>9</v>
      </c>
      <c r="AN48" s="3">
        <v>1</v>
      </c>
      <c r="AO48" s="3">
        <v>1</v>
      </c>
      <c r="AP48" s="3">
        <v>2</v>
      </c>
      <c r="AQ48" s="3">
        <v>2</v>
      </c>
      <c r="AR48" s="2" t="s">
        <v>63</v>
      </c>
      <c r="AS48" s="2" t="s">
        <v>63</v>
      </c>
      <c r="AU48" s="5" t="str">
        <f>HYPERLINK("https://creighton-primo.hosted.exlibrisgroup.com/primo-explore/search?tab=default_tab&amp;search_scope=EVERYTHING&amp;vid=01CRU&amp;lang=en_US&amp;offset=0&amp;query=any,contains,991001024739702656","Catalog Record")</f>
        <v>Catalog Record</v>
      </c>
      <c r="AV48" s="5" t="str">
        <f>HYPERLINK("http://www.worldcat.org/oclc/15428965","WorldCat Record")</f>
        <v>WorldCat Record</v>
      </c>
      <c r="AW48" s="2" t="s">
        <v>743</v>
      </c>
      <c r="AX48" s="2" t="s">
        <v>744</v>
      </c>
      <c r="AY48" s="2" t="s">
        <v>745</v>
      </c>
      <c r="AZ48" s="2" t="s">
        <v>745</v>
      </c>
      <c r="BA48" s="2" t="s">
        <v>746</v>
      </c>
      <c r="BB48" s="2" t="s">
        <v>79</v>
      </c>
      <c r="BD48" s="2" t="s">
        <v>747</v>
      </c>
      <c r="BE48" s="2" t="s">
        <v>748</v>
      </c>
      <c r="BF48" s="2" t="s">
        <v>749</v>
      </c>
    </row>
    <row r="49" spans="1:58" ht="39.75" customHeight="1">
      <c r="A49" s="1"/>
      <c r="B49" s="1" t="s">
        <v>58</v>
      </c>
      <c r="C49" s="1" t="s">
        <v>59</v>
      </c>
      <c r="D49" s="1" t="s">
        <v>750</v>
      </c>
      <c r="E49" s="1" t="s">
        <v>751</v>
      </c>
      <c r="F49" s="1" t="s">
        <v>752</v>
      </c>
      <c r="H49" s="2" t="s">
        <v>63</v>
      </c>
      <c r="I49" s="2" t="s">
        <v>64</v>
      </c>
      <c r="J49" s="2" t="s">
        <v>63</v>
      </c>
      <c r="K49" s="2" t="s">
        <v>63</v>
      </c>
      <c r="L49" s="2" t="s">
        <v>65</v>
      </c>
      <c r="N49" s="1" t="s">
        <v>753</v>
      </c>
      <c r="O49" s="2" t="s">
        <v>670</v>
      </c>
      <c r="Q49" s="2" t="s">
        <v>68</v>
      </c>
      <c r="R49" s="2" t="s">
        <v>181</v>
      </c>
      <c r="T49" s="2" t="s">
        <v>71</v>
      </c>
      <c r="U49" s="3">
        <v>1</v>
      </c>
      <c r="V49" s="3">
        <v>1</v>
      </c>
      <c r="W49" s="4" t="s">
        <v>754</v>
      </c>
      <c r="X49" s="4" t="s">
        <v>754</v>
      </c>
      <c r="Y49" s="4" t="s">
        <v>755</v>
      </c>
      <c r="Z49" s="4" t="s">
        <v>755</v>
      </c>
      <c r="AA49" s="3">
        <v>253</v>
      </c>
      <c r="AB49" s="3">
        <v>231</v>
      </c>
      <c r="AC49" s="3">
        <v>261</v>
      </c>
      <c r="AD49" s="3">
        <v>2</v>
      </c>
      <c r="AE49" s="3">
        <v>2</v>
      </c>
      <c r="AF49" s="3">
        <v>10</v>
      </c>
      <c r="AG49" s="3">
        <v>11</v>
      </c>
      <c r="AH49" s="3">
        <v>3</v>
      </c>
      <c r="AI49" s="3">
        <v>3</v>
      </c>
      <c r="AJ49" s="3">
        <v>1</v>
      </c>
      <c r="AK49" s="3">
        <v>2</v>
      </c>
      <c r="AL49" s="3">
        <v>4</v>
      </c>
      <c r="AM49" s="3">
        <v>5</v>
      </c>
      <c r="AN49" s="3">
        <v>1</v>
      </c>
      <c r="AO49" s="3">
        <v>1</v>
      </c>
      <c r="AP49" s="3">
        <v>3</v>
      </c>
      <c r="AQ49" s="3">
        <v>3</v>
      </c>
      <c r="AR49" s="2" t="s">
        <v>63</v>
      </c>
      <c r="AS49" s="2" t="s">
        <v>63</v>
      </c>
      <c r="AU49" s="5" t="str">
        <f>HYPERLINK("https://creighton-primo.hosted.exlibrisgroup.com/primo-explore/search?tab=default_tab&amp;search_scope=EVERYTHING&amp;vid=01CRU&amp;lang=en_US&amp;offset=0&amp;query=any,contains,991002703869702656","Catalog Record")</f>
        <v>Catalog Record</v>
      </c>
      <c r="AV49" s="5" t="str">
        <f>HYPERLINK("http://www.worldcat.org/oclc/35298569","WorldCat Record")</f>
        <v>WorldCat Record</v>
      </c>
      <c r="AW49" s="2" t="s">
        <v>756</v>
      </c>
      <c r="AX49" s="2" t="s">
        <v>757</v>
      </c>
      <c r="AY49" s="2" t="s">
        <v>758</v>
      </c>
      <c r="AZ49" s="2" t="s">
        <v>758</v>
      </c>
      <c r="BA49" s="2" t="s">
        <v>759</v>
      </c>
      <c r="BB49" s="2" t="s">
        <v>79</v>
      </c>
      <c r="BD49" s="2" t="s">
        <v>760</v>
      </c>
      <c r="BE49" s="2" t="s">
        <v>761</v>
      </c>
      <c r="BF49" s="2" t="s">
        <v>762</v>
      </c>
    </row>
    <row r="50" spans="1:58" ht="39.75" customHeight="1">
      <c r="A50" s="1"/>
      <c r="B50" s="1" t="s">
        <v>58</v>
      </c>
      <c r="C50" s="1" t="s">
        <v>59</v>
      </c>
      <c r="D50" s="1" t="s">
        <v>763</v>
      </c>
      <c r="E50" s="1" t="s">
        <v>764</v>
      </c>
      <c r="F50" s="1" t="s">
        <v>765</v>
      </c>
      <c r="H50" s="2" t="s">
        <v>63</v>
      </c>
      <c r="I50" s="2" t="s">
        <v>64</v>
      </c>
      <c r="J50" s="2" t="s">
        <v>63</v>
      </c>
      <c r="K50" s="2" t="s">
        <v>63</v>
      </c>
      <c r="L50" s="2" t="s">
        <v>65</v>
      </c>
      <c r="N50" s="1" t="s">
        <v>766</v>
      </c>
      <c r="O50" s="2" t="s">
        <v>767</v>
      </c>
      <c r="Q50" s="2" t="s">
        <v>68</v>
      </c>
      <c r="R50" s="2" t="s">
        <v>106</v>
      </c>
      <c r="S50" s="1" t="s">
        <v>768</v>
      </c>
      <c r="T50" s="2" t="s">
        <v>71</v>
      </c>
      <c r="U50" s="3">
        <v>22</v>
      </c>
      <c r="V50" s="3">
        <v>22</v>
      </c>
      <c r="W50" s="4" t="s">
        <v>769</v>
      </c>
      <c r="X50" s="4" t="s">
        <v>769</v>
      </c>
      <c r="Y50" s="4" t="s">
        <v>770</v>
      </c>
      <c r="Z50" s="4" t="s">
        <v>770</v>
      </c>
      <c r="AA50" s="3">
        <v>343</v>
      </c>
      <c r="AB50" s="3">
        <v>283</v>
      </c>
      <c r="AC50" s="3">
        <v>306</v>
      </c>
      <c r="AD50" s="3">
        <v>1</v>
      </c>
      <c r="AE50" s="3">
        <v>1</v>
      </c>
      <c r="AF50" s="3">
        <v>14</v>
      </c>
      <c r="AG50" s="3">
        <v>17</v>
      </c>
      <c r="AH50" s="3">
        <v>3</v>
      </c>
      <c r="AI50" s="3">
        <v>5</v>
      </c>
      <c r="AJ50" s="3">
        <v>5</v>
      </c>
      <c r="AK50" s="3">
        <v>6</v>
      </c>
      <c r="AL50" s="3">
        <v>8</v>
      </c>
      <c r="AM50" s="3">
        <v>9</v>
      </c>
      <c r="AN50" s="3">
        <v>0</v>
      </c>
      <c r="AO50" s="3">
        <v>0</v>
      </c>
      <c r="AP50" s="3">
        <v>2</v>
      </c>
      <c r="AQ50" s="3">
        <v>2</v>
      </c>
      <c r="AR50" s="2" t="s">
        <v>63</v>
      </c>
      <c r="AS50" s="2" t="s">
        <v>74</v>
      </c>
      <c r="AT50" s="5" t="str">
        <f>HYPERLINK("http://catalog.hathitrust.org/Record/000116336","HathiTrust Record")</f>
        <v>HathiTrust Record</v>
      </c>
      <c r="AU50" s="5" t="str">
        <f>HYPERLINK("https://creighton-primo.hosted.exlibrisgroup.com/primo-explore/search?tab=default_tab&amp;search_scope=EVERYTHING&amp;vid=01CRU&amp;lang=en_US&amp;offset=0&amp;query=any,contains,991000179329702656","Catalog Record")</f>
        <v>Catalog Record</v>
      </c>
      <c r="AV50" s="5" t="str">
        <f>HYPERLINK("http://www.worldcat.org/oclc/9371079","WorldCat Record")</f>
        <v>WorldCat Record</v>
      </c>
      <c r="AW50" s="2" t="s">
        <v>771</v>
      </c>
      <c r="AX50" s="2" t="s">
        <v>772</v>
      </c>
      <c r="AY50" s="2" t="s">
        <v>773</v>
      </c>
      <c r="AZ50" s="2" t="s">
        <v>773</v>
      </c>
      <c r="BA50" s="2" t="s">
        <v>774</v>
      </c>
      <c r="BB50" s="2" t="s">
        <v>79</v>
      </c>
      <c r="BD50" s="2" t="s">
        <v>775</v>
      </c>
      <c r="BE50" s="2" t="s">
        <v>776</v>
      </c>
      <c r="BF50" s="2" t="s">
        <v>777</v>
      </c>
    </row>
    <row r="51" spans="1:58" ht="39.75" customHeight="1">
      <c r="A51" s="1"/>
      <c r="B51" s="1" t="s">
        <v>58</v>
      </c>
      <c r="C51" s="1" t="s">
        <v>59</v>
      </c>
      <c r="D51" s="1" t="s">
        <v>778</v>
      </c>
      <c r="E51" s="1" t="s">
        <v>779</v>
      </c>
      <c r="F51" s="1" t="s">
        <v>780</v>
      </c>
      <c r="H51" s="2" t="s">
        <v>63</v>
      </c>
      <c r="I51" s="2" t="s">
        <v>64</v>
      </c>
      <c r="J51" s="2" t="s">
        <v>63</v>
      </c>
      <c r="K51" s="2" t="s">
        <v>63</v>
      </c>
      <c r="L51" s="2" t="s">
        <v>65</v>
      </c>
      <c r="M51" s="1" t="s">
        <v>781</v>
      </c>
      <c r="N51" s="1" t="s">
        <v>782</v>
      </c>
      <c r="O51" s="2" t="s">
        <v>726</v>
      </c>
      <c r="Q51" s="2" t="s">
        <v>68</v>
      </c>
      <c r="R51" s="2" t="s">
        <v>106</v>
      </c>
      <c r="S51" s="1" t="s">
        <v>783</v>
      </c>
      <c r="T51" s="2" t="s">
        <v>71</v>
      </c>
      <c r="U51" s="3">
        <v>26</v>
      </c>
      <c r="V51" s="3">
        <v>26</v>
      </c>
      <c r="W51" s="4" t="s">
        <v>784</v>
      </c>
      <c r="X51" s="4" t="s">
        <v>784</v>
      </c>
      <c r="Y51" s="4" t="s">
        <v>785</v>
      </c>
      <c r="Z51" s="4" t="s">
        <v>785</v>
      </c>
      <c r="AA51" s="3">
        <v>452</v>
      </c>
      <c r="AB51" s="3">
        <v>386</v>
      </c>
      <c r="AC51" s="3">
        <v>388</v>
      </c>
      <c r="AD51" s="3">
        <v>2</v>
      </c>
      <c r="AE51" s="3">
        <v>2</v>
      </c>
      <c r="AF51" s="3">
        <v>16</v>
      </c>
      <c r="AG51" s="3">
        <v>16</v>
      </c>
      <c r="AH51" s="3">
        <v>6</v>
      </c>
      <c r="AI51" s="3">
        <v>6</v>
      </c>
      <c r="AJ51" s="3">
        <v>4</v>
      </c>
      <c r="AK51" s="3">
        <v>4</v>
      </c>
      <c r="AL51" s="3">
        <v>8</v>
      </c>
      <c r="AM51" s="3">
        <v>8</v>
      </c>
      <c r="AN51" s="3">
        <v>1</v>
      </c>
      <c r="AO51" s="3">
        <v>1</v>
      </c>
      <c r="AP51" s="3">
        <v>1</v>
      </c>
      <c r="AQ51" s="3">
        <v>1</v>
      </c>
      <c r="AR51" s="2" t="s">
        <v>63</v>
      </c>
      <c r="AS51" s="2" t="s">
        <v>74</v>
      </c>
      <c r="AT51" s="5" t="str">
        <f>HYPERLINK("http://catalog.hathitrust.org/Record/000707172","HathiTrust Record")</f>
        <v>HathiTrust Record</v>
      </c>
      <c r="AU51" s="5" t="str">
        <f>HYPERLINK("https://creighton-primo.hosted.exlibrisgroup.com/primo-explore/search?tab=default_tab&amp;search_scope=EVERYTHING&amp;vid=01CRU&amp;lang=en_US&amp;offset=0&amp;query=any,contains,991004056259702656","Catalog Record")</f>
        <v>Catalog Record</v>
      </c>
      <c r="AV51" s="5" t="str">
        <f>HYPERLINK("http://www.worldcat.org/oclc/2225193","WorldCat Record")</f>
        <v>WorldCat Record</v>
      </c>
      <c r="AW51" s="2" t="s">
        <v>786</v>
      </c>
      <c r="AX51" s="2" t="s">
        <v>787</v>
      </c>
      <c r="AY51" s="2" t="s">
        <v>788</v>
      </c>
      <c r="AZ51" s="2" t="s">
        <v>788</v>
      </c>
      <c r="BA51" s="2" t="s">
        <v>789</v>
      </c>
      <c r="BB51" s="2" t="s">
        <v>79</v>
      </c>
      <c r="BD51" s="2" t="s">
        <v>790</v>
      </c>
      <c r="BE51" s="2" t="s">
        <v>791</v>
      </c>
      <c r="BF51" s="2" t="s">
        <v>792</v>
      </c>
    </row>
    <row r="52" spans="1:58" ht="39.75" customHeight="1">
      <c r="A52" s="1"/>
      <c r="B52" s="1" t="s">
        <v>58</v>
      </c>
      <c r="C52" s="1" t="s">
        <v>59</v>
      </c>
      <c r="D52" s="1" t="s">
        <v>793</v>
      </c>
      <c r="E52" s="1" t="s">
        <v>794</v>
      </c>
      <c r="F52" s="1" t="s">
        <v>795</v>
      </c>
      <c r="H52" s="2" t="s">
        <v>63</v>
      </c>
      <c r="I52" s="2" t="s">
        <v>64</v>
      </c>
      <c r="J52" s="2" t="s">
        <v>63</v>
      </c>
      <c r="K52" s="2" t="s">
        <v>63</v>
      </c>
      <c r="L52" s="2" t="s">
        <v>65</v>
      </c>
      <c r="M52" s="1" t="s">
        <v>796</v>
      </c>
      <c r="N52" s="1" t="s">
        <v>797</v>
      </c>
      <c r="O52" s="2" t="s">
        <v>798</v>
      </c>
      <c r="Q52" s="2" t="s">
        <v>68</v>
      </c>
      <c r="R52" s="2" t="s">
        <v>799</v>
      </c>
      <c r="S52" s="1" t="s">
        <v>800</v>
      </c>
      <c r="T52" s="2" t="s">
        <v>71</v>
      </c>
      <c r="U52" s="3">
        <v>3</v>
      </c>
      <c r="V52" s="3">
        <v>3</v>
      </c>
      <c r="W52" s="4" t="s">
        <v>801</v>
      </c>
      <c r="X52" s="4" t="s">
        <v>801</v>
      </c>
      <c r="Y52" s="4" t="s">
        <v>802</v>
      </c>
      <c r="Z52" s="4" t="s">
        <v>802</v>
      </c>
      <c r="AA52" s="3">
        <v>48</v>
      </c>
      <c r="AB52" s="3">
        <v>47</v>
      </c>
      <c r="AC52" s="3">
        <v>62</v>
      </c>
      <c r="AD52" s="3">
        <v>1</v>
      </c>
      <c r="AE52" s="3">
        <v>1</v>
      </c>
      <c r="AF52" s="3">
        <v>0</v>
      </c>
      <c r="AG52" s="3">
        <v>0</v>
      </c>
      <c r="AH52" s="3">
        <v>0</v>
      </c>
      <c r="AI52" s="3">
        <v>0</v>
      </c>
      <c r="AJ52" s="3">
        <v>0</v>
      </c>
      <c r="AK52" s="3">
        <v>0</v>
      </c>
      <c r="AL52" s="3">
        <v>0</v>
      </c>
      <c r="AM52" s="3">
        <v>0</v>
      </c>
      <c r="AN52" s="3">
        <v>0</v>
      </c>
      <c r="AO52" s="3">
        <v>0</v>
      </c>
      <c r="AP52" s="3">
        <v>0</v>
      </c>
      <c r="AQ52" s="3">
        <v>0</v>
      </c>
      <c r="AR52" s="2" t="s">
        <v>63</v>
      </c>
      <c r="AS52" s="2" t="s">
        <v>63</v>
      </c>
      <c r="AU52" s="5" t="str">
        <f>HYPERLINK("https://creighton-primo.hosted.exlibrisgroup.com/primo-explore/search?tab=default_tab&amp;search_scope=EVERYTHING&amp;vid=01CRU&amp;lang=en_US&amp;offset=0&amp;query=any,contains,991002070249702656","Catalog Record")</f>
        <v>Catalog Record</v>
      </c>
      <c r="AV52" s="5" t="str">
        <f>HYPERLINK("http://www.worldcat.org/oclc/26521602","WorldCat Record")</f>
        <v>WorldCat Record</v>
      </c>
      <c r="AW52" s="2" t="s">
        <v>803</v>
      </c>
      <c r="AX52" s="2" t="s">
        <v>804</v>
      </c>
      <c r="AY52" s="2" t="s">
        <v>805</v>
      </c>
      <c r="AZ52" s="2" t="s">
        <v>805</v>
      </c>
      <c r="BA52" s="2" t="s">
        <v>806</v>
      </c>
      <c r="BB52" s="2" t="s">
        <v>79</v>
      </c>
      <c r="BD52" s="2" t="s">
        <v>807</v>
      </c>
      <c r="BE52" s="2" t="s">
        <v>808</v>
      </c>
      <c r="BF52" s="2" t="s">
        <v>809</v>
      </c>
    </row>
    <row r="53" spans="1:58" ht="39.75" customHeight="1">
      <c r="A53" s="1"/>
      <c r="B53" s="1" t="s">
        <v>58</v>
      </c>
      <c r="C53" s="1" t="s">
        <v>59</v>
      </c>
      <c r="D53" s="1" t="s">
        <v>810</v>
      </c>
      <c r="E53" s="1" t="s">
        <v>811</v>
      </c>
      <c r="F53" s="1" t="s">
        <v>812</v>
      </c>
      <c r="H53" s="2" t="s">
        <v>63</v>
      </c>
      <c r="I53" s="2" t="s">
        <v>64</v>
      </c>
      <c r="J53" s="2" t="s">
        <v>63</v>
      </c>
      <c r="K53" s="2" t="s">
        <v>63</v>
      </c>
      <c r="L53" s="2" t="s">
        <v>65</v>
      </c>
      <c r="N53" s="1" t="s">
        <v>813</v>
      </c>
      <c r="O53" s="2" t="s">
        <v>67</v>
      </c>
      <c r="Q53" s="2" t="s">
        <v>68</v>
      </c>
      <c r="R53" s="2" t="s">
        <v>106</v>
      </c>
      <c r="S53" s="1" t="s">
        <v>814</v>
      </c>
      <c r="T53" s="2" t="s">
        <v>71</v>
      </c>
      <c r="U53" s="3">
        <v>12</v>
      </c>
      <c r="V53" s="3">
        <v>12</v>
      </c>
      <c r="W53" s="4" t="s">
        <v>815</v>
      </c>
      <c r="X53" s="4" t="s">
        <v>815</v>
      </c>
      <c r="Y53" s="4" t="s">
        <v>816</v>
      </c>
      <c r="Z53" s="4" t="s">
        <v>816</v>
      </c>
      <c r="AA53" s="3">
        <v>116</v>
      </c>
      <c r="AB53" s="3">
        <v>113</v>
      </c>
      <c r="AC53" s="3">
        <v>113</v>
      </c>
      <c r="AD53" s="3">
        <v>2</v>
      </c>
      <c r="AE53" s="3">
        <v>2</v>
      </c>
      <c r="AF53" s="3">
        <v>6</v>
      </c>
      <c r="AG53" s="3">
        <v>6</v>
      </c>
      <c r="AH53" s="3">
        <v>0</v>
      </c>
      <c r="AI53" s="3">
        <v>0</v>
      </c>
      <c r="AJ53" s="3">
        <v>1</v>
      </c>
      <c r="AK53" s="3">
        <v>1</v>
      </c>
      <c r="AL53" s="3">
        <v>2</v>
      </c>
      <c r="AM53" s="3">
        <v>2</v>
      </c>
      <c r="AN53" s="3">
        <v>1</v>
      </c>
      <c r="AO53" s="3">
        <v>1</v>
      </c>
      <c r="AP53" s="3">
        <v>3</v>
      </c>
      <c r="AQ53" s="3">
        <v>3</v>
      </c>
      <c r="AR53" s="2" t="s">
        <v>63</v>
      </c>
      <c r="AS53" s="2" t="s">
        <v>63</v>
      </c>
      <c r="AU53" s="5" t="str">
        <f>HYPERLINK("https://creighton-primo.hosted.exlibrisgroup.com/primo-explore/search?tab=default_tab&amp;search_scope=EVERYTHING&amp;vid=01CRU&amp;lang=en_US&amp;offset=0&amp;query=any,contains,991002279009702656","Catalog Record")</f>
        <v>Catalog Record</v>
      </c>
      <c r="AV53" s="5" t="str">
        <f>HYPERLINK("http://www.worldcat.org/oclc/29563628","WorldCat Record")</f>
        <v>WorldCat Record</v>
      </c>
      <c r="AW53" s="2" t="s">
        <v>817</v>
      </c>
      <c r="AX53" s="2" t="s">
        <v>818</v>
      </c>
      <c r="AY53" s="2" t="s">
        <v>819</v>
      </c>
      <c r="AZ53" s="2" t="s">
        <v>819</v>
      </c>
      <c r="BA53" s="2" t="s">
        <v>820</v>
      </c>
      <c r="BB53" s="2" t="s">
        <v>79</v>
      </c>
      <c r="BE53" s="2" t="s">
        <v>821</v>
      </c>
      <c r="BF53" s="2" t="s">
        <v>822</v>
      </c>
    </row>
    <row r="54" spans="1:58" ht="39.75" customHeight="1">
      <c r="A54" s="1"/>
      <c r="B54" s="1" t="s">
        <v>58</v>
      </c>
      <c r="C54" s="1" t="s">
        <v>59</v>
      </c>
      <c r="D54" s="1" t="s">
        <v>823</v>
      </c>
      <c r="E54" s="1" t="s">
        <v>824</v>
      </c>
      <c r="F54" s="1" t="s">
        <v>825</v>
      </c>
      <c r="H54" s="2" t="s">
        <v>63</v>
      </c>
      <c r="I54" s="2" t="s">
        <v>64</v>
      </c>
      <c r="J54" s="2" t="s">
        <v>74</v>
      </c>
      <c r="K54" s="2" t="s">
        <v>63</v>
      </c>
      <c r="L54" s="2" t="s">
        <v>65</v>
      </c>
      <c r="M54" s="1" t="s">
        <v>826</v>
      </c>
      <c r="N54" s="1" t="s">
        <v>827</v>
      </c>
      <c r="O54" s="2" t="s">
        <v>67</v>
      </c>
      <c r="Q54" s="2" t="s">
        <v>68</v>
      </c>
      <c r="R54" s="2" t="s">
        <v>106</v>
      </c>
      <c r="T54" s="2" t="s">
        <v>71</v>
      </c>
      <c r="U54" s="3">
        <v>6</v>
      </c>
      <c r="V54" s="3">
        <v>15</v>
      </c>
      <c r="W54" s="4" t="s">
        <v>828</v>
      </c>
      <c r="X54" s="4" t="s">
        <v>828</v>
      </c>
      <c r="Y54" s="4" t="s">
        <v>829</v>
      </c>
      <c r="Z54" s="4" t="s">
        <v>829</v>
      </c>
      <c r="AA54" s="3">
        <v>404</v>
      </c>
      <c r="AB54" s="3">
        <v>297</v>
      </c>
      <c r="AC54" s="3">
        <v>304</v>
      </c>
      <c r="AD54" s="3">
        <v>3</v>
      </c>
      <c r="AE54" s="3">
        <v>3</v>
      </c>
      <c r="AF54" s="3">
        <v>14</v>
      </c>
      <c r="AG54" s="3">
        <v>14</v>
      </c>
      <c r="AH54" s="3">
        <v>6</v>
      </c>
      <c r="AI54" s="3">
        <v>6</v>
      </c>
      <c r="AJ54" s="3">
        <v>5</v>
      </c>
      <c r="AK54" s="3">
        <v>5</v>
      </c>
      <c r="AL54" s="3">
        <v>7</v>
      </c>
      <c r="AM54" s="3">
        <v>7</v>
      </c>
      <c r="AN54" s="3">
        <v>1</v>
      </c>
      <c r="AO54" s="3">
        <v>1</v>
      </c>
      <c r="AP54" s="3">
        <v>0</v>
      </c>
      <c r="AQ54" s="3">
        <v>0</v>
      </c>
      <c r="AR54" s="2" t="s">
        <v>63</v>
      </c>
      <c r="AS54" s="2" t="s">
        <v>74</v>
      </c>
      <c r="AT54" s="5" t="str">
        <f>HYPERLINK("http://catalog.hathitrust.org/Record/004547185","HathiTrust Record")</f>
        <v>HathiTrust Record</v>
      </c>
      <c r="AU54" s="5" t="str">
        <f>HYPERLINK("https://creighton-primo.hosted.exlibrisgroup.com/primo-explore/search?tab=default_tab&amp;search_scope=EVERYTHING&amp;vid=01CRU&amp;lang=en_US&amp;offset=0&amp;query=any,contains,991001799799702656","Catalog Record")</f>
        <v>Catalog Record</v>
      </c>
      <c r="AV54" s="5" t="str">
        <f>HYPERLINK("http://www.worldcat.org/oclc/25372498","WorldCat Record")</f>
        <v>WorldCat Record</v>
      </c>
      <c r="AW54" s="2" t="s">
        <v>830</v>
      </c>
      <c r="AX54" s="2" t="s">
        <v>831</v>
      </c>
      <c r="AY54" s="2" t="s">
        <v>832</v>
      </c>
      <c r="AZ54" s="2" t="s">
        <v>832</v>
      </c>
      <c r="BA54" s="2" t="s">
        <v>833</v>
      </c>
      <c r="BB54" s="2" t="s">
        <v>79</v>
      </c>
      <c r="BD54" s="2" t="s">
        <v>834</v>
      </c>
      <c r="BE54" s="2" t="s">
        <v>835</v>
      </c>
      <c r="BF54" s="2" t="s">
        <v>836</v>
      </c>
    </row>
    <row r="55" spans="1:58" ht="39.75" customHeight="1">
      <c r="A55" s="1"/>
      <c r="B55" s="1" t="s">
        <v>58</v>
      </c>
      <c r="C55" s="1" t="s">
        <v>59</v>
      </c>
      <c r="D55" s="1" t="s">
        <v>837</v>
      </c>
      <c r="E55" s="1" t="s">
        <v>838</v>
      </c>
      <c r="F55" s="1" t="s">
        <v>839</v>
      </c>
      <c r="G55" s="2" t="s">
        <v>840</v>
      </c>
      <c r="H55" s="2" t="s">
        <v>63</v>
      </c>
      <c r="I55" s="2" t="s">
        <v>64</v>
      </c>
      <c r="J55" s="2" t="s">
        <v>63</v>
      </c>
      <c r="K55" s="2" t="s">
        <v>63</v>
      </c>
      <c r="L55" s="2" t="s">
        <v>65</v>
      </c>
      <c r="N55" s="1" t="s">
        <v>841</v>
      </c>
      <c r="O55" s="2" t="s">
        <v>209</v>
      </c>
      <c r="Q55" s="2" t="s">
        <v>68</v>
      </c>
      <c r="R55" s="2" t="s">
        <v>385</v>
      </c>
      <c r="S55" s="1" t="s">
        <v>842</v>
      </c>
      <c r="T55" s="2" t="s">
        <v>71</v>
      </c>
      <c r="U55" s="3">
        <v>2</v>
      </c>
      <c r="V55" s="3">
        <v>2</v>
      </c>
      <c r="W55" s="4" t="s">
        <v>843</v>
      </c>
      <c r="X55" s="4" t="s">
        <v>843</v>
      </c>
      <c r="Y55" s="4" t="s">
        <v>503</v>
      </c>
      <c r="Z55" s="4" t="s">
        <v>503</v>
      </c>
      <c r="AA55" s="3">
        <v>62</v>
      </c>
      <c r="AB55" s="3">
        <v>44</v>
      </c>
      <c r="AC55" s="3">
        <v>44</v>
      </c>
      <c r="AD55" s="3">
        <v>2</v>
      </c>
      <c r="AE55" s="3">
        <v>2</v>
      </c>
      <c r="AF55" s="3">
        <v>2</v>
      </c>
      <c r="AG55" s="3">
        <v>2</v>
      </c>
      <c r="AH55" s="3">
        <v>0</v>
      </c>
      <c r="AI55" s="3">
        <v>0</v>
      </c>
      <c r="AJ55" s="3">
        <v>1</v>
      </c>
      <c r="AK55" s="3">
        <v>1</v>
      </c>
      <c r="AL55" s="3">
        <v>0</v>
      </c>
      <c r="AM55" s="3">
        <v>0</v>
      </c>
      <c r="AN55" s="3">
        <v>1</v>
      </c>
      <c r="AO55" s="3">
        <v>1</v>
      </c>
      <c r="AP55" s="3">
        <v>0</v>
      </c>
      <c r="AQ55" s="3">
        <v>0</v>
      </c>
      <c r="AR55" s="2" t="s">
        <v>63</v>
      </c>
      <c r="AS55" s="2" t="s">
        <v>63</v>
      </c>
      <c r="AU55" s="5" t="str">
        <f>HYPERLINK("https://creighton-primo.hosted.exlibrisgroup.com/primo-explore/search?tab=default_tab&amp;search_scope=EVERYTHING&amp;vid=01CRU&amp;lang=en_US&amp;offset=0&amp;query=any,contains,991000409989702656","Catalog Record")</f>
        <v>Catalog Record</v>
      </c>
      <c r="AV55" s="5" t="str">
        <f>HYPERLINK("http://www.worldcat.org/oclc/10700425","WorldCat Record")</f>
        <v>WorldCat Record</v>
      </c>
      <c r="AW55" s="2" t="s">
        <v>844</v>
      </c>
      <c r="AX55" s="2" t="s">
        <v>845</v>
      </c>
      <c r="AY55" s="2" t="s">
        <v>846</v>
      </c>
      <c r="AZ55" s="2" t="s">
        <v>846</v>
      </c>
      <c r="BA55" s="2" t="s">
        <v>847</v>
      </c>
      <c r="BB55" s="2" t="s">
        <v>79</v>
      </c>
      <c r="BD55" s="2" t="s">
        <v>848</v>
      </c>
      <c r="BE55" s="2" t="s">
        <v>849</v>
      </c>
      <c r="BF55" s="2" t="s">
        <v>850</v>
      </c>
    </row>
    <row r="56" spans="1:58" ht="39.75" customHeight="1">
      <c r="A56" s="1"/>
      <c r="B56" s="1" t="s">
        <v>58</v>
      </c>
      <c r="C56" s="1" t="s">
        <v>59</v>
      </c>
      <c r="D56" s="1" t="s">
        <v>851</v>
      </c>
      <c r="E56" s="1" t="s">
        <v>852</v>
      </c>
      <c r="F56" s="1" t="s">
        <v>853</v>
      </c>
      <c r="G56" s="2" t="s">
        <v>854</v>
      </c>
      <c r="H56" s="2" t="s">
        <v>63</v>
      </c>
      <c r="I56" s="2" t="s">
        <v>64</v>
      </c>
      <c r="J56" s="2" t="s">
        <v>63</v>
      </c>
      <c r="K56" s="2" t="s">
        <v>63</v>
      </c>
      <c r="L56" s="2" t="s">
        <v>65</v>
      </c>
      <c r="N56" s="1" t="s">
        <v>855</v>
      </c>
      <c r="O56" s="2" t="s">
        <v>105</v>
      </c>
      <c r="Q56" s="2" t="s">
        <v>68</v>
      </c>
      <c r="R56" s="2" t="s">
        <v>385</v>
      </c>
      <c r="S56" s="1" t="s">
        <v>856</v>
      </c>
      <c r="T56" s="2" t="s">
        <v>71</v>
      </c>
      <c r="U56" s="3">
        <v>6</v>
      </c>
      <c r="V56" s="3">
        <v>6</v>
      </c>
      <c r="W56" s="4" t="s">
        <v>857</v>
      </c>
      <c r="X56" s="4" t="s">
        <v>857</v>
      </c>
      <c r="Y56" s="4" t="s">
        <v>503</v>
      </c>
      <c r="Z56" s="4" t="s">
        <v>503</v>
      </c>
      <c r="AA56" s="3">
        <v>75</v>
      </c>
      <c r="AB56" s="3">
        <v>53</v>
      </c>
      <c r="AC56" s="3">
        <v>53</v>
      </c>
      <c r="AD56" s="3">
        <v>2</v>
      </c>
      <c r="AE56" s="3">
        <v>2</v>
      </c>
      <c r="AF56" s="3">
        <v>3</v>
      </c>
      <c r="AG56" s="3">
        <v>3</v>
      </c>
      <c r="AH56" s="3">
        <v>0</v>
      </c>
      <c r="AI56" s="3">
        <v>0</v>
      </c>
      <c r="AJ56" s="3">
        <v>1</v>
      </c>
      <c r="AK56" s="3">
        <v>1</v>
      </c>
      <c r="AL56" s="3">
        <v>1</v>
      </c>
      <c r="AM56" s="3">
        <v>1</v>
      </c>
      <c r="AN56" s="3">
        <v>1</v>
      </c>
      <c r="AO56" s="3">
        <v>1</v>
      </c>
      <c r="AP56" s="3">
        <v>0</v>
      </c>
      <c r="AQ56" s="3">
        <v>0</v>
      </c>
      <c r="AR56" s="2" t="s">
        <v>63</v>
      </c>
      <c r="AS56" s="2" t="s">
        <v>63</v>
      </c>
      <c r="AU56" s="5" t="str">
        <f>HYPERLINK("https://creighton-primo.hosted.exlibrisgroup.com/primo-explore/search?tab=default_tab&amp;search_scope=EVERYTHING&amp;vid=01CRU&amp;lang=en_US&amp;offset=0&amp;query=any,contains,991000829399702656","Catalog Record")</f>
        <v>Catalog Record</v>
      </c>
      <c r="AV56" s="5" t="str">
        <f>HYPERLINK("http://www.worldcat.org/oclc/16276063","WorldCat Record")</f>
        <v>WorldCat Record</v>
      </c>
      <c r="AW56" s="2" t="s">
        <v>858</v>
      </c>
      <c r="AX56" s="2" t="s">
        <v>859</v>
      </c>
      <c r="AY56" s="2" t="s">
        <v>860</v>
      </c>
      <c r="AZ56" s="2" t="s">
        <v>860</v>
      </c>
      <c r="BA56" s="2" t="s">
        <v>861</v>
      </c>
      <c r="BB56" s="2" t="s">
        <v>79</v>
      </c>
      <c r="BD56" s="2" t="s">
        <v>862</v>
      </c>
      <c r="BE56" s="2" t="s">
        <v>863</v>
      </c>
      <c r="BF56" s="2" t="s">
        <v>864</v>
      </c>
    </row>
    <row r="57" spans="1:58" ht="39.75" customHeight="1">
      <c r="A57" s="1"/>
      <c r="B57" s="1" t="s">
        <v>58</v>
      </c>
      <c r="C57" s="1" t="s">
        <v>59</v>
      </c>
      <c r="D57" s="1" t="s">
        <v>865</v>
      </c>
      <c r="E57" s="1" t="s">
        <v>866</v>
      </c>
      <c r="F57" s="1" t="s">
        <v>867</v>
      </c>
      <c r="H57" s="2" t="s">
        <v>63</v>
      </c>
      <c r="I57" s="2" t="s">
        <v>64</v>
      </c>
      <c r="J57" s="2" t="s">
        <v>74</v>
      </c>
      <c r="K57" s="2" t="s">
        <v>63</v>
      </c>
      <c r="L57" s="2" t="s">
        <v>65</v>
      </c>
      <c r="M57" s="1" t="s">
        <v>868</v>
      </c>
      <c r="N57" s="1" t="s">
        <v>869</v>
      </c>
      <c r="O57" s="2" t="s">
        <v>870</v>
      </c>
      <c r="P57" s="1" t="s">
        <v>871</v>
      </c>
      <c r="Q57" s="2" t="s">
        <v>68</v>
      </c>
      <c r="R57" s="2" t="s">
        <v>167</v>
      </c>
      <c r="T57" s="2" t="s">
        <v>71</v>
      </c>
      <c r="U57" s="3">
        <v>11</v>
      </c>
      <c r="V57" s="3">
        <v>12</v>
      </c>
      <c r="W57" s="4" t="s">
        <v>872</v>
      </c>
      <c r="X57" s="4" t="s">
        <v>872</v>
      </c>
      <c r="Y57" s="4" t="s">
        <v>701</v>
      </c>
      <c r="Z57" s="4" t="s">
        <v>701</v>
      </c>
      <c r="AA57" s="3">
        <v>423</v>
      </c>
      <c r="AB57" s="3">
        <v>366</v>
      </c>
      <c r="AC57" s="3">
        <v>386</v>
      </c>
      <c r="AD57" s="3">
        <v>5</v>
      </c>
      <c r="AE57" s="3">
        <v>5</v>
      </c>
      <c r="AF57" s="3">
        <v>13</v>
      </c>
      <c r="AG57" s="3">
        <v>14</v>
      </c>
      <c r="AH57" s="3">
        <v>2</v>
      </c>
      <c r="AI57" s="3">
        <v>2</v>
      </c>
      <c r="AJ57" s="3">
        <v>4</v>
      </c>
      <c r="AK57" s="3">
        <v>4</v>
      </c>
      <c r="AL57" s="3">
        <v>7</v>
      </c>
      <c r="AM57" s="3">
        <v>8</v>
      </c>
      <c r="AN57" s="3">
        <v>3</v>
      </c>
      <c r="AO57" s="3">
        <v>3</v>
      </c>
      <c r="AP57" s="3">
        <v>1</v>
      </c>
      <c r="AQ57" s="3">
        <v>1</v>
      </c>
      <c r="AR57" s="2" t="s">
        <v>63</v>
      </c>
      <c r="AS57" s="2" t="s">
        <v>74</v>
      </c>
      <c r="AT57" s="5" t="str">
        <f>HYPERLINK("http://catalog.hathitrust.org/Record/000042737","HathiTrust Record")</f>
        <v>HathiTrust Record</v>
      </c>
      <c r="AU57" s="5" t="str">
        <f>HYPERLINK("https://creighton-primo.hosted.exlibrisgroup.com/primo-explore/search?tab=default_tab&amp;search_scope=EVERYTHING&amp;vid=01CRU&amp;lang=en_US&amp;offset=0&amp;query=any,contains,991001753079702656","Catalog Record")</f>
        <v>Catalog Record</v>
      </c>
      <c r="AV57" s="5" t="str">
        <f>HYPERLINK("http://www.worldcat.org/oclc/1177679","WorldCat Record")</f>
        <v>WorldCat Record</v>
      </c>
      <c r="AW57" s="2" t="s">
        <v>873</v>
      </c>
      <c r="AX57" s="2" t="s">
        <v>874</v>
      </c>
      <c r="AY57" s="2" t="s">
        <v>875</v>
      </c>
      <c r="AZ57" s="2" t="s">
        <v>875</v>
      </c>
      <c r="BA57" s="2" t="s">
        <v>876</v>
      </c>
      <c r="BB57" s="2" t="s">
        <v>79</v>
      </c>
      <c r="BD57" s="2" t="s">
        <v>877</v>
      </c>
      <c r="BE57" s="2" t="s">
        <v>878</v>
      </c>
      <c r="BF57" s="2" t="s">
        <v>879</v>
      </c>
    </row>
    <row r="58" spans="1:58" ht="39.75" customHeight="1">
      <c r="A58" s="1"/>
      <c r="B58" s="1" t="s">
        <v>58</v>
      </c>
      <c r="C58" s="1" t="s">
        <v>59</v>
      </c>
      <c r="D58" s="1" t="s">
        <v>880</v>
      </c>
      <c r="E58" s="1" t="s">
        <v>881</v>
      </c>
      <c r="F58" s="1" t="s">
        <v>882</v>
      </c>
      <c r="H58" s="2" t="s">
        <v>63</v>
      </c>
      <c r="I58" s="2" t="s">
        <v>64</v>
      </c>
      <c r="J58" s="2" t="s">
        <v>63</v>
      </c>
      <c r="K58" s="2" t="s">
        <v>63</v>
      </c>
      <c r="L58" s="2" t="s">
        <v>65</v>
      </c>
      <c r="M58" s="1" t="s">
        <v>868</v>
      </c>
      <c r="N58" s="1" t="s">
        <v>883</v>
      </c>
      <c r="O58" s="2" t="s">
        <v>88</v>
      </c>
      <c r="Q58" s="2" t="s">
        <v>68</v>
      </c>
      <c r="R58" s="2" t="s">
        <v>106</v>
      </c>
      <c r="S58" s="1" t="s">
        <v>884</v>
      </c>
      <c r="T58" s="2" t="s">
        <v>71</v>
      </c>
      <c r="U58" s="3">
        <v>5</v>
      </c>
      <c r="V58" s="3">
        <v>5</v>
      </c>
      <c r="W58" s="4" t="s">
        <v>885</v>
      </c>
      <c r="X58" s="4" t="s">
        <v>885</v>
      </c>
      <c r="Y58" s="4" t="s">
        <v>347</v>
      </c>
      <c r="Z58" s="4" t="s">
        <v>347</v>
      </c>
      <c r="AA58" s="3">
        <v>250</v>
      </c>
      <c r="AB58" s="3">
        <v>212</v>
      </c>
      <c r="AC58" s="3">
        <v>219</v>
      </c>
      <c r="AD58" s="3">
        <v>1</v>
      </c>
      <c r="AE58" s="3">
        <v>1</v>
      </c>
      <c r="AF58" s="3">
        <v>3</v>
      </c>
      <c r="AG58" s="3">
        <v>3</v>
      </c>
      <c r="AH58" s="3">
        <v>0</v>
      </c>
      <c r="AI58" s="3">
        <v>0</v>
      </c>
      <c r="AJ58" s="3">
        <v>1</v>
      </c>
      <c r="AK58" s="3">
        <v>1</v>
      </c>
      <c r="AL58" s="3">
        <v>3</v>
      </c>
      <c r="AM58" s="3">
        <v>3</v>
      </c>
      <c r="AN58" s="3">
        <v>0</v>
      </c>
      <c r="AO58" s="3">
        <v>0</v>
      </c>
      <c r="AP58" s="3">
        <v>0</v>
      </c>
      <c r="AQ58" s="3">
        <v>0</v>
      </c>
      <c r="AR58" s="2" t="s">
        <v>63</v>
      </c>
      <c r="AS58" s="2" t="s">
        <v>74</v>
      </c>
      <c r="AT58" s="5" t="str">
        <f>HYPERLINK("http://catalog.hathitrust.org/Record/000029338","HathiTrust Record")</f>
        <v>HathiTrust Record</v>
      </c>
      <c r="AU58" s="5" t="str">
        <f>HYPERLINK("https://creighton-primo.hosted.exlibrisgroup.com/primo-explore/search?tab=default_tab&amp;search_scope=EVERYTHING&amp;vid=01CRU&amp;lang=en_US&amp;offset=0&amp;query=any,contains,991004877369702656","Catalog Record")</f>
        <v>Catalog Record</v>
      </c>
      <c r="AV58" s="5" t="str">
        <f>HYPERLINK("http://www.worldcat.org/oclc/5798737","WorldCat Record")</f>
        <v>WorldCat Record</v>
      </c>
      <c r="AW58" s="2" t="s">
        <v>886</v>
      </c>
      <c r="AX58" s="2" t="s">
        <v>887</v>
      </c>
      <c r="AY58" s="2" t="s">
        <v>888</v>
      </c>
      <c r="AZ58" s="2" t="s">
        <v>888</v>
      </c>
      <c r="BA58" s="2" t="s">
        <v>889</v>
      </c>
      <c r="BB58" s="2" t="s">
        <v>79</v>
      </c>
      <c r="BD58" s="2" t="s">
        <v>890</v>
      </c>
      <c r="BE58" s="2" t="s">
        <v>891</v>
      </c>
      <c r="BF58" s="2" t="s">
        <v>892</v>
      </c>
    </row>
    <row r="59" spans="1:58" ht="39.75" customHeight="1">
      <c r="A59" s="1"/>
      <c r="B59" s="1" t="s">
        <v>58</v>
      </c>
      <c r="C59" s="1" t="s">
        <v>59</v>
      </c>
      <c r="D59" s="1" t="s">
        <v>893</v>
      </c>
      <c r="E59" s="1" t="s">
        <v>894</v>
      </c>
      <c r="F59" s="1" t="s">
        <v>895</v>
      </c>
      <c r="H59" s="2" t="s">
        <v>63</v>
      </c>
      <c r="I59" s="2" t="s">
        <v>64</v>
      </c>
      <c r="J59" s="2" t="s">
        <v>63</v>
      </c>
      <c r="K59" s="2" t="s">
        <v>63</v>
      </c>
      <c r="L59" s="2" t="s">
        <v>65</v>
      </c>
      <c r="M59" s="1" t="s">
        <v>896</v>
      </c>
      <c r="N59" s="1" t="s">
        <v>897</v>
      </c>
      <c r="O59" s="2" t="s">
        <v>798</v>
      </c>
      <c r="Q59" s="2" t="s">
        <v>68</v>
      </c>
      <c r="R59" s="2" t="s">
        <v>106</v>
      </c>
      <c r="S59" s="1" t="s">
        <v>898</v>
      </c>
      <c r="T59" s="2" t="s">
        <v>71</v>
      </c>
      <c r="U59" s="3">
        <v>19</v>
      </c>
      <c r="V59" s="3">
        <v>19</v>
      </c>
      <c r="W59" s="4" t="s">
        <v>899</v>
      </c>
      <c r="X59" s="4" t="s">
        <v>899</v>
      </c>
      <c r="Y59" s="4" t="s">
        <v>900</v>
      </c>
      <c r="Z59" s="4" t="s">
        <v>900</v>
      </c>
      <c r="AA59" s="3">
        <v>375</v>
      </c>
      <c r="AB59" s="3">
        <v>333</v>
      </c>
      <c r="AC59" s="3">
        <v>355</v>
      </c>
      <c r="AD59" s="3">
        <v>3</v>
      </c>
      <c r="AE59" s="3">
        <v>3</v>
      </c>
      <c r="AF59" s="3">
        <v>12</v>
      </c>
      <c r="AG59" s="3">
        <v>12</v>
      </c>
      <c r="AH59" s="3">
        <v>4</v>
      </c>
      <c r="AI59" s="3">
        <v>4</v>
      </c>
      <c r="AJ59" s="3">
        <v>5</v>
      </c>
      <c r="AK59" s="3">
        <v>5</v>
      </c>
      <c r="AL59" s="3">
        <v>5</v>
      </c>
      <c r="AM59" s="3">
        <v>5</v>
      </c>
      <c r="AN59" s="3">
        <v>2</v>
      </c>
      <c r="AO59" s="3">
        <v>2</v>
      </c>
      <c r="AP59" s="3">
        <v>0</v>
      </c>
      <c r="AQ59" s="3">
        <v>0</v>
      </c>
      <c r="AR59" s="2" t="s">
        <v>63</v>
      </c>
      <c r="AS59" s="2" t="s">
        <v>63</v>
      </c>
      <c r="AU59" s="5" t="str">
        <f>HYPERLINK("https://creighton-primo.hosted.exlibrisgroup.com/primo-explore/search?tab=default_tab&amp;search_scope=EVERYTHING&amp;vid=01CRU&amp;lang=en_US&amp;offset=0&amp;query=any,contains,991001931219702656","Catalog Record")</f>
        <v>Catalog Record</v>
      </c>
      <c r="AV59" s="5" t="str">
        <f>HYPERLINK("http://www.worldcat.org/oclc/24378262","WorldCat Record")</f>
        <v>WorldCat Record</v>
      </c>
      <c r="AW59" s="2" t="s">
        <v>901</v>
      </c>
      <c r="AX59" s="2" t="s">
        <v>902</v>
      </c>
      <c r="AY59" s="2" t="s">
        <v>903</v>
      </c>
      <c r="AZ59" s="2" t="s">
        <v>903</v>
      </c>
      <c r="BA59" s="2" t="s">
        <v>904</v>
      </c>
      <c r="BB59" s="2" t="s">
        <v>79</v>
      </c>
      <c r="BD59" s="2" t="s">
        <v>905</v>
      </c>
      <c r="BE59" s="2" t="s">
        <v>906</v>
      </c>
      <c r="BF59" s="2" t="s">
        <v>907</v>
      </c>
    </row>
    <row r="60" spans="1:58" ht="39.75" customHeight="1">
      <c r="A60" s="1"/>
      <c r="B60" s="1" t="s">
        <v>58</v>
      </c>
      <c r="C60" s="1" t="s">
        <v>59</v>
      </c>
      <c r="D60" s="1" t="s">
        <v>908</v>
      </c>
      <c r="E60" s="1" t="s">
        <v>909</v>
      </c>
      <c r="F60" s="1" t="s">
        <v>910</v>
      </c>
      <c r="H60" s="2" t="s">
        <v>63</v>
      </c>
      <c r="I60" s="2" t="s">
        <v>64</v>
      </c>
      <c r="J60" s="2" t="s">
        <v>74</v>
      </c>
      <c r="K60" s="2" t="s">
        <v>63</v>
      </c>
      <c r="L60" s="2" t="s">
        <v>65</v>
      </c>
      <c r="M60" s="1" t="s">
        <v>911</v>
      </c>
      <c r="N60" s="1" t="s">
        <v>912</v>
      </c>
      <c r="O60" s="2" t="s">
        <v>314</v>
      </c>
      <c r="Q60" s="2" t="s">
        <v>68</v>
      </c>
      <c r="R60" s="2" t="s">
        <v>628</v>
      </c>
      <c r="T60" s="2" t="s">
        <v>71</v>
      </c>
      <c r="U60" s="3">
        <v>0</v>
      </c>
      <c r="V60" s="3">
        <v>4</v>
      </c>
      <c r="X60" s="4" t="s">
        <v>913</v>
      </c>
      <c r="Y60" s="4" t="s">
        <v>333</v>
      </c>
      <c r="Z60" s="4" t="s">
        <v>333</v>
      </c>
      <c r="AA60" s="3">
        <v>377</v>
      </c>
      <c r="AB60" s="3">
        <v>343</v>
      </c>
      <c r="AC60" s="3">
        <v>351</v>
      </c>
      <c r="AD60" s="3">
        <v>4</v>
      </c>
      <c r="AE60" s="3">
        <v>4</v>
      </c>
      <c r="AF60" s="3">
        <v>13</v>
      </c>
      <c r="AG60" s="3">
        <v>13</v>
      </c>
      <c r="AH60" s="3">
        <v>3</v>
      </c>
      <c r="AI60" s="3">
        <v>3</v>
      </c>
      <c r="AJ60" s="3">
        <v>4</v>
      </c>
      <c r="AK60" s="3">
        <v>4</v>
      </c>
      <c r="AL60" s="3">
        <v>7</v>
      </c>
      <c r="AM60" s="3">
        <v>7</v>
      </c>
      <c r="AN60" s="3">
        <v>2</v>
      </c>
      <c r="AO60" s="3">
        <v>2</v>
      </c>
      <c r="AP60" s="3">
        <v>1</v>
      </c>
      <c r="AQ60" s="3">
        <v>1</v>
      </c>
      <c r="AR60" s="2" t="s">
        <v>63</v>
      </c>
      <c r="AS60" s="2" t="s">
        <v>74</v>
      </c>
      <c r="AT60" s="5" t="str">
        <f>HYPERLINK("http://catalog.hathitrust.org/Record/000293596","HathiTrust Record")</f>
        <v>HathiTrust Record</v>
      </c>
      <c r="AU60" s="5" t="str">
        <f>HYPERLINK("https://creighton-primo.hosted.exlibrisgroup.com/primo-explore/search?tab=default_tab&amp;search_scope=EVERYTHING&amp;vid=01CRU&amp;lang=en_US&amp;offset=0&amp;query=any,contains,991001752969702656","Catalog Record")</f>
        <v>Catalog Record</v>
      </c>
      <c r="AV60" s="5" t="str">
        <f>HYPERLINK("http://www.worldcat.org/oclc/3168384","WorldCat Record")</f>
        <v>WorldCat Record</v>
      </c>
      <c r="AW60" s="2" t="s">
        <v>914</v>
      </c>
      <c r="AX60" s="2" t="s">
        <v>915</v>
      </c>
      <c r="AY60" s="2" t="s">
        <v>916</v>
      </c>
      <c r="AZ60" s="2" t="s">
        <v>916</v>
      </c>
      <c r="BA60" s="2" t="s">
        <v>917</v>
      </c>
      <c r="BB60" s="2" t="s">
        <v>79</v>
      </c>
      <c r="BD60" s="2" t="s">
        <v>918</v>
      </c>
      <c r="BE60" s="2" t="s">
        <v>919</v>
      </c>
      <c r="BF60" s="2" t="s">
        <v>920</v>
      </c>
    </row>
    <row r="61" spans="1:58" ht="39.75" customHeight="1">
      <c r="A61" s="1"/>
      <c r="B61" s="1" t="s">
        <v>58</v>
      </c>
      <c r="C61" s="1" t="s">
        <v>59</v>
      </c>
      <c r="D61" s="1" t="s">
        <v>921</v>
      </c>
      <c r="E61" s="1" t="s">
        <v>922</v>
      </c>
      <c r="F61" s="1" t="s">
        <v>923</v>
      </c>
      <c r="H61" s="2" t="s">
        <v>63</v>
      </c>
      <c r="I61" s="2" t="s">
        <v>64</v>
      </c>
      <c r="J61" s="2" t="s">
        <v>63</v>
      </c>
      <c r="K61" s="2" t="s">
        <v>63</v>
      </c>
      <c r="L61" s="2" t="s">
        <v>65</v>
      </c>
      <c r="N61" s="1" t="s">
        <v>924</v>
      </c>
      <c r="O61" s="2" t="s">
        <v>88</v>
      </c>
      <c r="Q61" s="2" t="s">
        <v>68</v>
      </c>
      <c r="R61" s="2" t="s">
        <v>106</v>
      </c>
      <c r="S61" s="1" t="s">
        <v>925</v>
      </c>
      <c r="T61" s="2" t="s">
        <v>71</v>
      </c>
      <c r="U61" s="3">
        <v>9</v>
      </c>
      <c r="V61" s="3">
        <v>9</v>
      </c>
      <c r="W61" s="4" t="s">
        <v>926</v>
      </c>
      <c r="X61" s="4" t="s">
        <v>926</v>
      </c>
      <c r="Y61" s="4" t="s">
        <v>927</v>
      </c>
      <c r="Z61" s="4" t="s">
        <v>927</v>
      </c>
      <c r="AA61" s="3">
        <v>128</v>
      </c>
      <c r="AB61" s="3">
        <v>106</v>
      </c>
      <c r="AC61" s="3">
        <v>111</v>
      </c>
      <c r="AD61" s="3">
        <v>1</v>
      </c>
      <c r="AE61" s="3">
        <v>1</v>
      </c>
      <c r="AF61" s="3">
        <v>2</v>
      </c>
      <c r="AG61" s="3">
        <v>2</v>
      </c>
      <c r="AH61" s="3">
        <v>0</v>
      </c>
      <c r="AI61" s="3">
        <v>0</v>
      </c>
      <c r="AJ61" s="3">
        <v>2</v>
      </c>
      <c r="AK61" s="3">
        <v>2</v>
      </c>
      <c r="AL61" s="3">
        <v>1</v>
      </c>
      <c r="AM61" s="3">
        <v>1</v>
      </c>
      <c r="AN61" s="3">
        <v>0</v>
      </c>
      <c r="AO61" s="3">
        <v>0</v>
      </c>
      <c r="AP61" s="3">
        <v>0</v>
      </c>
      <c r="AQ61" s="3">
        <v>0</v>
      </c>
      <c r="AR61" s="2" t="s">
        <v>63</v>
      </c>
      <c r="AS61" s="2" t="s">
        <v>63</v>
      </c>
      <c r="AU61" s="5" t="str">
        <f>HYPERLINK("https://creighton-primo.hosted.exlibrisgroup.com/primo-explore/search?tab=default_tab&amp;search_scope=EVERYTHING&amp;vid=01CRU&amp;lang=en_US&amp;offset=0&amp;query=any,contains,991005077899702656","Catalog Record")</f>
        <v>Catalog Record</v>
      </c>
      <c r="AV61" s="5" t="str">
        <f>HYPERLINK("http://www.worldcat.org/oclc/7152204","WorldCat Record")</f>
        <v>WorldCat Record</v>
      </c>
      <c r="AW61" s="2" t="s">
        <v>928</v>
      </c>
      <c r="AX61" s="2" t="s">
        <v>929</v>
      </c>
      <c r="AY61" s="2" t="s">
        <v>930</v>
      </c>
      <c r="AZ61" s="2" t="s">
        <v>930</v>
      </c>
      <c r="BA61" s="2" t="s">
        <v>931</v>
      </c>
      <c r="BB61" s="2" t="s">
        <v>79</v>
      </c>
      <c r="BD61" s="2" t="s">
        <v>932</v>
      </c>
      <c r="BE61" s="2" t="s">
        <v>933</v>
      </c>
      <c r="BF61" s="2" t="s">
        <v>934</v>
      </c>
    </row>
    <row r="62" spans="1:58" ht="39.75" customHeight="1">
      <c r="A62" s="1"/>
      <c r="B62" s="1" t="s">
        <v>58</v>
      </c>
      <c r="C62" s="1" t="s">
        <v>59</v>
      </c>
      <c r="D62" s="1" t="s">
        <v>935</v>
      </c>
      <c r="E62" s="1" t="s">
        <v>936</v>
      </c>
      <c r="F62" s="1" t="s">
        <v>937</v>
      </c>
      <c r="H62" s="2" t="s">
        <v>63</v>
      </c>
      <c r="I62" s="2" t="s">
        <v>64</v>
      </c>
      <c r="J62" s="2" t="s">
        <v>63</v>
      </c>
      <c r="K62" s="2" t="s">
        <v>63</v>
      </c>
      <c r="L62" s="2" t="s">
        <v>65</v>
      </c>
      <c r="M62" s="1" t="s">
        <v>938</v>
      </c>
      <c r="N62" s="1" t="s">
        <v>939</v>
      </c>
      <c r="O62" s="2" t="s">
        <v>121</v>
      </c>
      <c r="Q62" s="2" t="s">
        <v>68</v>
      </c>
      <c r="R62" s="2" t="s">
        <v>181</v>
      </c>
      <c r="S62" s="1" t="s">
        <v>940</v>
      </c>
      <c r="T62" s="2" t="s">
        <v>71</v>
      </c>
      <c r="U62" s="3">
        <v>4</v>
      </c>
      <c r="V62" s="3">
        <v>4</v>
      </c>
      <c r="W62" s="4" t="s">
        <v>941</v>
      </c>
      <c r="X62" s="4" t="s">
        <v>941</v>
      </c>
      <c r="Y62" s="4" t="s">
        <v>503</v>
      </c>
      <c r="Z62" s="4" t="s">
        <v>503</v>
      </c>
      <c r="AA62" s="3">
        <v>65</v>
      </c>
      <c r="AB62" s="3">
        <v>51</v>
      </c>
      <c r="AC62" s="3">
        <v>52</v>
      </c>
      <c r="AD62" s="3">
        <v>1</v>
      </c>
      <c r="AE62" s="3">
        <v>1</v>
      </c>
      <c r="AF62" s="3">
        <v>2</v>
      </c>
      <c r="AG62" s="3">
        <v>2</v>
      </c>
      <c r="AH62" s="3">
        <v>0</v>
      </c>
      <c r="AI62" s="3">
        <v>0</v>
      </c>
      <c r="AJ62" s="3">
        <v>2</v>
      </c>
      <c r="AK62" s="3">
        <v>2</v>
      </c>
      <c r="AL62" s="3">
        <v>1</v>
      </c>
      <c r="AM62" s="3">
        <v>1</v>
      </c>
      <c r="AN62" s="3">
        <v>0</v>
      </c>
      <c r="AO62" s="3">
        <v>0</v>
      </c>
      <c r="AP62" s="3">
        <v>0</v>
      </c>
      <c r="AQ62" s="3">
        <v>0</v>
      </c>
      <c r="AR62" s="2" t="s">
        <v>63</v>
      </c>
      <c r="AS62" s="2" t="s">
        <v>74</v>
      </c>
      <c r="AT62" s="5" t="str">
        <f>HYPERLINK("http://catalog.hathitrust.org/Record/000255371","HathiTrust Record")</f>
        <v>HathiTrust Record</v>
      </c>
      <c r="AU62" s="5" t="str">
        <f>HYPERLINK("https://creighton-primo.hosted.exlibrisgroup.com/primo-explore/search?tab=default_tab&amp;search_scope=EVERYTHING&amp;vid=01CRU&amp;lang=en_US&amp;offset=0&amp;query=any,contains,991004645259702656","Catalog Record")</f>
        <v>Catalog Record</v>
      </c>
      <c r="AV62" s="5" t="str">
        <f>HYPERLINK("http://www.worldcat.org/oclc/4491104","WorldCat Record")</f>
        <v>WorldCat Record</v>
      </c>
      <c r="AW62" s="2" t="s">
        <v>942</v>
      </c>
      <c r="AX62" s="2" t="s">
        <v>943</v>
      </c>
      <c r="AY62" s="2" t="s">
        <v>944</v>
      </c>
      <c r="AZ62" s="2" t="s">
        <v>944</v>
      </c>
      <c r="BA62" s="2" t="s">
        <v>945</v>
      </c>
      <c r="BB62" s="2" t="s">
        <v>79</v>
      </c>
      <c r="BE62" s="2" t="s">
        <v>946</v>
      </c>
      <c r="BF62" s="2" t="s">
        <v>947</v>
      </c>
    </row>
    <row r="63" spans="1:58" ht="39.75" customHeight="1">
      <c r="A63" s="1"/>
      <c r="B63" s="1" t="s">
        <v>58</v>
      </c>
      <c r="C63" s="1" t="s">
        <v>59</v>
      </c>
      <c r="D63" s="1" t="s">
        <v>948</v>
      </c>
      <c r="E63" s="1" t="s">
        <v>949</v>
      </c>
      <c r="F63" s="1" t="s">
        <v>950</v>
      </c>
      <c r="H63" s="2" t="s">
        <v>63</v>
      </c>
      <c r="I63" s="2" t="s">
        <v>64</v>
      </c>
      <c r="J63" s="2" t="s">
        <v>63</v>
      </c>
      <c r="K63" s="2" t="s">
        <v>63</v>
      </c>
      <c r="L63" s="2" t="s">
        <v>65</v>
      </c>
      <c r="N63" s="1" t="s">
        <v>951</v>
      </c>
      <c r="O63" s="2" t="s">
        <v>166</v>
      </c>
      <c r="Q63" s="2" t="s">
        <v>68</v>
      </c>
      <c r="R63" s="2" t="s">
        <v>583</v>
      </c>
      <c r="S63" s="1" t="s">
        <v>952</v>
      </c>
      <c r="T63" s="2" t="s">
        <v>71</v>
      </c>
      <c r="U63" s="3">
        <v>2</v>
      </c>
      <c r="V63" s="3">
        <v>2</v>
      </c>
      <c r="W63" s="4" t="s">
        <v>953</v>
      </c>
      <c r="X63" s="4" t="s">
        <v>953</v>
      </c>
      <c r="Y63" s="4" t="s">
        <v>954</v>
      </c>
      <c r="Z63" s="4" t="s">
        <v>954</v>
      </c>
      <c r="AA63" s="3">
        <v>174</v>
      </c>
      <c r="AB63" s="3">
        <v>134</v>
      </c>
      <c r="AC63" s="3">
        <v>136</v>
      </c>
      <c r="AD63" s="3">
        <v>1</v>
      </c>
      <c r="AE63" s="3">
        <v>1</v>
      </c>
      <c r="AF63" s="3">
        <v>3</v>
      </c>
      <c r="AG63" s="3">
        <v>3</v>
      </c>
      <c r="AH63" s="3">
        <v>1</v>
      </c>
      <c r="AI63" s="3">
        <v>1</v>
      </c>
      <c r="AJ63" s="3">
        <v>1</v>
      </c>
      <c r="AK63" s="3">
        <v>1</v>
      </c>
      <c r="AL63" s="3">
        <v>2</v>
      </c>
      <c r="AM63" s="3">
        <v>2</v>
      </c>
      <c r="AN63" s="3">
        <v>0</v>
      </c>
      <c r="AO63" s="3">
        <v>0</v>
      </c>
      <c r="AP63" s="3">
        <v>0</v>
      </c>
      <c r="AQ63" s="3">
        <v>0</v>
      </c>
      <c r="AR63" s="2" t="s">
        <v>63</v>
      </c>
      <c r="AS63" s="2" t="s">
        <v>74</v>
      </c>
      <c r="AT63" s="5" t="str">
        <f>HYPERLINK("http://catalog.hathitrust.org/Record/001825094","HathiTrust Record")</f>
        <v>HathiTrust Record</v>
      </c>
      <c r="AU63" s="5" t="str">
        <f>HYPERLINK("https://creighton-primo.hosted.exlibrisgroup.com/primo-explore/search?tab=default_tab&amp;search_scope=EVERYTHING&amp;vid=01CRU&amp;lang=en_US&amp;offset=0&amp;query=any,contains,991001419919702656","Catalog Record")</f>
        <v>Catalog Record</v>
      </c>
      <c r="AV63" s="5" t="str">
        <f>HYPERLINK("http://www.worldcat.org/oclc/18962716","WorldCat Record")</f>
        <v>WorldCat Record</v>
      </c>
      <c r="AW63" s="2" t="s">
        <v>955</v>
      </c>
      <c r="AX63" s="2" t="s">
        <v>956</v>
      </c>
      <c r="AY63" s="2" t="s">
        <v>957</v>
      </c>
      <c r="AZ63" s="2" t="s">
        <v>957</v>
      </c>
      <c r="BA63" s="2" t="s">
        <v>958</v>
      </c>
      <c r="BB63" s="2" t="s">
        <v>79</v>
      </c>
      <c r="BD63" s="2" t="s">
        <v>959</v>
      </c>
      <c r="BE63" s="2" t="s">
        <v>960</v>
      </c>
      <c r="BF63" s="2" t="s">
        <v>961</v>
      </c>
    </row>
    <row r="64" spans="1:58" ht="39.75" customHeight="1">
      <c r="A64" s="1"/>
      <c r="B64" s="1" t="s">
        <v>58</v>
      </c>
      <c r="C64" s="1" t="s">
        <v>59</v>
      </c>
      <c r="D64" s="1" t="s">
        <v>962</v>
      </c>
      <c r="E64" s="1" t="s">
        <v>963</v>
      </c>
      <c r="F64" s="1" t="s">
        <v>964</v>
      </c>
      <c r="H64" s="2" t="s">
        <v>63</v>
      </c>
      <c r="I64" s="2" t="s">
        <v>64</v>
      </c>
      <c r="J64" s="2" t="s">
        <v>63</v>
      </c>
      <c r="K64" s="2" t="s">
        <v>63</v>
      </c>
      <c r="L64" s="2" t="s">
        <v>65</v>
      </c>
      <c r="M64" s="1" t="s">
        <v>965</v>
      </c>
      <c r="N64" s="1" t="s">
        <v>966</v>
      </c>
      <c r="O64" s="2" t="s">
        <v>330</v>
      </c>
      <c r="Q64" s="2" t="s">
        <v>68</v>
      </c>
      <c r="R64" s="2" t="s">
        <v>167</v>
      </c>
      <c r="S64" s="1" t="s">
        <v>967</v>
      </c>
      <c r="T64" s="2" t="s">
        <v>71</v>
      </c>
      <c r="U64" s="3">
        <v>3</v>
      </c>
      <c r="V64" s="3">
        <v>3</v>
      </c>
      <c r="W64" s="4" t="s">
        <v>941</v>
      </c>
      <c r="X64" s="4" t="s">
        <v>941</v>
      </c>
      <c r="Y64" s="4" t="s">
        <v>643</v>
      </c>
      <c r="Z64" s="4" t="s">
        <v>643</v>
      </c>
      <c r="AA64" s="3">
        <v>436</v>
      </c>
      <c r="AB64" s="3">
        <v>336</v>
      </c>
      <c r="AC64" s="3">
        <v>361</v>
      </c>
      <c r="AD64" s="3">
        <v>3</v>
      </c>
      <c r="AE64" s="3">
        <v>3</v>
      </c>
      <c r="AF64" s="3">
        <v>11</v>
      </c>
      <c r="AG64" s="3">
        <v>13</v>
      </c>
      <c r="AH64" s="3">
        <v>1</v>
      </c>
      <c r="AI64" s="3">
        <v>3</v>
      </c>
      <c r="AJ64" s="3">
        <v>3</v>
      </c>
      <c r="AK64" s="3">
        <v>3</v>
      </c>
      <c r="AL64" s="3">
        <v>8</v>
      </c>
      <c r="AM64" s="3">
        <v>9</v>
      </c>
      <c r="AN64" s="3">
        <v>2</v>
      </c>
      <c r="AO64" s="3">
        <v>2</v>
      </c>
      <c r="AP64" s="3">
        <v>0</v>
      </c>
      <c r="AQ64" s="3">
        <v>0</v>
      </c>
      <c r="AR64" s="2" t="s">
        <v>63</v>
      </c>
      <c r="AS64" s="2" t="s">
        <v>63</v>
      </c>
      <c r="AU64" s="5" t="str">
        <f>HYPERLINK("https://creighton-primo.hosted.exlibrisgroup.com/primo-explore/search?tab=default_tab&amp;search_scope=EVERYTHING&amp;vid=01CRU&amp;lang=en_US&amp;offset=0&amp;query=any,contains,991002506609702656","Catalog Record")</f>
        <v>Catalog Record</v>
      </c>
      <c r="AV64" s="5" t="str">
        <f>HYPERLINK("http://www.worldcat.org/oclc/364696","WorldCat Record")</f>
        <v>WorldCat Record</v>
      </c>
      <c r="AW64" s="2" t="s">
        <v>968</v>
      </c>
      <c r="AX64" s="2" t="s">
        <v>969</v>
      </c>
      <c r="AY64" s="2" t="s">
        <v>970</v>
      </c>
      <c r="AZ64" s="2" t="s">
        <v>970</v>
      </c>
      <c r="BA64" s="2" t="s">
        <v>971</v>
      </c>
      <c r="BB64" s="2" t="s">
        <v>79</v>
      </c>
      <c r="BE64" s="2" t="s">
        <v>972</v>
      </c>
      <c r="BF64" s="2" t="s">
        <v>973</v>
      </c>
    </row>
    <row r="65" spans="1:58" ht="39.75" customHeight="1">
      <c r="A65" s="1"/>
      <c r="B65" s="1" t="s">
        <v>58</v>
      </c>
      <c r="C65" s="1" t="s">
        <v>59</v>
      </c>
      <c r="D65" s="1" t="s">
        <v>974</v>
      </c>
      <c r="E65" s="1" t="s">
        <v>975</v>
      </c>
      <c r="F65" s="1" t="s">
        <v>976</v>
      </c>
      <c r="H65" s="2" t="s">
        <v>63</v>
      </c>
      <c r="I65" s="2" t="s">
        <v>64</v>
      </c>
      <c r="J65" s="2" t="s">
        <v>63</v>
      </c>
      <c r="K65" s="2" t="s">
        <v>63</v>
      </c>
      <c r="L65" s="2" t="s">
        <v>65</v>
      </c>
      <c r="N65" s="1" t="s">
        <v>977</v>
      </c>
      <c r="O65" s="2" t="s">
        <v>978</v>
      </c>
      <c r="Q65" s="2" t="s">
        <v>68</v>
      </c>
      <c r="R65" s="2" t="s">
        <v>979</v>
      </c>
      <c r="S65" s="1" t="s">
        <v>980</v>
      </c>
      <c r="T65" s="2" t="s">
        <v>71</v>
      </c>
      <c r="U65" s="3">
        <v>2</v>
      </c>
      <c r="V65" s="3">
        <v>2</v>
      </c>
      <c r="W65" s="4" t="s">
        <v>981</v>
      </c>
      <c r="X65" s="4" t="s">
        <v>981</v>
      </c>
      <c r="Y65" s="4" t="s">
        <v>982</v>
      </c>
      <c r="Z65" s="4" t="s">
        <v>982</v>
      </c>
      <c r="AA65" s="3">
        <v>113</v>
      </c>
      <c r="AB65" s="3">
        <v>39</v>
      </c>
      <c r="AC65" s="3">
        <v>39</v>
      </c>
      <c r="AD65" s="3">
        <v>1</v>
      </c>
      <c r="AE65" s="3">
        <v>1</v>
      </c>
      <c r="AF65" s="3">
        <v>1</v>
      </c>
      <c r="AG65" s="3">
        <v>1</v>
      </c>
      <c r="AH65" s="3">
        <v>0</v>
      </c>
      <c r="AI65" s="3">
        <v>0</v>
      </c>
      <c r="AJ65" s="3">
        <v>1</v>
      </c>
      <c r="AK65" s="3">
        <v>1</v>
      </c>
      <c r="AL65" s="3">
        <v>0</v>
      </c>
      <c r="AM65" s="3">
        <v>0</v>
      </c>
      <c r="AN65" s="3">
        <v>0</v>
      </c>
      <c r="AO65" s="3">
        <v>0</v>
      </c>
      <c r="AP65" s="3">
        <v>0</v>
      </c>
      <c r="AQ65" s="3">
        <v>0</v>
      </c>
      <c r="AR65" s="2" t="s">
        <v>63</v>
      </c>
      <c r="AS65" s="2" t="s">
        <v>63</v>
      </c>
      <c r="AU65" s="5" t="str">
        <f>HYPERLINK("https://creighton-primo.hosted.exlibrisgroup.com/primo-explore/search?tab=default_tab&amp;search_scope=EVERYTHING&amp;vid=01CRU&amp;lang=en_US&amp;offset=0&amp;query=any,contains,991002742219702656","Catalog Record")</f>
        <v>Catalog Record</v>
      </c>
      <c r="AV65" s="5" t="str">
        <f>HYPERLINK("http://www.worldcat.org/oclc/36008612","WorldCat Record")</f>
        <v>WorldCat Record</v>
      </c>
      <c r="AW65" s="2" t="s">
        <v>983</v>
      </c>
      <c r="AX65" s="2" t="s">
        <v>984</v>
      </c>
      <c r="AY65" s="2" t="s">
        <v>985</v>
      </c>
      <c r="AZ65" s="2" t="s">
        <v>985</v>
      </c>
      <c r="BA65" s="2" t="s">
        <v>986</v>
      </c>
      <c r="BB65" s="2" t="s">
        <v>79</v>
      </c>
      <c r="BD65" s="2" t="s">
        <v>987</v>
      </c>
      <c r="BE65" s="2" t="s">
        <v>988</v>
      </c>
      <c r="BF65" s="2" t="s">
        <v>989</v>
      </c>
    </row>
    <row r="66" spans="1:58" ht="39.75" customHeight="1">
      <c r="A66" s="1"/>
      <c r="B66" s="1" t="s">
        <v>58</v>
      </c>
      <c r="C66" s="1" t="s">
        <v>59</v>
      </c>
      <c r="D66" s="1" t="s">
        <v>990</v>
      </c>
      <c r="E66" s="1" t="s">
        <v>991</v>
      </c>
      <c r="F66" s="1" t="s">
        <v>992</v>
      </c>
      <c r="H66" s="2" t="s">
        <v>63</v>
      </c>
      <c r="I66" s="2" t="s">
        <v>64</v>
      </c>
      <c r="J66" s="2" t="s">
        <v>63</v>
      </c>
      <c r="K66" s="2" t="s">
        <v>63</v>
      </c>
      <c r="L66" s="2" t="s">
        <v>65</v>
      </c>
      <c r="M66" s="1" t="s">
        <v>993</v>
      </c>
      <c r="N66" s="1" t="s">
        <v>994</v>
      </c>
      <c r="O66" s="2" t="s">
        <v>641</v>
      </c>
      <c r="Q66" s="2" t="s">
        <v>68</v>
      </c>
      <c r="R66" s="2" t="s">
        <v>979</v>
      </c>
      <c r="S66" s="1" t="s">
        <v>995</v>
      </c>
      <c r="T66" s="2" t="s">
        <v>71</v>
      </c>
      <c r="U66" s="3">
        <v>6</v>
      </c>
      <c r="V66" s="3">
        <v>6</v>
      </c>
      <c r="W66" s="4" t="s">
        <v>996</v>
      </c>
      <c r="X66" s="4" t="s">
        <v>996</v>
      </c>
      <c r="Y66" s="4" t="s">
        <v>643</v>
      </c>
      <c r="Z66" s="4" t="s">
        <v>643</v>
      </c>
      <c r="AA66" s="3">
        <v>128</v>
      </c>
      <c r="AB66" s="3">
        <v>42</v>
      </c>
      <c r="AC66" s="3">
        <v>43</v>
      </c>
      <c r="AD66" s="3">
        <v>1</v>
      </c>
      <c r="AE66" s="3">
        <v>1</v>
      </c>
      <c r="AF66" s="3">
        <v>0</v>
      </c>
      <c r="AG66" s="3">
        <v>0</v>
      </c>
      <c r="AH66" s="3">
        <v>0</v>
      </c>
      <c r="AI66" s="3">
        <v>0</v>
      </c>
      <c r="AJ66" s="3">
        <v>0</v>
      </c>
      <c r="AK66" s="3">
        <v>0</v>
      </c>
      <c r="AL66" s="3">
        <v>0</v>
      </c>
      <c r="AM66" s="3">
        <v>0</v>
      </c>
      <c r="AN66" s="3">
        <v>0</v>
      </c>
      <c r="AO66" s="3">
        <v>0</v>
      </c>
      <c r="AP66" s="3">
        <v>0</v>
      </c>
      <c r="AQ66" s="3">
        <v>0</v>
      </c>
      <c r="AR66" s="2" t="s">
        <v>63</v>
      </c>
      <c r="AS66" s="2" t="s">
        <v>74</v>
      </c>
      <c r="AT66" s="5" t="str">
        <f>HYPERLINK("http://catalog.hathitrust.org/Record/000231544","HathiTrust Record")</f>
        <v>HathiTrust Record</v>
      </c>
      <c r="AU66" s="5" t="str">
        <f>HYPERLINK("https://creighton-primo.hosted.exlibrisgroup.com/primo-explore/search?tab=default_tab&amp;search_scope=EVERYTHING&amp;vid=01CRU&amp;lang=en_US&amp;offset=0&amp;query=any,contains,991005220639702656","Catalog Record")</f>
        <v>Catalog Record</v>
      </c>
      <c r="AV66" s="5" t="str">
        <f>HYPERLINK("http://www.worldcat.org/oclc/13002765","WorldCat Record")</f>
        <v>WorldCat Record</v>
      </c>
      <c r="AW66" s="2" t="s">
        <v>997</v>
      </c>
      <c r="AX66" s="2" t="s">
        <v>998</v>
      </c>
      <c r="AY66" s="2" t="s">
        <v>999</v>
      </c>
      <c r="AZ66" s="2" t="s">
        <v>999</v>
      </c>
      <c r="BA66" s="2" t="s">
        <v>1000</v>
      </c>
      <c r="BB66" s="2" t="s">
        <v>79</v>
      </c>
      <c r="BD66" s="2" t="s">
        <v>1001</v>
      </c>
      <c r="BE66" s="2" t="s">
        <v>1002</v>
      </c>
      <c r="BF66" s="2" t="s">
        <v>1003</v>
      </c>
    </row>
    <row r="67" spans="1:58" ht="39.75" customHeight="1">
      <c r="A67" s="1"/>
      <c r="B67" s="1" t="s">
        <v>58</v>
      </c>
      <c r="C67" s="1" t="s">
        <v>59</v>
      </c>
      <c r="D67" s="1" t="s">
        <v>1004</v>
      </c>
      <c r="E67" s="1" t="s">
        <v>1005</v>
      </c>
      <c r="F67" s="1" t="s">
        <v>1006</v>
      </c>
      <c r="H67" s="2" t="s">
        <v>63</v>
      </c>
      <c r="I67" s="2" t="s">
        <v>64</v>
      </c>
      <c r="J67" s="2" t="s">
        <v>63</v>
      </c>
      <c r="K67" s="2" t="s">
        <v>63</v>
      </c>
      <c r="L67" s="2" t="s">
        <v>65</v>
      </c>
      <c r="M67" s="1" t="s">
        <v>1007</v>
      </c>
      <c r="N67" s="1" t="s">
        <v>1008</v>
      </c>
      <c r="O67" s="2" t="s">
        <v>88</v>
      </c>
      <c r="Q67" s="2" t="s">
        <v>68</v>
      </c>
      <c r="R67" s="2" t="s">
        <v>106</v>
      </c>
      <c r="T67" s="2" t="s">
        <v>71</v>
      </c>
      <c r="U67" s="3">
        <v>10</v>
      </c>
      <c r="V67" s="3">
        <v>10</v>
      </c>
      <c r="W67" s="4" t="s">
        <v>885</v>
      </c>
      <c r="X67" s="4" t="s">
        <v>885</v>
      </c>
      <c r="Y67" s="4" t="s">
        <v>347</v>
      </c>
      <c r="Z67" s="4" t="s">
        <v>347</v>
      </c>
      <c r="AA67" s="3">
        <v>203</v>
      </c>
      <c r="AB67" s="3">
        <v>178</v>
      </c>
      <c r="AC67" s="3">
        <v>189</v>
      </c>
      <c r="AD67" s="3">
        <v>1</v>
      </c>
      <c r="AE67" s="3">
        <v>1</v>
      </c>
      <c r="AF67" s="3">
        <v>3</v>
      </c>
      <c r="AG67" s="3">
        <v>3</v>
      </c>
      <c r="AH67" s="3">
        <v>0</v>
      </c>
      <c r="AI67" s="3">
        <v>0</v>
      </c>
      <c r="AJ67" s="3">
        <v>0</v>
      </c>
      <c r="AK67" s="3">
        <v>0</v>
      </c>
      <c r="AL67" s="3">
        <v>2</v>
      </c>
      <c r="AM67" s="3">
        <v>2</v>
      </c>
      <c r="AN67" s="3">
        <v>0</v>
      </c>
      <c r="AO67" s="3">
        <v>0</v>
      </c>
      <c r="AP67" s="3">
        <v>1</v>
      </c>
      <c r="AQ67" s="3">
        <v>1</v>
      </c>
      <c r="AR67" s="2" t="s">
        <v>63</v>
      </c>
      <c r="AS67" s="2" t="s">
        <v>63</v>
      </c>
      <c r="AU67" s="5" t="str">
        <f>HYPERLINK("https://creighton-primo.hosted.exlibrisgroup.com/primo-explore/search?tab=default_tab&amp;search_scope=EVERYTHING&amp;vid=01CRU&amp;lang=en_US&amp;offset=0&amp;query=any,contains,991004936069702656","Catalog Record")</f>
        <v>Catalog Record</v>
      </c>
      <c r="AV67" s="5" t="str">
        <f>HYPERLINK("http://www.worldcat.org/oclc/6143050","WorldCat Record")</f>
        <v>WorldCat Record</v>
      </c>
      <c r="AW67" s="2" t="s">
        <v>1009</v>
      </c>
      <c r="AX67" s="2" t="s">
        <v>1010</v>
      </c>
      <c r="AY67" s="2" t="s">
        <v>1011</v>
      </c>
      <c r="AZ67" s="2" t="s">
        <v>1011</v>
      </c>
      <c r="BA67" s="2" t="s">
        <v>1012</v>
      </c>
      <c r="BB67" s="2" t="s">
        <v>79</v>
      </c>
      <c r="BD67" s="2" t="s">
        <v>1013</v>
      </c>
      <c r="BE67" s="2" t="s">
        <v>1014</v>
      </c>
      <c r="BF67" s="2" t="s">
        <v>1015</v>
      </c>
    </row>
    <row r="68" spans="1:58" ht="39.75" customHeight="1">
      <c r="A68" s="1"/>
      <c r="B68" s="1" t="s">
        <v>58</v>
      </c>
      <c r="C68" s="1" t="s">
        <v>59</v>
      </c>
      <c r="D68" s="1" t="s">
        <v>1016</v>
      </c>
      <c r="E68" s="1" t="s">
        <v>1017</v>
      </c>
      <c r="F68" s="1" t="s">
        <v>1018</v>
      </c>
      <c r="H68" s="2" t="s">
        <v>63</v>
      </c>
      <c r="I68" s="2" t="s">
        <v>64</v>
      </c>
      <c r="J68" s="2" t="s">
        <v>63</v>
      </c>
      <c r="K68" s="2" t="s">
        <v>63</v>
      </c>
      <c r="L68" s="2" t="s">
        <v>65</v>
      </c>
      <c r="M68" s="1" t="s">
        <v>1019</v>
      </c>
      <c r="N68" s="1" t="s">
        <v>1020</v>
      </c>
      <c r="O68" s="2" t="s">
        <v>209</v>
      </c>
      <c r="Q68" s="2" t="s">
        <v>68</v>
      </c>
      <c r="R68" s="2" t="s">
        <v>385</v>
      </c>
      <c r="T68" s="2" t="s">
        <v>71</v>
      </c>
      <c r="U68" s="3">
        <v>6</v>
      </c>
      <c r="V68" s="3">
        <v>6</v>
      </c>
      <c r="W68" s="4" t="s">
        <v>1021</v>
      </c>
      <c r="X68" s="4" t="s">
        <v>1021</v>
      </c>
      <c r="Y68" s="4" t="s">
        <v>1022</v>
      </c>
      <c r="Z68" s="4" t="s">
        <v>1022</v>
      </c>
      <c r="AA68" s="3">
        <v>491</v>
      </c>
      <c r="AB68" s="3">
        <v>459</v>
      </c>
      <c r="AC68" s="3">
        <v>465</v>
      </c>
      <c r="AD68" s="3">
        <v>5</v>
      </c>
      <c r="AE68" s="3">
        <v>5</v>
      </c>
      <c r="AF68" s="3">
        <v>21</v>
      </c>
      <c r="AG68" s="3">
        <v>21</v>
      </c>
      <c r="AH68" s="3">
        <v>3</v>
      </c>
      <c r="AI68" s="3">
        <v>3</v>
      </c>
      <c r="AJ68" s="3">
        <v>5</v>
      </c>
      <c r="AK68" s="3">
        <v>5</v>
      </c>
      <c r="AL68" s="3">
        <v>6</v>
      </c>
      <c r="AM68" s="3">
        <v>6</v>
      </c>
      <c r="AN68" s="3">
        <v>2</v>
      </c>
      <c r="AO68" s="3">
        <v>2</v>
      </c>
      <c r="AP68" s="3">
        <v>9</v>
      </c>
      <c r="AQ68" s="3">
        <v>9</v>
      </c>
      <c r="AR68" s="2" t="s">
        <v>63</v>
      </c>
      <c r="AS68" s="2" t="s">
        <v>74</v>
      </c>
      <c r="AT68" s="5" t="str">
        <f>HYPERLINK("http://catalog.hathitrust.org/Record/000784738","HathiTrust Record")</f>
        <v>HathiTrust Record</v>
      </c>
      <c r="AU68" s="5" t="str">
        <f>HYPERLINK("https://creighton-primo.hosted.exlibrisgroup.com/primo-explore/search?tab=default_tab&amp;search_scope=EVERYTHING&amp;vid=01CRU&amp;lang=en_US&amp;offset=0&amp;query=any,contains,991000225979702656","Catalog Record")</f>
        <v>Catalog Record</v>
      </c>
      <c r="AV68" s="5" t="str">
        <f>HYPERLINK("http://www.worldcat.org/oclc/9619935","WorldCat Record")</f>
        <v>WorldCat Record</v>
      </c>
      <c r="AW68" s="2" t="s">
        <v>1023</v>
      </c>
      <c r="AX68" s="2" t="s">
        <v>1024</v>
      </c>
      <c r="AY68" s="2" t="s">
        <v>1025</v>
      </c>
      <c r="AZ68" s="2" t="s">
        <v>1025</v>
      </c>
      <c r="BA68" s="2" t="s">
        <v>1026</v>
      </c>
      <c r="BB68" s="2" t="s">
        <v>79</v>
      </c>
      <c r="BD68" s="2" t="s">
        <v>1027</v>
      </c>
      <c r="BE68" s="2" t="s">
        <v>1028</v>
      </c>
      <c r="BF68" s="2" t="s">
        <v>1029</v>
      </c>
    </row>
    <row r="69" spans="1:58" ht="39.75" customHeight="1">
      <c r="A69" s="1"/>
      <c r="B69" s="1" t="s">
        <v>58</v>
      </c>
      <c r="C69" s="1" t="s">
        <v>59</v>
      </c>
      <c r="D69" s="1" t="s">
        <v>1030</v>
      </c>
      <c r="E69" s="1" t="s">
        <v>1031</v>
      </c>
      <c r="F69" s="1" t="s">
        <v>1032</v>
      </c>
      <c r="H69" s="2" t="s">
        <v>63</v>
      </c>
      <c r="I69" s="2" t="s">
        <v>64</v>
      </c>
      <c r="J69" s="2" t="s">
        <v>63</v>
      </c>
      <c r="K69" s="2" t="s">
        <v>63</v>
      </c>
      <c r="L69" s="2" t="s">
        <v>65</v>
      </c>
      <c r="M69" s="1" t="s">
        <v>1033</v>
      </c>
      <c r="N69" s="1" t="s">
        <v>1034</v>
      </c>
      <c r="O69" s="2" t="s">
        <v>670</v>
      </c>
      <c r="Q69" s="2" t="s">
        <v>68</v>
      </c>
      <c r="R69" s="2" t="s">
        <v>399</v>
      </c>
      <c r="T69" s="2" t="s">
        <v>71</v>
      </c>
      <c r="U69" s="3">
        <v>12</v>
      </c>
      <c r="V69" s="3">
        <v>12</v>
      </c>
      <c r="W69" s="4" t="s">
        <v>899</v>
      </c>
      <c r="X69" s="4" t="s">
        <v>899</v>
      </c>
      <c r="Y69" s="4" t="s">
        <v>1035</v>
      </c>
      <c r="Z69" s="4" t="s">
        <v>1035</v>
      </c>
      <c r="AA69" s="3">
        <v>324</v>
      </c>
      <c r="AB69" s="3">
        <v>304</v>
      </c>
      <c r="AC69" s="3">
        <v>533</v>
      </c>
      <c r="AD69" s="3">
        <v>1</v>
      </c>
      <c r="AE69" s="3">
        <v>2</v>
      </c>
      <c r="AF69" s="3">
        <v>14</v>
      </c>
      <c r="AG69" s="3">
        <v>24</v>
      </c>
      <c r="AH69" s="3">
        <v>2</v>
      </c>
      <c r="AI69" s="3">
        <v>9</v>
      </c>
      <c r="AJ69" s="3">
        <v>4</v>
      </c>
      <c r="AK69" s="3">
        <v>7</v>
      </c>
      <c r="AL69" s="3">
        <v>9</v>
      </c>
      <c r="AM69" s="3">
        <v>12</v>
      </c>
      <c r="AN69" s="3">
        <v>0</v>
      </c>
      <c r="AO69" s="3">
        <v>1</v>
      </c>
      <c r="AP69" s="3">
        <v>3</v>
      </c>
      <c r="AQ69" s="3">
        <v>3</v>
      </c>
      <c r="AR69" s="2" t="s">
        <v>63</v>
      </c>
      <c r="AS69" s="2" t="s">
        <v>74</v>
      </c>
      <c r="AT69" s="5" t="str">
        <f>HYPERLINK("http://catalog.hathitrust.org/Record/003080991","HathiTrust Record")</f>
        <v>HathiTrust Record</v>
      </c>
      <c r="AU69" s="5" t="str">
        <f>HYPERLINK("https://creighton-primo.hosted.exlibrisgroup.com/primo-explore/search?tab=default_tab&amp;search_scope=EVERYTHING&amp;vid=01CRU&amp;lang=en_US&amp;offset=0&amp;query=any,contains,991002579759702656","Catalog Record")</f>
        <v>Catalog Record</v>
      </c>
      <c r="AV69" s="5" t="str">
        <f>HYPERLINK("http://www.worldcat.org/oclc/33817647","WorldCat Record")</f>
        <v>WorldCat Record</v>
      </c>
      <c r="AW69" s="2" t="s">
        <v>1036</v>
      </c>
      <c r="AX69" s="2" t="s">
        <v>1037</v>
      </c>
      <c r="AY69" s="2" t="s">
        <v>1038</v>
      </c>
      <c r="AZ69" s="2" t="s">
        <v>1038</v>
      </c>
      <c r="BA69" s="2" t="s">
        <v>1039</v>
      </c>
      <c r="BB69" s="2" t="s">
        <v>79</v>
      </c>
      <c r="BD69" s="2" t="s">
        <v>1040</v>
      </c>
      <c r="BE69" s="2" t="s">
        <v>1041</v>
      </c>
      <c r="BF69" s="2" t="s">
        <v>1042</v>
      </c>
    </row>
    <row r="70" spans="1:58" ht="39.75" customHeight="1">
      <c r="A70" s="1"/>
      <c r="B70" s="1" t="s">
        <v>58</v>
      </c>
      <c r="C70" s="1" t="s">
        <v>59</v>
      </c>
      <c r="D70" s="1" t="s">
        <v>1043</v>
      </c>
      <c r="E70" s="1" t="s">
        <v>1044</v>
      </c>
      <c r="F70" s="1" t="s">
        <v>1045</v>
      </c>
      <c r="H70" s="2" t="s">
        <v>63</v>
      </c>
      <c r="I70" s="2" t="s">
        <v>64</v>
      </c>
      <c r="J70" s="2" t="s">
        <v>63</v>
      </c>
      <c r="K70" s="2" t="s">
        <v>63</v>
      </c>
      <c r="L70" s="2" t="s">
        <v>65</v>
      </c>
      <c r="M70" s="1" t="s">
        <v>1046</v>
      </c>
      <c r="N70" s="1" t="s">
        <v>1047</v>
      </c>
      <c r="O70" s="2" t="s">
        <v>1048</v>
      </c>
      <c r="Q70" s="2" t="s">
        <v>68</v>
      </c>
      <c r="R70" s="2" t="s">
        <v>500</v>
      </c>
      <c r="T70" s="2" t="s">
        <v>71</v>
      </c>
      <c r="U70" s="3">
        <v>1</v>
      </c>
      <c r="V70" s="3">
        <v>1</v>
      </c>
      <c r="W70" s="4" t="s">
        <v>1049</v>
      </c>
      <c r="X70" s="4" t="s">
        <v>1049</v>
      </c>
      <c r="Y70" s="4" t="s">
        <v>1049</v>
      </c>
      <c r="Z70" s="4" t="s">
        <v>1049</v>
      </c>
      <c r="AA70" s="3">
        <v>365</v>
      </c>
      <c r="AB70" s="3">
        <v>272</v>
      </c>
      <c r="AC70" s="3">
        <v>357</v>
      </c>
      <c r="AD70" s="3">
        <v>3</v>
      </c>
      <c r="AE70" s="3">
        <v>4</v>
      </c>
      <c r="AF70" s="3">
        <v>14</v>
      </c>
      <c r="AG70" s="3">
        <v>19</v>
      </c>
      <c r="AH70" s="3">
        <v>7</v>
      </c>
      <c r="AI70" s="3">
        <v>8</v>
      </c>
      <c r="AJ70" s="3">
        <v>2</v>
      </c>
      <c r="AK70" s="3">
        <v>4</v>
      </c>
      <c r="AL70" s="3">
        <v>5</v>
      </c>
      <c r="AM70" s="3">
        <v>6</v>
      </c>
      <c r="AN70" s="3">
        <v>2</v>
      </c>
      <c r="AO70" s="3">
        <v>3</v>
      </c>
      <c r="AP70" s="3">
        <v>0</v>
      </c>
      <c r="AQ70" s="3">
        <v>0</v>
      </c>
      <c r="AR70" s="2" t="s">
        <v>63</v>
      </c>
      <c r="AS70" s="2" t="s">
        <v>63</v>
      </c>
      <c r="AU70" s="5" t="str">
        <f>HYPERLINK("https://creighton-primo.hosted.exlibrisgroup.com/primo-explore/search?tab=default_tab&amp;search_scope=EVERYTHING&amp;vid=01CRU&amp;lang=en_US&amp;offset=0&amp;query=any,contains,991004479039702656","Catalog Record")</f>
        <v>Catalog Record</v>
      </c>
      <c r="AV70" s="5" t="str">
        <f>HYPERLINK("http://www.worldcat.org/oclc/45556119","WorldCat Record")</f>
        <v>WorldCat Record</v>
      </c>
      <c r="AW70" s="2" t="s">
        <v>1050</v>
      </c>
      <c r="AX70" s="2" t="s">
        <v>1051</v>
      </c>
      <c r="AY70" s="2" t="s">
        <v>1052</v>
      </c>
      <c r="AZ70" s="2" t="s">
        <v>1052</v>
      </c>
      <c r="BA70" s="2" t="s">
        <v>1053</v>
      </c>
      <c r="BB70" s="2" t="s">
        <v>79</v>
      </c>
      <c r="BD70" s="2" t="s">
        <v>1054</v>
      </c>
      <c r="BE70" s="2" t="s">
        <v>1055</v>
      </c>
      <c r="BF70" s="2" t="s">
        <v>1056</v>
      </c>
    </row>
    <row r="71" spans="1:58" ht="39.75" customHeight="1">
      <c r="A71" s="1"/>
      <c r="B71" s="1" t="s">
        <v>58</v>
      </c>
      <c r="C71" s="1" t="s">
        <v>59</v>
      </c>
      <c r="D71" s="1" t="s">
        <v>1057</v>
      </c>
      <c r="E71" s="1" t="s">
        <v>1058</v>
      </c>
      <c r="F71" s="1" t="s">
        <v>1059</v>
      </c>
      <c r="H71" s="2" t="s">
        <v>63</v>
      </c>
      <c r="I71" s="2" t="s">
        <v>64</v>
      </c>
      <c r="J71" s="2" t="s">
        <v>63</v>
      </c>
      <c r="K71" s="2" t="s">
        <v>63</v>
      </c>
      <c r="L71" s="2" t="s">
        <v>65</v>
      </c>
      <c r="M71" s="1" t="s">
        <v>1060</v>
      </c>
      <c r="N71" s="1" t="s">
        <v>1061</v>
      </c>
      <c r="O71" s="2" t="s">
        <v>627</v>
      </c>
      <c r="Q71" s="2" t="s">
        <v>68</v>
      </c>
      <c r="R71" s="2" t="s">
        <v>628</v>
      </c>
      <c r="T71" s="2" t="s">
        <v>71</v>
      </c>
      <c r="U71" s="3">
        <v>1</v>
      </c>
      <c r="V71" s="3">
        <v>1</v>
      </c>
      <c r="W71" s="4" t="s">
        <v>1062</v>
      </c>
      <c r="X71" s="4" t="s">
        <v>1062</v>
      </c>
      <c r="Y71" s="4" t="s">
        <v>1063</v>
      </c>
      <c r="Z71" s="4" t="s">
        <v>1063</v>
      </c>
      <c r="AA71" s="3">
        <v>214</v>
      </c>
      <c r="AB71" s="3">
        <v>180</v>
      </c>
      <c r="AC71" s="3">
        <v>181</v>
      </c>
      <c r="AD71" s="3">
        <v>2</v>
      </c>
      <c r="AE71" s="3">
        <v>2</v>
      </c>
      <c r="AF71" s="3">
        <v>11</v>
      </c>
      <c r="AG71" s="3">
        <v>11</v>
      </c>
      <c r="AH71" s="3">
        <v>3</v>
      </c>
      <c r="AI71" s="3">
        <v>3</v>
      </c>
      <c r="AJ71" s="3">
        <v>1</v>
      </c>
      <c r="AK71" s="3">
        <v>1</v>
      </c>
      <c r="AL71" s="3">
        <v>6</v>
      </c>
      <c r="AM71" s="3">
        <v>6</v>
      </c>
      <c r="AN71" s="3">
        <v>1</v>
      </c>
      <c r="AO71" s="3">
        <v>1</v>
      </c>
      <c r="AP71" s="3">
        <v>0</v>
      </c>
      <c r="AQ71" s="3">
        <v>0</v>
      </c>
      <c r="AR71" s="2" t="s">
        <v>63</v>
      </c>
      <c r="AS71" s="2" t="s">
        <v>63</v>
      </c>
      <c r="AU71" s="5" t="str">
        <f>HYPERLINK("https://creighton-primo.hosted.exlibrisgroup.com/primo-explore/search?tab=default_tab&amp;search_scope=EVERYTHING&amp;vid=01CRU&amp;lang=en_US&amp;offset=0&amp;query=any,contains,991003727279702656","Catalog Record")</f>
        <v>Catalog Record</v>
      </c>
      <c r="AV71" s="5" t="str">
        <f>HYPERLINK("http://www.worldcat.org/oclc/31903423","WorldCat Record")</f>
        <v>WorldCat Record</v>
      </c>
      <c r="AW71" s="2" t="s">
        <v>1064</v>
      </c>
      <c r="AX71" s="2" t="s">
        <v>1065</v>
      </c>
      <c r="AY71" s="2" t="s">
        <v>1066</v>
      </c>
      <c r="AZ71" s="2" t="s">
        <v>1066</v>
      </c>
      <c r="BA71" s="2" t="s">
        <v>1067</v>
      </c>
      <c r="BB71" s="2" t="s">
        <v>79</v>
      </c>
      <c r="BD71" s="2" t="s">
        <v>1068</v>
      </c>
      <c r="BE71" s="2" t="s">
        <v>1069</v>
      </c>
      <c r="BF71" s="2" t="s">
        <v>1070</v>
      </c>
    </row>
    <row r="72" spans="1:58" ht="39.75" customHeight="1">
      <c r="A72" s="1"/>
      <c r="B72" s="1" t="s">
        <v>58</v>
      </c>
      <c r="C72" s="1" t="s">
        <v>59</v>
      </c>
      <c r="D72" s="1" t="s">
        <v>1071</v>
      </c>
      <c r="E72" s="1" t="s">
        <v>1072</v>
      </c>
      <c r="F72" s="1" t="s">
        <v>1073</v>
      </c>
      <c r="H72" s="2" t="s">
        <v>63</v>
      </c>
      <c r="I72" s="2" t="s">
        <v>64</v>
      </c>
      <c r="J72" s="2" t="s">
        <v>63</v>
      </c>
      <c r="K72" s="2" t="s">
        <v>63</v>
      </c>
      <c r="L72" s="2" t="s">
        <v>65</v>
      </c>
      <c r="M72" s="1" t="s">
        <v>1074</v>
      </c>
      <c r="N72" s="1" t="s">
        <v>1075</v>
      </c>
      <c r="O72" s="2" t="s">
        <v>441</v>
      </c>
      <c r="Q72" s="2" t="s">
        <v>68</v>
      </c>
      <c r="R72" s="2" t="s">
        <v>195</v>
      </c>
      <c r="T72" s="2" t="s">
        <v>71</v>
      </c>
      <c r="U72" s="3">
        <v>2</v>
      </c>
      <c r="V72" s="3">
        <v>2</v>
      </c>
      <c r="W72" s="4" t="s">
        <v>1076</v>
      </c>
      <c r="X72" s="4" t="s">
        <v>1076</v>
      </c>
      <c r="Y72" s="4" t="s">
        <v>1077</v>
      </c>
      <c r="Z72" s="4" t="s">
        <v>1077</v>
      </c>
      <c r="AA72" s="3">
        <v>192</v>
      </c>
      <c r="AB72" s="3">
        <v>166</v>
      </c>
      <c r="AC72" s="3">
        <v>219</v>
      </c>
      <c r="AD72" s="3">
        <v>1</v>
      </c>
      <c r="AE72" s="3">
        <v>1</v>
      </c>
      <c r="AF72" s="3">
        <v>7</v>
      </c>
      <c r="AG72" s="3">
        <v>11</v>
      </c>
      <c r="AH72" s="3">
        <v>3</v>
      </c>
      <c r="AI72" s="3">
        <v>5</v>
      </c>
      <c r="AJ72" s="3">
        <v>2</v>
      </c>
      <c r="AK72" s="3">
        <v>3</v>
      </c>
      <c r="AL72" s="3">
        <v>4</v>
      </c>
      <c r="AM72" s="3">
        <v>5</v>
      </c>
      <c r="AN72" s="3">
        <v>0</v>
      </c>
      <c r="AO72" s="3">
        <v>0</v>
      </c>
      <c r="AP72" s="3">
        <v>0</v>
      </c>
      <c r="AQ72" s="3">
        <v>1</v>
      </c>
      <c r="AR72" s="2" t="s">
        <v>63</v>
      </c>
      <c r="AS72" s="2" t="s">
        <v>63</v>
      </c>
      <c r="AU72" s="5" t="str">
        <f>HYPERLINK("https://creighton-primo.hosted.exlibrisgroup.com/primo-explore/search?tab=default_tab&amp;search_scope=EVERYTHING&amp;vid=01CRU&amp;lang=en_US&amp;offset=0&amp;query=any,contains,991001733249702656","Catalog Record")</f>
        <v>Catalog Record</v>
      </c>
      <c r="AV72" s="5" t="str">
        <f>HYPERLINK("http://www.worldcat.org/oclc/21949774","WorldCat Record")</f>
        <v>WorldCat Record</v>
      </c>
      <c r="AW72" s="2" t="s">
        <v>1078</v>
      </c>
      <c r="AX72" s="2" t="s">
        <v>1079</v>
      </c>
      <c r="AY72" s="2" t="s">
        <v>1080</v>
      </c>
      <c r="AZ72" s="2" t="s">
        <v>1080</v>
      </c>
      <c r="BA72" s="2" t="s">
        <v>1081</v>
      </c>
      <c r="BB72" s="2" t="s">
        <v>79</v>
      </c>
      <c r="BD72" s="2" t="s">
        <v>1082</v>
      </c>
      <c r="BE72" s="2" t="s">
        <v>1083</v>
      </c>
      <c r="BF72" s="2" t="s">
        <v>1084</v>
      </c>
    </row>
    <row r="73" spans="1:58" ht="39.75" customHeight="1">
      <c r="A73" s="1"/>
      <c r="B73" s="1" t="s">
        <v>58</v>
      </c>
      <c r="C73" s="1" t="s">
        <v>59</v>
      </c>
      <c r="D73" s="1" t="s">
        <v>1085</v>
      </c>
      <c r="E73" s="1" t="s">
        <v>1086</v>
      </c>
      <c r="F73" s="1" t="s">
        <v>1087</v>
      </c>
      <c r="H73" s="2" t="s">
        <v>63</v>
      </c>
      <c r="I73" s="2" t="s">
        <v>64</v>
      </c>
      <c r="J73" s="2" t="s">
        <v>63</v>
      </c>
      <c r="K73" s="2" t="s">
        <v>63</v>
      </c>
      <c r="L73" s="2" t="s">
        <v>65</v>
      </c>
      <c r="M73" s="1" t="s">
        <v>1088</v>
      </c>
      <c r="N73" s="1" t="s">
        <v>1089</v>
      </c>
      <c r="O73" s="2" t="s">
        <v>1090</v>
      </c>
      <c r="Q73" s="2" t="s">
        <v>68</v>
      </c>
      <c r="R73" s="2" t="s">
        <v>331</v>
      </c>
      <c r="T73" s="2" t="s">
        <v>71</v>
      </c>
      <c r="U73" s="3">
        <v>1</v>
      </c>
      <c r="V73" s="3">
        <v>1</v>
      </c>
      <c r="W73" s="4" t="s">
        <v>1091</v>
      </c>
      <c r="X73" s="4" t="s">
        <v>1091</v>
      </c>
      <c r="Y73" s="4" t="s">
        <v>1092</v>
      </c>
      <c r="Z73" s="4" t="s">
        <v>1092</v>
      </c>
      <c r="AA73" s="3">
        <v>158</v>
      </c>
      <c r="AB73" s="3">
        <v>151</v>
      </c>
      <c r="AC73" s="3">
        <v>152</v>
      </c>
      <c r="AD73" s="3">
        <v>3</v>
      </c>
      <c r="AE73" s="3">
        <v>3</v>
      </c>
      <c r="AF73" s="3">
        <v>12</v>
      </c>
      <c r="AG73" s="3">
        <v>12</v>
      </c>
      <c r="AH73" s="3">
        <v>3</v>
      </c>
      <c r="AI73" s="3">
        <v>3</v>
      </c>
      <c r="AJ73" s="3">
        <v>2</v>
      </c>
      <c r="AK73" s="3">
        <v>2</v>
      </c>
      <c r="AL73" s="3">
        <v>6</v>
      </c>
      <c r="AM73" s="3">
        <v>6</v>
      </c>
      <c r="AN73" s="3">
        <v>2</v>
      </c>
      <c r="AO73" s="3">
        <v>2</v>
      </c>
      <c r="AP73" s="3">
        <v>1</v>
      </c>
      <c r="AQ73" s="3">
        <v>1</v>
      </c>
      <c r="AR73" s="2" t="s">
        <v>63</v>
      </c>
      <c r="AS73" s="2" t="s">
        <v>63</v>
      </c>
      <c r="AU73" s="5" t="str">
        <f>HYPERLINK("https://creighton-primo.hosted.exlibrisgroup.com/primo-explore/search?tab=default_tab&amp;search_scope=EVERYTHING&amp;vid=01CRU&amp;lang=en_US&amp;offset=0&amp;query=any,contains,991004898339702656","Catalog Record")</f>
        <v>Catalog Record</v>
      </c>
      <c r="AV73" s="5" t="str">
        <f>HYPERLINK("http://www.worldcat.org/oclc/5906241","WorldCat Record")</f>
        <v>WorldCat Record</v>
      </c>
      <c r="AW73" s="2" t="s">
        <v>1093</v>
      </c>
      <c r="AX73" s="2" t="s">
        <v>1094</v>
      </c>
      <c r="AY73" s="2" t="s">
        <v>1095</v>
      </c>
      <c r="AZ73" s="2" t="s">
        <v>1095</v>
      </c>
      <c r="BA73" s="2" t="s">
        <v>1096</v>
      </c>
      <c r="BB73" s="2" t="s">
        <v>79</v>
      </c>
      <c r="BE73" s="2" t="s">
        <v>1097</v>
      </c>
      <c r="BF73" s="2" t="s">
        <v>1098</v>
      </c>
    </row>
    <row r="74" spans="1:58" ht="39.75" customHeight="1">
      <c r="A74" s="1"/>
      <c r="B74" s="1" t="s">
        <v>58</v>
      </c>
      <c r="C74" s="1" t="s">
        <v>59</v>
      </c>
      <c r="D74" s="1" t="s">
        <v>1099</v>
      </c>
      <c r="E74" s="1" t="s">
        <v>1100</v>
      </c>
      <c r="F74" s="1" t="s">
        <v>1101</v>
      </c>
      <c r="H74" s="2" t="s">
        <v>63</v>
      </c>
      <c r="I74" s="2" t="s">
        <v>64</v>
      </c>
      <c r="J74" s="2" t="s">
        <v>63</v>
      </c>
      <c r="K74" s="2" t="s">
        <v>63</v>
      </c>
      <c r="L74" s="2" t="s">
        <v>65</v>
      </c>
      <c r="M74" s="1" t="s">
        <v>1102</v>
      </c>
      <c r="N74" s="1" t="s">
        <v>1103</v>
      </c>
      <c r="O74" s="2" t="s">
        <v>441</v>
      </c>
      <c r="Q74" s="2" t="s">
        <v>68</v>
      </c>
      <c r="R74" s="2" t="s">
        <v>979</v>
      </c>
      <c r="S74" s="1" t="s">
        <v>1104</v>
      </c>
      <c r="T74" s="2" t="s">
        <v>71</v>
      </c>
      <c r="U74" s="3">
        <v>10</v>
      </c>
      <c r="V74" s="3">
        <v>10</v>
      </c>
      <c r="W74" s="4" t="s">
        <v>1105</v>
      </c>
      <c r="X74" s="4" t="s">
        <v>1105</v>
      </c>
      <c r="Y74" s="4" t="s">
        <v>1106</v>
      </c>
      <c r="Z74" s="4" t="s">
        <v>1106</v>
      </c>
      <c r="AA74" s="3">
        <v>324</v>
      </c>
      <c r="AB74" s="3">
        <v>210</v>
      </c>
      <c r="AC74" s="3">
        <v>225</v>
      </c>
      <c r="AD74" s="3">
        <v>2</v>
      </c>
      <c r="AE74" s="3">
        <v>2</v>
      </c>
      <c r="AF74" s="3">
        <v>12</v>
      </c>
      <c r="AG74" s="3">
        <v>12</v>
      </c>
      <c r="AH74" s="3">
        <v>4</v>
      </c>
      <c r="AI74" s="3">
        <v>4</v>
      </c>
      <c r="AJ74" s="3">
        <v>3</v>
      </c>
      <c r="AK74" s="3">
        <v>3</v>
      </c>
      <c r="AL74" s="3">
        <v>8</v>
      </c>
      <c r="AM74" s="3">
        <v>8</v>
      </c>
      <c r="AN74" s="3">
        <v>1</v>
      </c>
      <c r="AO74" s="3">
        <v>1</v>
      </c>
      <c r="AP74" s="3">
        <v>0</v>
      </c>
      <c r="AQ74" s="3">
        <v>0</v>
      </c>
      <c r="AR74" s="2" t="s">
        <v>63</v>
      </c>
      <c r="AS74" s="2" t="s">
        <v>74</v>
      </c>
      <c r="AT74" s="5" t="str">
        <f>HYPERLINK("http://catalog.hathitrust.org/Record/002228751","HathiTrust Record")</f>
        <v>HathiTrust Record</v>
      </c>
      <c r="AU74" s="5" t="str">
        <f>HYPERLINK("https://creighton-primo.hosted.exlibrisgroup.com/primo-explore/search?tab=default_tab&amp;search_scope=EVERYTHING&amp;vid=01CRU&amp;lang=en_US&amp;offset=0&amp;query=any,contains,991001739379702656","Catalog Record")</f>
        <v>Catalog Record</v>
      </c>
      <c r="AV74" s="5" t="str">
        <f>HYPERLINK("http://www.worldcat.org/oclc/28674664","WorldCat Record")</f>
        <v>WorldCat Record</v>
      </c>
      <c r="AW74" s="2" t="s">
        <v>1107</v>
      </c>
      <c r="AX74" s="2" t="s">
        <v>1108</v>
      </c>
      <c r="AY74" s="2" t="s">
        <v>1109</v>
      </c>
      <c r="AZ74" s="2" t="s">
        <v>1109</v>
      </c>
      <c r="BA74" s="2" t="s">
        <v>1110</v>
      </c>
      <c r="BB74" s="2" t="s">
        <v>79</v>
      </c>
      <c r="BD74" s="2" t="s">
        <v>1111</v>
      </c>
      <c r="BE74" s="2" t="s">
        <v>1112</v>
      </c>
      <c r="BF74" s="2" t="s">
        <v>1113</v>
      </c>
    </row>
    <row r="75" spans="1:58" ht="39.75" customHeight="1">
      <c r="A75" s="1"/>
      <c r="B75" s="1" t="s">
        <v>58</v>
      </c>
      <c r="C75" s="1" t="s">
        <v>59</v>
      </c>
      <c r="D75" s="1" t="s">
        <v>1114</v>
      </c>
      <c r="E75" s="1" t="s">
        <v>1115</v>
      </c>
      <c r="F75" s="1" t="s">
        <v>1116</v>
      </c>
      <c r="H75" s="2" t="s">
        <v>63</v>
      </c>
      <c r="I75" s="2" t="s">
        <v>64</v>
      </c>
      <c r="J75" s="2" t="s">
        <v>63</v>
      </c>
      <c r="K75" s="2" t="s">
        <v>74</v>
      </c>
      <c r="L75" s="2" t="s">
        <v>65</v>
      </c>
      <c r="M75" s="1" t="s">
        <v>1117</v>
      </c>
      <c r="N75" s="1" t="s">
        <v>1118</v>
      </c>
      <c r="O75" s="2" t="s">
        <v>767</v>
      </c>
      <c r="P75" s="1" t="s">
        <v>1119</v>
      </c>
      <c r="Q75" s="2" t="s">
        <v>68</v>
      </c>
      <c r="R75" s="2" t="s">
        <v>106</v>
      </c>
      <c r="S75" s="1" t="s">
        <v>1120</v>
      </c>
      <c r="T75" s="2" t="s">
        <v>71</v>
      </c>
      <c r="U75" s="3">
        <v>9</v>
      </c>
      <c r="V75" s="3">
        <v>9</v>
      </c>
      <c r="W75" s="4" t="s">
        <v>1121</v>
      </c>
      <c r="X75" s="4" t="s">
        <v>1121</v>
      </c>
      <c r="Y75" s="4" t="s">
        <v>1122</v>
      </c>
      <c r="Z75" s="4" t="s">
        <v>1122</v>
      </c>
      <c r="AA75" s="3">
        <v>239</v>
      </c>
      <c r="AB75" s="3">
        <v>169</v>
      </c>
      <c r="AC75" s="3">
        <v>780</v>
      </c>
      <c r="AD75" s="3">
        <v>1</v>
      </c>
      <c r="AE75" s="3">
        <v>6</v>
      </c>
      <c r="AF75" s="3">
        <v>4</v>
      </c>
      <c r="AG75" s="3">
        <v>31</v>
      </c>
      <c r="AH75" s="3">
        <v>0</v>
      </c>
      <c r="AI75" s="3">
        <v>10</v>
      </c>
      <c r="AJ75" s="3">
        <v>2</v>
      </c>
      <c r="AK75" s="3">
        <v>10</v>
      </c>
      <c r="AL75" s="3">
        <v>4</v>
      </c>
      <c r="AM75" s="3">
        <v>17</v>
      </c>
      <c r="AN75" s="3">
        <v>0</v>
      </c>
      <c r="AO75" s="3">
        <v>3</v>
      </c>
      <c r="AP75" s="3">
        <v>0</v>
      </c>
      <c r="AQ75" s="3">
        <v>0</v>
      </c>
      <c r="AR75" s="2" t="s">
        <v>63</v>
      </c>
      <c r="AS75" s="2" t="s">
        <v>74</v>
      </c>
      <c r="AT75" s="5" t="str">
        <f>HYPERLINK("http://catalog.hathitrust.org/Record/000308158","HathiTrust Record")</f>
        <v>HathiTrust Record</v>
      </c>
      <c r="AU75" s="5" t="str">
        <f>HYPERLINK("https://creighton-primo.hosted.exlibrisgroup.com/primo-explore/search?tab=default_tab&amp;search_scope=EVERYTHING&amp;vid=01CRU&amp;lang=en_US&amp;offset=0&amp;query=any,contains,991000028239702656","Catalog Record")</f>
        <v>Catalog Record</v>
      </c>
      <c r="AV75" s="5" t="str">
        <f>HYPERLINK("http://www.worldcat.org/oclc/8590463","WorldCat Record")</f>
        <v>WorldCat Record</v>
      </c>
      <c r="AW75" s="2" t="s">
        <v>1123</v>
      </c>
      <c r="AX75" s="2" t="s">
        <v>1124</v>
      </c>
      <c r="AY75" s="2" t="s">
        <v>1125</v>
      </c>
      <c r="AZ75" s="2" t="s">
        <v>1125</v>
      </c>
      <c r="BA75" s="2" t="s">
        <v>1126</v>
      </c>
      <c r="BB75" s="2" t="s">
        <v>79</v>
      </c>
      <c r="BD75" s="2" t="s">
        <v>1127</v>
      </c>
      <c r="BE75" s="2" t="s">
        <v>1128</v>
      </c>
      <c r="BF75" s="2" t="s">
        <v>1129</v>
      </c>
    </row>
    <row r="76" spans="1:58" ht="39.75" customHeight="1">
      <c r="A76" s="1"/>
      <c r="B76" s="1" t="s">
        <v>58</v>
      </c>
      <c r="C76" s="1" t="s">
        <v>59</v>
      </c>
      <c r="D76" s="1" t="s">
        <v>1130</v>
      </c>
      <c r="E76" s="1" t="s">
        <v>1131</v>
      </c>
      <c r="F76" s="1" t="s">
        <v>1132</v>
      </c>
      <c r="H76" s="2" t="s">
        <v>63</v>
      </c>
      <c r="I76" s="2" t="s">
        <v>64</v>
      </c>
      <c r="J76" s="2" t="s">
        <v>74</v>
      </c>
      <c r="K76" s="2" t="s">
        <v>63</v>
      </c>
      <c r="L76" s="2" t="s">
        <v>65</v>
      </c>
      <c r="N76" s="1" t="s">
        <v>1133</v>
      </c>
      <c r="O76" s="2" t="s">
        <v>105</v>
      </c>
      <c r="Q76" s="2" t="s">
        <v>68</v>
      </c>
      <c r="R76" s="2" t="s">
        <v>167</v>
      </c>
      <c r="T76" s="2" t="s">
        <v>71</v>
      </c>
      <c r="U76" s="3">
        <v>3</v>
      </c>
      <c r="V76" s="3">
        <v>3</v>
      </c>
      <c r="W76" s="4" t="s">
        <v>1134</v>
      </c>
      <c r="X76" s="4" t="s">
        <v>1134</v>
      </c>
      <c r="Y76" s="4" t="s">
        <v>443</v>
      </c>
      <c r="Z76" s="4" t="s">
        <v>443</v>
      </c>
      <c r="AA76" s="3">
        <v>257</v>
      </c>
      <c r="AB76" s="3">
        <v>187</v>
      </c>
      <c r="AC76" s="3">
        <v>619</v>
      </c>
      <c r="AD76" s="3">
        <v>3</v>
      </c>
      <c r="AE76" s="3">
        <v>4</v>
      </c>
      <c r="AF76" s="3">
        <v>1</v>
      </c>
      <c r="AG76" s="3">
        <v>24</v>
      </c>
      <c r="AH76" s="3">
        <v>0</v>
      </c>
      <c r="AI76" s="3">
        <v>9</v>
      </c>
      <c r="AJ76" s="3">
        <v>0</v>
      </c>
      <c r="AK76" s="3">
        <v>6</v>
      </c>
      <c r="AL76" s="3">
        <v>0</v>
      </c>
      <c r="AM76" s="3">
        <v>10</v>
      </c>
      <c r="AN76" s="3">
        <v>1</v>
      </c>
      <c r="AO76" s="3">
        <v>2</v>
      </c>
      <c r="AP76" s="3">
        <v>0</v>
      </c>
      <c r="AQ76" s="3">
        <v>2</v>
      </c>
      <c r="AR76" s="2" t="s">
        <v>63</v>
      </c>
      <c r="AS76" s="2" t="s">
        <v>74</v>
      </c>
      <c r="AT76" s="5" t="str">
        <f>HYPERLINK("http://catalog.hathitrust.org/Record/000832596","HathiTrust Record")</f>
        <v>HathiTrust Record</v>
      </c>
      <c r="AU76" s="5" t="str">
        <f>HYPERLINK("https://creighton-primo.hosted.exlibrisgroup.com/primo-explore/search?tab=default_tab&amp;search_scope=EVERYTHING&amp;vid=01CRU&amp;lang=en_US&amp;offset=0&amp;query=any,contains,991000804839702656","Catalog Record")</f>
        <v>Catalog Record</v>
      </c>
      <c r="AV76" s="5" t="str">
        <f>HYPERLINK("http://www.worldcat.org/oclc/13270827","WorldCat Record")</f>
        <v>WorldCat Record</v>
      </c>
      <c r="AW76" s="2" t="s">
        <v>1135</v>
      </c>
      <c r="AX76" s="2" t="s">
        <v>1136</v>
      </c>
      <c r="AY76" s="2" t="s">
        <v>1137</v>
      </c>
      <c r="AZ76" s="2" t="s">
        <v>1137</v>
      </c>
      <c r="BA76" s="2" t="s">
        <v>1138</v>
      </c>
      <c r="BB76" s="2" t="s">
        <v>79</v>
      </c>
      <c r="BD76" s="2" t="s">
        <v>1139</v>
      </c>
      <c r="BE76" s="2" t="s">
        <v>1140</v>
      </c>
      <c r="BF76" s="2" t="s">
        <v>1141</v>
      </c>
    </row>
    <row r="77" spans="1:58" ht="39.75" customHeight="1">
      <c r="A77" s="1"/>
      <c r="B77" s="1" t="s">
        <v>58</v>
      </c>
      <c r="C77" s="1" t="s">
        <v>59</v>
      </c>
      <c r="D77" s="1" t="s">
        <v>1142</v>
      </c>
      <c r="E77" s="1" t="s">
        <v>1143</v>
      </c>
      <c r="F77" s="1" t="s">
        <v>1144</v>
      </c>
      <c r="H77" s="2" t="s">
        <v>63</v>
      </c>
      <c r="I77" s="2" t="s">
        <v>64</v>
      </c>
      <c r="J77" s="2" t="s">
        <v>63</v>
      </c>
      <c r="K77" s="2" t="s">
        <v>63</v>
      </c>
      <c r="L77" s="2" t="s">
        <v>65</v>
      </c>
      <c r="M77" s="1" t="s">
        <v>1145</v>
      </c>
      <c r="N77" s="1" t="s">
        <v>1146</v>
      </c>
      <c r="O77" s="2" t="s">
        <v>740</v>
      </c>
      <c r="Q77" s="2" t="s">
        <v>68</v>
      </c>
      <c r="R77" s="2" t="s">
        <v>106</v>
      </c>
      <c r="S77" s="1" t="s">
        <v>1147</v>
      </c>
      <c r="T77" s="2" t="s">
        <v>71</v>
      </c>
      <c r="U77" s="3">
        <v>7</v>
      </c>
      <c r="V77" s="3">
        <v>7</v>
      </c>
      <c r="W77" s="4" t="s">
        <v>1148</v>
      </c>
      <c r="X77" s="4" t="s">
        <v>1148</v>
      </c>
      <c r="Y77" s="4" t="s">
        <v>1149</v>
      </c>
      <c r="Z77" s="4" t="s">
        <v>1149</v>
      </c>
      <c r="AA77" s="3">
        <v>345</v>
      </c>
      <c r="AB77" s="3">
        <v>253</v>
      </c>
      <c r="AC77" s="3">
        <v>371</v>
      </c>
      <c r="AD77" s="3">
        <v>2</v>
      </c>
      <c r="AE77" s="3">
        <v>4</v>
      </c>
      <c r="AF77" s="3">
        <v>8</v>
      </c>
      <c r="AG77" s="3">
        <v>18</v>
      </c>
      <c r="AH77" s="3">
        <v>4</v>
      </c>
      <c r="AI77" s="3">
        <v>6</v>
      </c>
      <c r="AJ77" s="3">
        <v>3</v>
      </c>
      <c r="AK77" s="3">
        <v>7</v>
      </c>
      <c r="AL77" s="3">
        <v>2</v>
      </c>
      <c r="AM77" s="3">
        <v>6</v>
      </c>
      <c r="AN77" s="3">
        <v>1</v>
      </c>
      <c r="AO77" s="3">
        <v>3</v>
      </c>
      <c r="AP77" s="3">
        <v>0</v>
      </c>
      <c r="AQ77" s="3">
        <v>0</v>
      </c>
      <c r="AR77" s="2" t="s">
        <v>63</v>
      </c>
      <c r="AS77" s="2" t="s">
        <v>74</v>
      </c>
      <c r="AT77" s="5" t="str">
        <f>HYPERLINK("http://catalog.hathitrust.org/Record/000880793","HathiTrust Record")</f>
        <v>HathiTrust Record</v>
      </c>
      <c r="AU77" s="5" t="str">
        <f>HYPERLINK("https://creighton-primo.hosted.exlibrisgroup.com/primo-explore/search?tab=default_tab&amp;search_scope=EVERYTHING&amp;vid=01CRU&amp;lang=en_US&amp;offset=0&amp;query=any,contains,991001011049702656","Catalog Record")</f>
        <v>Catalog Record</v>
      </c>
      <c r="AV77" s="5" t="str">
        <f>HYPERLINK("http://www.worldcat.org/oclc/15283456","WorldCat Record")</f>
        <v>WorldCat Record</v>
      </c>
      <c r="AW77" s="2" t="s">
        <v>1150</v>
      </c>
      <c r="AX77" s="2" t="s">
        <v>1151</v>
      </c>
      <c r="AY77" s="2" t="s">
        <v>1152</v>
      </c>
      <c r="AZ77" s="2" t="s">
        <v>1152</v>
      </c>
      <c r="BA77" s="2" t="s">
        <v>1153</v>
      </c>
      <c r="BB77" s="2" t="s">
        <v>79</v>
      </c>
      <c r="BD77" s="2" t="s">
        <v>1154</v>
      </c>
      <c r="BE77" s="2" t="s">
        <v>1155</v>
      </c>
      <c r="BF77" s="2" t="s">
        <v>1156</v>
      </c>
    </row>
    <row r="78" spans="1:58" ht="39.75" customHeight="1">
      <c r="A78" s="1"/>
      <c r="B78" s="1" t="s">
        <v>58</v>
      </c>
      <c r="C78" s="1" t="s">
        <v>59</v>
      </c>
      <c r="D78" s="1" t="s">
        <v>1157</v>
      </c>
      <c r="E78" s="1" t="s">
        <v>1158</v>
      </c>
      <c r="F78" s="1" t="s">
        <v>1159</v>
      </c>
      <c r="H78" s="2" t="s">
        <v>63</v>
      </c>
      <c r="I78" s="2" t="s">
        <v>64</v>
      </c>
      <c r="J78" s="2" t="s">
        <v>63</v>
      </c>
      <c r="K78" s="2" t="s">
        <v>63</v>
      </c>
      <c r="L78" s="2" t="s">
        <v>65</v>
      </c>
      <c r="M78" s="1" t="s">
        <v>1160</v>
      </c>
      <c r="N78" s="1" t="s">
        <v>1161</v>
      </c>
      <c r="O78" s="2" t="s">
        <v>1162</v>
      </c>
      <c r="Q78" s="2" t="s">
        <v>68</v>
      </c>
      <c r="R78" s="2" t="s">
        <v>181</v>
      </c>
      <c r="T78" s="2" t="s">
        <v>71</v>
      </c>
      <c r="U78" s="3">
        <v>5</v>
      </c>
      <c r="V78" s="3">
        <v>5</v>
      </c>
      <c r="W78" s="4" t="s">
        <v>1163</v>
      </c>
      <c r="X78" s="4" t="s">
        <v>1163</v>
      </c>
      <c r="Y78" s="4" t="s">
        <v>1164</v>
      </c>
      <c r="Z78" s="4" t="s">
        <v>1164</v>
      </c>
      <c r="AA78" s="3">
        <v>589</v>
      </c>
      <c r="AB78" s="3">
        <v>516</v>
      </c>
      <c r="AC78" s="3">
        <v>546</v>
      </c>
      <c r="AD78" s="3">
        <v>5</v>
      </c>
      <c r="AE78" s="3">
        <v>5</v>
      </c>
      <c r="AF78" s="3">
        <v>21</v>
      </c>
      <c r="AG78" s="3">
        <v>22</v>
      </c>
      <c r="AH78" s="3">
        <v>2</v>
      </c>
      <c r="AI78" s="3">
        <v>3</v>
      </c>
      <c r="AJ78" s="3">
        <v>4</v>
      </c>
      <c r="AK78" s="3">
        <v>4</v>
      </c>
      <c r="AL78" s="3">
        <v>11</v>
      </c>
      <c r="AM78" s="3">
        <v>11</v>
      </c>
      <c r="AN78" s="3">
        <v>3</v>
      </c>
      <c r="AO78" s="3">
        <v>3</v>
      </c>
      <c r="AP78" s="3">
        <v>6</v>
      </c>
      <c r="AQ78" s="3">
        <v>6</v>
      </c>
      <c r="AR78" s="2" t="s">
        <v>63</v>
      </c>
      <c r="AS78" s="2" t="s">
        <v>74</v>
      </c>
      <c r="AT78" s="5" t="str">
        <f>HYPERLINK("http://catalog.hathitrust.org/Record/001577334","HathiTrust Record")</f>
        <v>HathiTrust Record</v>
      </c>
      <c r="AU78" s="5" t="str">
        <f>HYPERLINK("https://creighton-primo.hosted.exlibrisgroup.com/primo-explore/search?tab=default_tab&amp;search_scope=EVERYTHING&amp;vid=01CRU&amp;lang=en_US&amp;offset=0&amp;query=any,contains,991003082739702656","Catalog Record")</f>
        <v>Catalog Record</v>
      </c>
      <c r="AV78" s="5" t="str">
        <f>HYPERLINK("http://www.worldcat.org/oclc/634547","WorldCat Record")</f>
        <v>WorldCat Record</v>
      </c>
      <c r="AW78" s="2" t="s">
        <v>1165</v>
      </c>
      <c r="AX78" s="2" t="s">
        <v>1166</v>
      </c>
      <c r="AY78" s="2" t="s">
        <v>1167</v>
      </c>
      <c r="AZ78" s="2" t="s">
        <v>1167</v>
      </c>
      <c r="BA78" s="2" t="s">
        <v>1168</v>
      </c>
      <c r="BB78" s="2" t="s">
        <v>79</v>
      </c>
      <c r="BE78" s="2" t="s">
        <v>1169</v>
      </c>
      <c r="BF78" s="2" t="s">
        <v>1170</v>
      </c>
    </row>
    <row r="79" spans="1:58" ht="39.75" customHeight="1">
      <c r="A79" s="1"/>
      <c r="B79" s="1" t="s">
        <v>58</v>
      </c>
      <c r="C79" s="1" t="s">
        <v>59</v>
      </c>
      <c r="D79" s="1" t="s">
        <v>1171</v>
      </c>
      <c r="E79" s="1" t="s">
        <v>1172</v>
      </c>
      <c r="F79" s="1" t="s">
        <v>1173</v>
      </c>
      <c r="H79" s="2" t="s">
        <v>63</v>
      </c>
      <c r="I79" s="2" t="s">
        <v>64</v>
      </c>
      <c r="J79" s="2" t="s">
        <v>63</v>
      </c>
      <c r="K79" s="2" t="s">
        <v>63</v>
      </c>
      <c r="L79" s="2" t="s">
        <v>65</v>
      </c>
      <c r="M79" s="1" t="s">
        <v>1174</v>
      </c>
      <c r="N79" s="1" t="s">
        <v>1175</v>
      </c>
      <c r="O79" s="2" t="s">
        <v>136</v>
      </c>
      <c r="Q79" s="2" t="s">
        <v>68</v>
      </c>
      <c r="R79" s="2" t="s">
        <v>628</v>
      </c>
      <c r="T79" s="2" t="s">
        <v>71</v>
      </c>
      <c r="U79" s="3">
        <v>3</v>
      </c>
      <c r="V79" s="3">
        <v>3</v>
      </c>
      <c r="W79" s="4" t="s">
        <v>1176</v>
      </c>
      <c r="X79" s="4" t="s">
        <v>1176</v>
      </c>
      <c r="Y79" s="4" t="s">
        <v>241</v>
      </c>
      <c r="Z79" s="4" t="s">
        <v>241</v>
      </c>
      <c r="AA79" s="3">
        <v>180</v>
      </c>
      <c r="AB79" s="3">
        <v>175</v>
      </c>
      <c r="AC79" s="3">
        <v>180</v>
      </c>
      <c r="AD79" s="3">
        <v>2</v>
      </c>
      <c r="AE79" s="3">
        <v>2</v>
      </c>
      <c r="AF79" s="3">
        <v>6</v>
      </c>
      <c r="AG79" s="3">
        <v>6</v>
      </c>
      <c r="AH79" s="3">
        <v>1</v>
      </c>
      <c r="AI79" s="3">
        <v>1</v>
      </c>
      <c r="AJ79" s="3">
        <v>1</v>
      </c>
      <c r="AK79" s="3">
        <v>1</v>
      </c>
      <c r="AL79" s="3">
        <v>4</v>
      </c>
      <c r="AM79" s="3">
        <v>4</v>
      </c>
      <c r="AN79" s="3">
        <v>1</v>
      </c>
      <c r="AO79" s="3">
        <v>1</v>
      </c>
      <c r="AP79" s="3">
        <v>0</v>
      </c>
      <c r="AQ79" s="3">
        <v>0</v>
      </c>
      <c r="AR79" s="2" t="s">
        <v>63</v>
      </c>
      <c r="AS79" s="2" t="s">
        <v>63</v>
      </c>
      <c r="AU79" s="5" t="str">
        <f>HYPERLINK("https://creighton-primo.hosted.exlibrisgroup.com/primo-explore/search?tab=default_tab&amp;search_scope=EVERYTHING&amp;vid=01CRU&amp;lang=en_US&amp;offset=0&amp;query=any,contains,991005226279702656","Catalog Record")</f>
        <v>Catalog Record</v>
      </c>
      <c r="AV79" s="5" t="str">
        <f>HYPERLINK("http://www.worldcat.org/oclc/8282924","WorldCat Record")</f>
        <v>WorldCat Record</v>
      </c>
      <c r="AW79" s="2" t="s">
        <v>1177</v>
      </c>
      <c r="AX79" s="2" t="s">
        <v>1178</v>
      </c>
      <c r="AY79" s="2" t="s">
        <v>1179</v>
      </c>
      <c r="AZ79" s="2" t="s">
        <v>1179</v>
      </c>
      <c r="BA79" s="2" t="s">
        <v>1180</v>
      </c>
      <c r="BB79" s="2" t="s">
        <v>79</v>
      </c>
      <c r="BD79" s="2" t="s">
        <v>1181</v>
      </c>
      <c r="BE79" s="2" t="s">
        <v>1182</v>
      </c>
      <c r="BF79" s="2" t="s">
        <v>1183</v>
      </c>
    </row>
    <row r="80" spans="1:58" ht="39.75" customHeight="1">
      <c r="A80" s="1"/>
      <c r="B80" s="1" t="s">
        <v>58</v>
      </c>
      <c r="C80" s="1" t="s">
        <v>59</v>
      </c>
      <c r="D80" s="1" t="s">
        <v>1184</v>
      </c>
      <c r="E80" s="1" t="s">
        <v>1185</v>
      </c>
      <c r="F80" s="1" t="s">
        <v>1186</v>
      </c>
      <c r="H80" s="2" t="s">
        <v>63</v>
      </c>
      <c r="I80" s="2" t="s">
        <v>64</v>
      </c>
      <c r="J80" s="2" t="s">
        <v>63</v>
      </c>
      <c r="K80" s="2" t="s">
        <v>63</v>
      </c>
      <c r="L80" s="2" t="s">
        <v>65</v>
      </c>
      <c r="M80" s="1" t="s">
        <v>1187</v>
      </c>
      <c r="N80" s="1" t="s">
        <v>1188</v>
      </c>
      <c r="O80" s="2" t="s">
        <v>1189</v>
      </c>
      <c r="Q80" s="2" t="s">
        <v>68</v>
      </c>
      <c r="R80" s="2" t="s">
        <v>1190</v>
      </c>
      <c r="T80" s="2" t="s">
        <v>71</v>
      </c>
      <c r="U80" s="3">
        <v>2</v>
      </c>
      <c r="V80" s="3">
        <v>2</v>
      </c>
      <c r="W80" s="4" t="s">
        <v>1191</v>
      </c>
      <c r="X80" s="4" t="s">
        <v>1191</v>
      </c>
      <c r="Y80" s="4" t="s">
        <v>1192</v>
      </c>
      <c r="Z80" s="4" t="s">
        <v>1192</v>
      </c>
      <c r="AA80" s="3">
        <v>545</v>
      </c>
      <c r="AB80" s="3">
        <v>494</v>
      </c>
      <c r="AC80" s="3">
        <v>920</v>
      </c>
      <c r="AD80" s="3">
        <v>5</v>
      </c>
      <c r="AE80" s="3">
        <v>5</v>
      </c>
      <c r="AF80" s="3">
        <v>21</v>
      </c>
      <c r="AG80" s="3">
        <v>24</v>
      </c>
      <c r="AH80" s="3">
        <v>8</v>
      </c>
      <c r="AI80" s="3">
        <v>9</v>
      </c>
      <c r="AJ80" s="3">
        <v>4</v>
      </c>
      <c r="AK80" s="3">
        <v>6</v>
      </c>
      <c r="AL80" s="3">
        <v>9</v>
      </c>
      <c r="AM80" s="3">
        <v>10</v>
      </c>
      <c r="AN80" s="3">
        <v>4</v>
      </c>
      <c r="AO80" s="3">
        <v>4</v>
      </c>
      <c r="AP80" s="3">
        <v>0</v>
      </c>
      <c r="AQ80" s="3">
        <v>0</v>
      </c>
      <c r="AR80" s="2" t="s">
        <v>63</v>
      </c>
      <c r="AS80" s="2" t="s">
        <v>63</v>
      </c>
      <c r="AU80" s="5" t="str">
        <f>HYPERLINK("https://creighton-primo.hosted.exlibrisgroup.com/primo-explore/search?tab=default_tab&amp;search_scope=EVERYTHING&amp;vid=01CRU&amp;lang=en_US&amp;offset=0&amp;query=any,contains,991004180509702656","Catalog Record")</f>
        <v>Catalog Record</v>
      </c>
      <c r="AV80" s="5" t="str">
        <f>HYPERLINK("http://www.worldcat.org/oclc/51907191","WorldCat Record")</f>
        <v>WorldCat Record</v>
      </c>
      <c r="AW80" s="2" t="s">
        <v>1193</v>
      </c>
      <c r="AX80" s="2" t="s">
        <v>1194</v>
      </c>
      <c r="AY80" s="2" t="s">
        <v>1195</v>
      </c>
      <c r="AZ80" s="2" t="s">
        <v>1195</v>
      </c>
      <c r="BA80" s="2" t="s">
        <v>1196</v>
      </c>
      <c r="BB80" s="2" t="s">
        <v>79</v>
      </c>
      <c r="BD80" s="2" t="s">
        <v>1197</v>
      </c>
      <c r="BE80" s="2" t="s">
        <v>1198</v>
      </c>
      <c r="BF80" s="2" t="s">
        <v>1199</v>
      </c>
    </row>
    <row r="81" spans="1:58" ht="39.75" customHeight="1">
      <c r="A81" s="1"/>
      <c r="B81" s="1" t="s">
        <v>58</v>
      </c>
      <c r="C81" s="1" t="s">
        <v>59</v>
      </c>
      <c r="D81" s="1" t="s">
        <v>1200</v>
      </c>
      <c r="E81" s="1" t="s">
        <v>1201</v>
      </c>
      <c r="F81" s="1" t="s">
        <v>1202</v>
      </c>
      <c r="H81" s="2" t="s">
        <v>63</v>
      </c>
      <c r="I81" s="2" t="s">
        <v>64</v>
      </c>
      <c r="J81" s="2" t="s">
        <v>63</v>
      </c>
      <c r="K81" s="2" t="s">
        <v>63</v>
      </c>
      <c r="L81" s="2" t="s">
        <v>65</v>
      </c>
      <c r="M81" s="1" t="s">
        <v>1203</v>
      </c>
      <c r="N81" s="1" t="s">
        <v>1204</v>
      </c>
      <c r="O81" s="2" t="s">
        <v>105</v>
      </c>
      <c r="Q81" s="2" t="s">
        <v>68</v>
      </c>
      <c r="R81" s="2" t="s">
        <v>628</v>
      </c>
      <c r="T81" s="2" t="s">
        <v>71</v>
      </c>
      <c r="U81" s="3">
        <v>3</v>
      </c>
      <c r="V81" s="3">
        <v>3</v>
      </c>
      <c r="W81" s="4" t="s">
        <v>1205</v>
      </c>
      <c r="X81" s="4" t="s">
        <v>1205</v>
      </c>
      <c r="Y81" s="4" t="s">
        <v>1206</v>
      </c>
      <c r="Z81" s="4" t="s">
        <v>1206</v>
      </c>
      <c r="AA81" s="3">
        <v>157</v>
      </c>
      <c r="AB81" s="3">
        <v>149</v>
      </c>
      <c r="AC81" s="3">
        <v>150</v>
      </c>
      <c r="AD81" s="3">
        <v>1</v>
      </c>
      <c r="AE81" s="3">
        <v>1</v>
      </c>
      <c r="AF81" s="3">
        <v>3</v>
      </c>
      <c r="AG81" s="3">
        <v>3</v>
      </c>
      <c r="AH81" s="3">
        <v>0</v>
      </c>
      <c r="AI81" s="3">
        <v>0</v>
      </c>
      <c r="AJ81" s="3">
        <v>1</v>
      </c>
      <c r="AK81" s="3">
        <v>1</v>
      </c>
      <c r="AL81" s="3">
        <v>3</v>
      </c>
      <c r="AM81" s="3">
        <v>3</v>
      </c>
      <c r="AN81" s="3">
        <v>0</v>
      </c>
      <c r="AO81" s="3">
        <v>0</v>
      </c>
      <c r="AP81" s="3">
        <v>0</v>
      </c>
      <c r="AQ81" s="3">
        <v>0</v>
      </c>
      <c r="AR81" s="2" t="s">
        <v>63</v>
      </c>
      <c r="AS81" s="2" t="s">
        <v>63</v>
      </c>
      <c r="AU81" s="5" t="str">
        <f>HYPERLINK("https://creighton-primo.hosted.exlibrisgroup.com/primo-explore/search?tab=default_tab&amp;search_scope=EVERYTHING&amp;vid=01CRU&amp;lang=en_US&amp;offset=0&amp;query=any,contains,991000650309702656","Catalog Record")</f>
        <v>Catalog Record</v>
      </c>
      <c r="AV81" s="5" t="str">
        <f>HYPERLINK("http://www.worldcat.org/oclc/12162592","WorldCat Record")</f>
        <v>WorldCat Record</v>
      </c>
      <c r="AW81" s="2" t="s">
        <v>1207</v>
      </c>
      <c r="AX81" s="2" t="s">
        <v>1208</v>
      </c>
      <c r="AY81" s="2" t="s">
        <v>1209</v>
      </c>
      <c r="AZ81" s="2" t="s">
        <v>1209</v>
      </c>
      <c r="BA81" s="2" t="s">
        <v>1210</v>
      </c>
      <c r="BB81" s="2" t="s">
        <v>79</v>
      </c>
      <c r="BD81" s="2" t="s">
        <v>1211</v>
      </c>
      <c r="BE81" s="2" t="s">
        <v>1212</v>
      </c>
      <c r="BF81" s="2" t="s">
        <v>1213</v>
      </c>
    </row>
    <row r="82" spans="1:58" ht="39.75" customHeight="1">
      <c r="A82" s="1"/>
      <c r="B82" s="1" t="s">
        <v>58</v>
      </c>
      <c r="C82" s="1" t="s">
        <v>59</v>
      </c>
      <c r="D82" s="1" t="s">
        <v>1214</v>
      </c>
      <c r="E82" s="1" t="s">
        <v>1215</v>
      </c>
      <c r="F82" s="1" t="s">
        <v>1216</v>
      </c>
      <c r="H82" s="2" t="s">
        <v>63</v>
      </c>
      <c r="I82" s="2" t="s">
        <v>64</v>
      </c>
      <c r="J82" s="2" t="s">
        <v>63</v>
      </c>
      <c r="K82" s="2" t="s">
        <v>63</v>
      </c>
      <c r="L82" s="2" t="s">
        <v>65</v>
      </c>
      <c r="M82" s="1" t="s">
        <v>1217</v>
      </c>
      <c r="N82" s="1" t="s">
        <v>1218</v>
      </c>
      <c r="O82" s="2" t="s">
        <v>726</v>
      </c>
      <c r="Q82" s="2" t="s">
        <v>68</v>
      </c>
      <c r="R82" s="2" t="s">
        <v>106</v>
      </c>
      <c r="T82" s="2" t="s">
        <v>71</v>
      </c>
      <c r="U82" s="3">
        <v>7</v>
      </c>
      <c r="V82" s="3">
        <v>7</v>
      </c>
      <c r="W82" s="4" t="s">
        <v>1219</v>
      </c>
      <c r="X82" s="4" t="s">
        <v>1219</v>
      </c>
      <c r="Y82" s="4" t="s">
        <v>1220</v>
      </c>
      <c r="Z82" s="4" t="s">
        <v>1220</v>
      </c>
      <c r="AA82" s="3">
        <v>495</v>
      </c>
      <c r="AB82" s="3">
        <v>350</v>
      </c>
      <c r="AC82" s="3">
        <v>352</v>
      </c>
      <c r="AD82" s="3">
        <v>1</v>
      </c>
      <c r="AE82" s="3">
        <v>1</v>
      </c>
      <c r="AF82" s="3">
        <v>15</v>
      </c>
      <c r="AG82" s="3">
        <v>15</v>
      </c>
      <c r="AH82" s="3">
        <v>3</v>
      </c>
      <c r="AI82" s="3">
        <v>3</v>
      </c>
      <c r="AJ82" s="3">
        <v>5</v>
      </c>
      <c r="AK82" s="3">
        <v>5</v>
      </c>
      <c r="AL82" s="3">
        <v>11</v>
      </c>
      <c r="AM82" s="3">
        <v>11</v>
      </c>
      <c r="AN82" s="3">
        <v>0</v>
      </c>
      <c r="AO82" s="3">
        <v>0</v>
      </c>
      <c r="AP82" s="3">
        <v>1</v>
      </c>
      <c r="AQ82" s="3">
        <v>1</v>
      </c>
      <c r="AR82" s="2" t="s">
        <v>63</v>
      </c>
      <c r="AS82" s="2" t="s">
        <v>74</v>
      </c>
      <c r="AT82" s="5" t="str">
        <f>HYPERLINK("http://catalog.hathitrust.org/Record/000738378","HathiTrust Record")</f>
        <v>HathiTrust Record</v>
      </c>
      <c r="AU82" s="5" t="str">
        <f>HYPERLINK("https://creighton-primo.hosted.exlibrisgroup.com/primo-explore/search?tab=default_tab&amp;search_scope=EVERYTHING&amp;vid=01CRU&amp;lang=en_US&amp;offset=0&amp;query=any,contains,991004108539702656","Catalog Record")</f>
        <v>Catalog Record</v>
      </c>
      <c r="AV82" s="5" t="str">
        <f>HYPERLINK("http://www.worldcat.org/oclc/2388399","WorldCat Record")</f>
        <v>WorldCat Record</v>
      </c>
      <c r="AW82" s="2" t="s">
        <v>1221</v>
      </c>
      <c r="AX82" s="2" t="s">
        <v>1222</v>
      </c>
      <c r="AY82" s="2" t="s">
        <v>1223</v>
      </c>
      <c r="AZ82" s="2" t="s">
        <v>1223</v>
      </c>
      <c r="BA82" s="2" t="s">
        <v>1224</v>
      </c>
      <c r="BB82" s="2" t="s">
        <v>79</v>
      </c>
      <c r="BD82" s="2" t="s">
        <v>1225</v>
      </c>
      <c r="BE82" s="2" t="s">
        <v>1226</v>
      </c>
      <c r="BF82" s="2" t="s">
        <v>1227</v>
      </c>
    </row>
    <row r="83" spans="1:58" ht="39.75" customHeight="1">
      <c r="A83" s="1"/>
      <c r="B83" s="1" t="s">
        <v>58</v>
      </c>
      <c r="C83" s="1" t="s">
        <v>59</v>
      </c>
      <c r="D83" s="1" t="s">
        <v>1228</v>
      </c>
      <c r="E83" s="1" t="s">
        <v>1229</v>
      </c>
      <c r="F83" s="1" t="s">
        <v>1230</v>
      </c>
      <c r="H83" s="2" t="s">
        <v>63</v>
      </c>
      <c r="I83" s="2" t="s">
        <v>64</v>
      </c>
      <c r="J83" s="2" t="s">
        <v>63</v>
      </c>
      <c r="K83" s="2" t="s">
        <v>63</v>
      </c>
      <c r="L83" s="2" t="s">
        <v>65</v>
      </c>
      <c r="M83" s="1" t="s">
        <v>1231</v>
      </c>
      <c r="N83" s="1" t="s">
        <v>1232</v>
      </c>
      <c r="O83" s="2" t="s">
        <v>88</v>
      </c>
      <c r="Q83" s="2" t="s">
        <v>68</v>
      </c>
      <c r="R83" s="2" t="s">
        <v>331</v>
      </c>
      <c r="T83" s="2" t="s">
        <v>71</v>
      </c>
      <c r="U83" s="3">
        <v>9</v>
      </c>
      <c r="V83" s="3">
        <v>9</v>
      </c>
      <c r="W83" s="4" t="s">
        <v>1233</v>
      </c>
      <c r="X83" s="4" t="s">
        <v>1233</v>
      </c>
      <c r="Y83" s="4" t="s">
        <v>1234</v>
      </c>
      <c r="Z83" s="4" t="s">
        <v>1234</v>
      </c>
      <c r="AA83" s="3">
        <v>348</v>
      </c>
      <c r="AB83" s="3">
        <v>301</v>
      </c>
      <c r="AC83" s="3">
        <v>308</v>
      </c>
      <c r="AD83" s="3">
        <v>1</v>
      </c>
      <c r="AE83" s="3">
        <v>1</v>
      </c>
      <c r="AF83" s="3">
        <v>9</v>
      </c>
      <c r="AG83" s="3">
        <v>9</v>
      </c>
      <c r="AH83" s="3">
        <v>3</v>
      </c>
      <c r="AI83" s="3">
        <v>3</v>
      </c>
      <c r="AJ83" s="3">
        <v>2</v>
      </c>
      <c r="AK83" s="3">
        <v>2</v>
      </c>
      <c r="AL83" s="3">
        <v>7</v>
      </c>
      <c r="AM83" s="3">
        <v>7</v>
      </c>
      <c r="AN83" s="3">
        <v>0</v>
      </c>
      <c r="AO83" s="3">
        <v>0</v>
      </c>
      <c r="AP83" s="3">
        <v>0</v>
      </c>
      <c r="AQ83" s="3">
        <v>0</v>
      </c>
      <c r="AR83" s="2" t="s">
        <v>63</v>
      </c>
      <c r="AS83" s="2" t="s">
        <v>74</v>
      </c>
      <c r="AT83" s="5" t="str">
        <f>HYPERLINK("http://catalog.hathitrust.org/Record/000018390","HathiTrust Record")</f>
        <v>HathiTrust Record</v>
      </c>
      <c r="AU83" s="5" t="str">
        <f>HYPERLINK("https://creighton-primo.hosted.exlibrisgroup.com/primo-explore/search?tab=default_tab&amp;search_scope=EVERYTHING&amp;vid=01CRU&amp;lang=en_US&amp;offset=0&amp;query=any,contains,991004940089702656","Catalog Record")</f>
        <v>Catalog Record</v>
      </c>
      <c r="AV83" s="5" t="str">
        <f>HYPERLINK("http://www.worldcat.org/oclc/6176125","WorldCat Record")</f>
        <v>WorldCat Record</v>
      </c>
      <c r="AW83" s="2" t="s">
        <v>1235</v>
      </c>
      <c r="AX83" s="2" t="s">
        <v>1236</v>
      </c>
      <c r="AY83" s="2" t="s">
        <v>1237</v>
      </c>
      <c r="AZ83" s="2" t="s">
        <v>1237</v>
      </c>
      <c r="BA83" s="2" t="s">
        <v>1238</v>
      </c>
      <c r="BB83" s="2" t="s">
        <v>79</v>
      </c>
      <c r="BD83" s="2" t="s">
        <v>1239</v>
      </c>
      <c r="BE83" s="2" t="s">
        <v>1240</v>
      </c>
      <c r="BF83" s="2" t="s">
        <v>1241</v>
      </c>
    </row>
    <row r="84" spans="1:58" ht="39.75" customHeight="1">
      <c r="A84" s="1"/>
      <c r="B84" s="1" t="s">
        <v>58</v>
      </c>
      <c r="C84" s="1" t="s">
        <v>59</v>
      </c>
      <c r="D84" s="1" t="s">
        <v>1242</v>
      </c>
      <c r="E84" s="1" t="s">
        <v>1243</v>
      </c>
      <c r="F84" s="1" t="s">
        <v>1244</v>
      </c>
      <c r="H84" s="2" t="s">
        <v>63</v>
      </c>
      <c r="I84" s="2" t="s">
        <v>64</v>
      </c>
      <c r="J84" s="2" t="s">
        <v>63</v>
      </c>
      <c r="K84" s="2" t="s">
        <v>63</v>
      </c>
      <c r="L84" s="2" t="s">
        <v>65</v>
      </c>
      <c r="M84" s="1" t="s">
        <v>1245</v>
      </c>
      <c r="N84" s="1" t="s">
        <v>1246</v>
      </c>
      <c r="O84" s="2" t="s">
        <v>627</v>
      </c>
      <c r="P84" s="1" t="s">
        <v>1247</v>
      </c>
      <c r="Q84" s="2" t="s">
        <v>68</v>
      </c>
      <c r="R84" s="2" t="s">
        <v>385</v>
      </c>
      <c r="T84" s="2" t="s">
        <v>71</v>
      </c>
      <c r="U84" s="3">
        <v>2</v>
      </c>
      <c r="V84" s="3">
        <v>2</v>
      </c>
      <c r="W84" s="4" t="s">
        <v>1248</v>
      </c>
      <c r="X84" s="4" t="s">
        <v>1248</v>
      </c>
      <c r="Y84" s="4" t="s">
        <v>1249</v>
      </c>
      <c r="Z84" s="4" t="s">
        <v>1249</v>
      </c>
      <c r="AA84" s="3">
        <v>297</v>
      </c>
      <c r="AB84" s="3">
        <v>272</v>
      </c>
      <c r="AC84" s="3">
        <v>466</v>
      </c>
      <c r="AD84" s="3">
        <v>2</v>
      </c>
      <c r="AE84" s="3">
        <v>3</v>
      </c>
      <c r="AF84" s="3">
        <v>9</v>
      </c>
      <c r="AG84" s="3">
        <v>21</v>
      </c>
      <c r="AH84" s="3">
        <v>3</v>
      </c>
      <c r="AI84" s="3">
        <v>8</v>
      </c>
      <c r="AJ84" s="3">
        <v>1</v>
      </c>
      <c r="AK84" s="3">
        <v>4</v>
      </c>
      <c r="AL84" s="3">
        <v>5</v>
      </c>
      <c r="AM84" s="3">
        <v>13</v>
      </c>
      <c r="AN84" s="3">
        <v>1</v>
      </c>
      <c r="AO84" s="3">
        <v>2</v>
      </c>
      <c r="AP84" s="3">
        <v>0</v>
      </c>
      <c r="AQ84" s="3">
        <v>1</v>
      </c>
      <c r="AR84" s="2" t="s">
        <v>63</v>
      </c>
      <c r="AS84" s="2" t="s">
        <v>74</v>
      </c>
      <c r="AT84" s="5" t="str">
        <f>HYPERLINK("http://catalog.hathitrust.org/Record/004567450","HathiTrust Record")</f>
        <v>HathiTrust Record</v>
      </c>
      <c r="AU84" s="5" t="str">
        <f>HYPERLINK("https://creighton-primo.hosted.exlibrisgroup.com/primo-explore/search?tab=default_tab&amp;search_scope=EVERYTHING&amp;vid=01CRU&amp;lang=en_US&amp;offset=0&amp;query=any,contains,991002450749702656","Catalog Record")</f>
        <v>Catalog Record</v>
      </c>
      <c r="AV84" s="5" t="str">
        <f>HYPERLINK("http://www.worldcat.org/oclc/31969418","WorldCat Record")</f>
        <v>WorldCat Record</v>
      </c>
      <c r="AW84" s="2" t="s">
        <v>1250</v>
      </c>
      <c r="AX84" s="2" t="s">
        <v>1251</v>
      </c>
      <c r="AY84" s="2" t="s">
        <v>1252</v>
      </c>
      <c r="AZ84" s="2" t="s">
        <v>1252</v>
      </c>
      <c r="BA84" s="2" t="s">
        <v>1253</v>
      </c>
      <c r="BB84" s="2" t="s">
        <v>79</v>
      </c>
      <c r="BD84" s="2" t="s">
        <v>1254</v>
      </c>
      <c r="BE84" s="2" t="s">
        <v>1255</v>
      </c>
      <c r="BF84" s="2" t="s">
        <v>1256</v>
      </c>
    </row>
    <row r="85" spans="1:58" ht="39.75" customHeight="1">
      <c r="A85" s="1"/>
      <c r="B85" s="1" t="s">
        <v>58</v>
      </c>
      <c r="C85" s="1" t="s">
        <v>59</v>
      </c>
      <c r="D85" s="1" t="s">
        <v>1257</v>
      </c>
      <c r="E85" s="1" t="s">
        <v>1258</v>
      </c>
      <c r="F85" s="1" t="s">
        <v>1259</v>
      </c>
      <c r="H85" s="2" t="s">
        <v>63</v>
      </c>
      <c r="I85" s="2" t="s">
        <v>64</v>
      </c>
      <c r="J85" s="2" t="s">
        <v>63</v>
      </c>
      <c r="K85" s="2" t="s">
        <v>74</v>
      </c>
      <c r="L85" s="2" t="s">
        <v>65</v>
      </c>
      <c r="M85" s="1" t="s">
        <v>1260</v>
      </c>
      <c r="N85" s="1" t="s">
        <v>1261</v>
      </c>
      <c r="O85" s="2" t="s">
        <v>870</v>
      </c>
      <c r="Q85" s="2" t="s">
        <v>68</v>
      </c>
      <c r="R85" s="2" t="s">
        <v>106</v>
      </c>
      <c r="T85" s="2" t="s">
        <v>71</v>
      </c>
      <c r="U85" s="3">
        <v>12</v>
      </c>
      <c r="V85" s="3">
        <v>12</v>
      </c>
      <c r="W85" s="4" t="s">
        <v>728</v>
      </c>
      <c r="X85" s="4" t="s">
        <v>728</v>
      </c>
      <c r="Y85" s="4" t="s">
        <v>1220</v>
      </c>
      <c r="Z85" s="4" t="s">
        <v>1220</v>
      </c>
      <c r="AA85" s="3">
        <v>959</v>
      </c>
      <c r="AB85" s="3">
        <v>888</v>
      </c>
      <c r="AC85" s="3">
        <v>1508</v>
      </c>
      <c r="AD85" s="3">
        <v>7</v>
      </c>
      <c r="AE85" s="3">
        <v>13</v>
      </c>
      <c r="AF85" s="3">
        <v>31</v>
      </c>
      <c r="AG85" s="3">
        <v>54</v>
      </c>
      <c r="AH85" s="3">
        <v>11</v>
      </c>
      <c r="AI85" s="3">
        <v>17</v>
      </c>
      <c r="AJ85" s="3">
        <v>5</v>
      </c>
      <c r="AK85" s="3">
        <v>10</v>
      </c>
      <c r="AL85" s="3">
        <v>14</v>
      </c>
      <c r="AM85" s="3">
        <v>22</v>
      </c>
      <c r="AN85" s="3">
        <v>5</v>
      </c>
      <c r="AO85" s="3">
        <v>10</v>
      </c>
      <c r="AP85" s="3">
        <v>4</v>
      </c>
      <c r="AQ85" s="3">
        <v>6</v>
      </c>
      <c r="AR85" s="2" t="s">
        <v>63</v>
      </c>
      <c r="AS85" s="2" t="s">
        <v>74</v>
      </c>
      <c r="AT85" s="5" t="str">
        <f>HYPERLINK("http://catalog.hathitrust.org/Record/000137924","HathiTrust Record")</f>
        <v>HathiTrust Record</v>
      </c>
      <c r="AU85" s="5" t="str">
        <f>HYPERLINK("https://creighton-primo.hosted.exlibrisgroup.com/primo-explore/search?tab=default_tab&amp;search_scope=EVERYTHING&amp;vid=01CRU&amp;lang=en_US&amp;offset=0&amp;query=any,contains,991003468699702656","Catalog Record")</f>
        <v>Catalog Record</v>
      </c>
      <c r="AV85" s="5" t="str">
        <f>HYPERLINK("http://www.worldcat.org/oclc/1009852","WorldCat Record")</f>
        <v>WorldCat Record</v>
      </c>
      <c r="AW85" s="2" t="s">
        <v>1262</v>
      </c>
      <c r="AX85" s="2" t="s">
        <v>1263</v>
      </c>
      <c r="AY85" s="2" t="s">
        <v>1264</v>
      </c>
      <c r="AZ85" s="2" t="s">
        <v>1264</v>
      </c>
      <c r="BA85" s="2" t="s">
        <v>1265</v>
      </c>
      <c r="BB85" s="2" t="s">
        <v>79</v>
      </c>
      <c r="BD85" s="2" t="s">
        <v>1266</v>
      </c>
      <c r="BE85" s="2" t="s">
        <v>1267</v>
      </c>
      <c r="BF85" s="2" t="s">
        <v>1268</v>
      </c>
    </row>
    <row r="86" spans="1:58" ht="39.75" customHeight="1">
      <c r="A86" s="1"/>
      <c r="B86" s="1" t="s">
        <v>58</v>
      </c>
      <c r="C86" s="1" t="s">
        <v>59</v>
      </c>
      <c r="D86" s="1" t="s">
        <v>1269</v>
      </c>
      <c r="E86" s="1" t="s">
        <v>1270</v>
      </c>
      <c r="F86" s="1" t="s">
        <v>1271</v>
      </c>
      <c r="H86" s="2" t="s">
        <v>63</v>
      </c>
      <c r="I86" s="2" t="s">
        <v>64</v>
      </c>
      <c r="J86" s="2" t="s">
        <v>63</v>
      </c>
      <c r="K86" s="2" t="s">
        <v>63</v>
      </c>
      <c r="L86" s="2" t="s">
        <v>65</v>
      </c>
      <c r="M86" s="1" t="s">
        <v>1272</v>
      </c>
      <c r="N86" s="1" t="s">
        <v>1273</v>
      </c>
      <c r="O86" s="2" t="s">
        <v>151</v>
      </c>
      <c r="Q86" s="2" t="s">
        <v>68</v>
      </c>
      <c r="R86" s="2" t="s">
        <v>1190</v>
      </c>
      <c r="T86" s="2" t="s">
        <v>71</v>
      </c>
      <c r="U86" s="3">
        <v>1</v>
      </c>
      <c r="V86" s="3">
        <v>1</v>
      </c>
      <c r="W86" s="4" t="s">
        <v>1274</v>
      </c>
      <c r="X86" s="4" t="s">
        <v>1274</v>
      </c>
      <c r="Y86" s="4" t="s">
        <v>1275</v>
      </c>
      <c r="Z86" s="4" t="s">
        <v>1275</v>
      </c>
      <c r="AA86" s="3">
        <v>346</v>
      </c>
      <c r="AB86" s="3">
        <v>315</v>
      </c>
      <c r="AC86" s="3">
        <v>333</v>
      </c>
      <c r="AD86" s="3">
        <v>1</v>
      </c>
      <c r="AE86" s="3">
        <v>1</v>
      </c>
      <c r="AF86" s="3">
        <v>11</v>
      </c>
      <c r="AG86" s="3">
        <v>13</v>
      </c>
      <c r="AH86" s="3">
        <v>4</v>
      </c>
      <c r="AI86" s="3">
        <v>5</v>
      </c>
      <c r="AJ86" s="3">
        <v>5</v>
      </c>
      <c r="AK86" s="3">
        <v>6</v>
      </c>
      <c r="AL86" s="3">
        <v>7</v>
      </c>
      <c r="AM86" s="3">
        <v>7</v>
      </c>
      <c r="AN86" s="3">
        <v>0</v>
      </c>
      <c r="AO86" s="3">
        <v>0</v>
      </c>
      <c r="AP86" s="3">
        <v>0</v>
      </c>
      <c r="AQ86" s="3">
        <v>0</v>
      </c>
      <c r="AR86" s="2" t="s">
        <v>63</v>
      </c>
      <c r="AS86" s="2" t="s">
        <v>74</v>
      </c>
      <c r="AT86" s="5" t="str">
        <f>HYPERLINK("http://catalog.hathitrust.org/Record/000360162","HathiTrust Record")</f>
        <v>HathiTrust Record</v>
      </c>
      <c r="AU86" s="5" t="str">
        <f>HYPERLINK("https://creighton-primo.hosted.exlibrisgroup.com/primo-explore/search?tab=default_tab&amp;search_scope=EVERYTHING&amp;vid=01CRU&amp;lang=en_US&amp;offset=0&amp;query=any,contains,991000619279702656","Catalog Record")</f>
        <v>Catalog Record</v>
      </c>
      <c r="AV86" s="5" t="str">
        <f>HYPERLINK("http://www.worldcat.org/oclc/11970909","WorldCat Record")</f>
        <v>WorldCat Record</v>
      </c>
      <c r="AW86" s="2" t="s">
        <v>1276</v>
      </c>
      <c r="AX86" s="2" t="s">
        <v>1277</v>
      </c>
      <c r="AY86" s="2" t="s">
        <v>1278</v>
      </c>
      <c r="AZ86" s="2" t="s">
        <v>1278</v>
      </c>
      <c r="BA86" s="2" t="s">
        <v>1279</v>
      </c>
      <c r="BB86" s="2" t="s">
        <v>79</v>
      </c>
      <c r="BD86" s="2" t="s">
        <v>1280</v>
      </c>
      <c r="BE86" s="2" t="s">
        <v>1281</v>
      </c>
      <c r="BF86" s="2" t="s">
        <v>1282</v>
      </c>
    </row>
    <row r="87" spans="1:58" ht="39.75" customHeight="1">
      <c r="A87" s="1"/>
      <c r="B87" s="1" t="s">
        <v>58</v>
      </c>
      <c r="C87" s="1" t="s">
        <v>59</v>
      </c>
      <c r="D87" s="1" t="s">
        <v>1283</v>
      </c>
      <c r="E87" s="1" t="s">
        <v>1284</v>
      </c>
      <c r="F87" s="1" t="s">
        <v>1285</v>
      </c>
      <c r="H87" s="2" t="s">
        <v>63</v>
      </c>
      <c r="I87" s="2" t="s">
        <v>64</v>
      </c>
      <c r="J87" s="2" t="s">
        <v>63</v>
      </c>
      <c r="K87" s="2" t="s">
        <v>63</v>
      </c>
      <c r="L87" s="2" t="s">
        <v>65</v>
      </c>
      <c r="M87" s="1" t="s">
        <v>1286</v>
      </c>
      <c r="N87" s="1" t="s">
        <v>1287</v>
      </c>
      <c r="O87" s="2" t="s">
        <v>254</v>
      </c>
      <c r="Q87" s="2" t="s">
        <v>68</v>
      </c>
      <c r="R87" s="2" t="s">
        <v>583</v>
      </c>
      <c r="T87" s="2" t="s">
        <v>71</v>
      </c>
      <c r="U87" s="3">
        <v>8</v>
      </c>
      <c r="V87" s="3">
        <v>8</v>
      </c>
      <c r="W87" s="4" t="s">
        <v>815</v>
      </c>
      <c r="X87" s="4" t="s">
        <v>815</v>
      </c>
      <c r="Y87" s="4" t="s">
        <v>1288</v>
      </c>
      <c r="Z87" s="4" t="s">
        <v>1288</v>
      </c>
      <c r="AA87" s="3">
        <v>244</v>
      </c>
      <c r="AB87" s="3">
        <v>223</v>
      </c>
      <c r="AC87" s="3">
        <v>232</v>
      </c>
      <c r="AD87" s="3">
        <v>1</v>
      </c>
      <c r="AE87" s="3">
        <v>1</v>
      </c>
      <c r="AF87" s="3">
        <v>18</v>
      </c>
      <c r="AG87" s="3">
        <v>19</v>
      </c>
      <c r="AH87" s="3">
        <v>4</v>
      </c>
      <c r="AI87" s="3">
        <v>4</v>
      </c>
      <c r="AJ87" s="3">
        <v>3</v>
      </c>
      <c r="AK87" s="3">
        <v>4</v>
      </c>
      <c r="AL87" s="3">
        <v>5</v>
      </c>
      <c r="AM87" s="3">
        <v>6</v>
      </c>
      <c r="AN87" s="3">
        <v>0</v>
      </c>
      <c r="AO87" s="3">
        <v>0</v>
      </c>
      <c r="AP87" s="3">
        <v>9</v>
      </c>
      <c r="AQ87" s="3">
        <v>9</v>
      </c>
      <c r="AR87" s="2" t="s">
        <v>63</v>
      </c>
      <c r="AS87" s="2" t="s">
        <v>63</v>
      </c>
      <c r="AU87" s="5" t="str">
        <f>HYPERLINK("https://creighton-primo.hosted.exlibrisgroup.com/primo-explore/search?tab=default_tab&amp;search_scope=EVERYTHING&amp;vid=01CRU&amp;lang=en_US&amp;offset=0&amp;query=any,contains,991001942179702656","Catalog Record")</f>
        <v>Catalog Record</v>
      </c>
      <c r="AV87" s="5" t="str">
        <f>HYPERLINK("http://www.worldcat.org/oclc/24542562","WorldCat Record")</f>
        <v>WorldCat Record</v>
      </c>
      <c r="AW87" s="2" t="s">
        <v>1289</v>
      </c>
      <c r="AX87" s="2" t="s">
        <v>1290</v>
      </c>
      <c r="AY87" s="2" t="s">
        <v>1291</v>
      </c>
      <c r="AZ87" s="2" t="s">
        <v>1291</v>
      </c>
      <c r="BA87" s="2" t="s">
        <v>1292</v>
      </c>
      <c r="BB87" s="2" t="s">
        <v>79</v>
      </c>
      <c r="BD87" s="2" t="s">
        <v>1293</v>
      </c>
      <c r="BE87" s="2" t="s">
        <v>1294</v>
      </c>
      <c r="BF87" s="2" t="s">
        <v>1295</v>
      </c>
    </row>
    <row r="88" spans="1:58" ht="39.75" customHeight="1">
      <c r="A88" s="1"/>
      <c r="B88" s="1" t="s">
        <v>58</v>
      </c>
      <c r="C88" s="1" t="s">
        <v>59</v>
      </c>
      <c r="D88" s="1" t="s">
        <v>1296</v>
      </c>
      <c r="E88" s="1" t="s">
        <v>1297</v>
      </c>
      <c r="F88" s="1" t="s">
        <v>1298</v>
      </c>
      <c r="H88" s="2" t="s">
        <v>63</v>
      </c>
      <c r="I88" s="2" t="s">
        <v>64</v>
      </c>
      <c r="J88" s="2" t="s">
        <v>74</v>
      </c>
      <c r="K88" s="2" t="s">
        <v>63</v>
      </c>
      <c r="L88" s="2" t="s">
        <v>65</v>
      </c>
      <c r="M88" s="1" t="s">
        <v>1299</v>
      </c>
      <c r="N88" s="1" t="s">
        <v>1300</v>
      </c>
      <c r="O88" s="2" t="s">
        <v>1301</v>
      </c>
      <c r="Q88" s="2" t="s">
        <v>68</v>
      </c>
      <c r="R88" s="2" t="s">
        <v>106</v>
      </c>
      <c r="S88" s="1" t="s">
        <v>1302</v>
      </c>
      <c r="T88" s="2" t="s">
        <v>71</v>
      </c>
      <c r="U88" s="3">
        <v>11</v>
      </c>
      <c r="V88" s="3">
        <v>11</v>
      </c>
      <c r="W88" s="4" t="s">
        <v>1274</v>
      </c>
      <c r="X88" s="4" t="s">
        <v>1274</v>
      </c>
      <c r="Y88" s="4" t="s">
        <v>1303</v>
      </c>
      <c r="Z88" s="4" t="s">
        <v>1303</v>
      </c>
      <c r="AA88" s="3">
        <v>323</v>
      </c>
      <c r="AB88" s="3">
        <v>239</v>
      </c>
      <c r="AC88" s="3">
        <v>259</v>
      </c>
      <c r="AD88" s="3">
        <v>4</v>
      </c>
      <c r="AE88" s="3">
        <v>4</v>
      </c>
      <c r="AF88" s="3">
        <v>11</v>
      </c>
      <c r="AG88" s="3">
        <v>11</v>
      </c>
      <c r="AH88" s="3">
        <v>3</v>
      </c>
      <c r="AI88" s="3">
        <v>3</v>
      </c>
      <c r="AJ88" s="3">
        <v>3</v>
      </c>
      <c r="AK88" s="3">
        <v>3</v>
      </c>
      <c r="AL88" s="3">
        <v>7</v>
      </c>
      <c r="AM88" s="3">
        <v>7</v>
      </c>
      <c r="AN88" s="3">
        <v>2</v>
      </c>
      <c r="AO88" s="3">
        <v>2</v>
      </c>
      <c r="AP88" s="3">
        <v>0</v>
      </c>
      <c r="AQ88" s="3">
        <v>0</v>
      </c>
      <c r="AR88" s="2" t="s">
        <v>63</v>
      </c>
      <c r="AS88" s="2" t="s">
        <v>63</v>
      </c>
      <c r="AU88" s="5" t="str">
        <f>HYPERLINK("https://creighton-primo.hosted.exlibrisgroup.com/primo-explore/search?tab=default_tab&amp;search_scope=EVERYTHING&amp;vid=01CRU&amp;lang=en_US&amp;offset=0&amp;query=any,contains,991001411799702656","Catalog Record")</f>
        <v>Catalog Record</v>
      </c>
      <c r="AV88" s="5" t="str">
        <f>HYPERLINK("http://www.worldcat.org/oclc/18908077","WorldCat Record")</f>
        <v>WorldCat Record</v>
      </c>
      <c r="AW88" s="2" t="s">
        <v>1304</v>
      </c>
      <c r="AX88" s="2" t="s">
        <v>1305</v>
      </c>
      <c r="AY88" s="2" t="s">
        <v>1306</v>
      </c>
      <c r="AZ88" s="2" t="s">
        <v>1306</v>
      </c>
      <c r="BA88" s="2" t="s">
        <v>1307</v>
      </c>
      <c r="BB88" s="2" t="s">
        <v>79</v>
      </c>
      <c r="BD88" s="2" t="s">
        <v>1308</v>
      </c>
      <c r="BE88" s="2" t="s">
        <v>1309</v>
      </c>
      <c r="BF88" s="2" t="s">
        <v>1310</v>
      </c>
    </row>
    <row r="89" spans="1:58" ht="39.75" customHeight="1">
      <c r="A89" s="1"/>
      <c r="B89" s="1" t="s">
        <v>58</v>
      </c>
      <c r="C89" s="1" t="s">
        <v>59</v>
      </c>
      <c r="D89" s="1" t="s">
        <v>1311</v>
      </c>
      <c r="E89" s="1" t="s">
        <v>1312</v>
      </c>
      <c r="F89" s="1" t="s">
        <v>1313</v>
      </c>
      <c r="H89" s="2" t="s">
        <v>63</v>
      </c>
      <c r="I89" s="2" t="s">
        <v>64</v>
      </c>
      <c r="J89" s="2" t="s">
        <v>63</v>
      </c>
      <c r="K89" s="2" t="s">
        <v>63</v>
      </c>
      <c r="L89" s="2" t="s">
        <v>65</v>
      </c>
      <c r="N89" s="1" t="s">
        <v>1314</v>
      </c>
      <c r="O89" s="2" t="s">
        <v>314</v>
      </c>
      <c r="Q89" s="2" t="s">
        <v>68</v>
      </c>
      <c r="R89" s="2" t="s">
        <v>106</v>
      </c>
      <c r="S89" s="1" t="s">
        <v>1315</v>
      </c>
      <c r="T89" s="2" t="s">
        <v>71</v>
      </c>
      <c r="U89" s="3">
        <v>1</v>
      </c>
      <c r="V89" s="3">
        <v>1</v>
      </c>
      <c r="W89" s="4" t="s">
        <v>1316</v>
      </c>
      <c r="X89" s="4" t="s">
        <v>1316</v>
      </c>
      <c r="Y89" s="4" t="s">
        <v>1316</v>
      </c>
      <c r="Z89" s="4" t="s">
        <v>1316</v>
      </c>
      <c r="AA89" s="3">
        <v>316</v>
      </c>
      <c r="AB89" s="3">
        <v>270</v>
      </c>
      <c r="AC89" s="3">
        <v>295</v>
      </c>
      <c r="AD89" s="3">
        <v>1</v>
      </c>
      <c r="AE89" s="3">
        <v>1</v>
      </c>
      <c r="AF89" s="3">
        <v>8</v>
      </c>
      <c r="AG89" s="3">
        <v>8</v>
      </c>
      <c r="AH89" s="3">
        <v>3</v>
      </c>
      <c r="AI89" s="3">
        <v>3</v>
      </c>
      <c r="AJ89" s="3">
        <v>2</v>
      </c>
      <c r="AK89" s="3">
        <v>2</v>
      </c>
      <c r="AL89" s="3">
        <v>7</v>
      </c>
      <c r="AM89" s="3">
        <v>7</v>
      </c>
      <c r="AN89" s="3">
        <v>0</v>
      </c>
      <c r="AO89" s="3">
        <v>0</v>
      </c>
      <c r="AP89" s="3">
        <v>0</v>
      </c>
      <c r="AQ89" s="3">
        <v>0</v>
      </c>
      <c r="AR89" s="2" t="s">
        <v>63</v>
      </c>
      <c r="AS89" s="2" t="s">
        <v>74</v>
      </c>
      <c r="AT89" s="5" t="str">
        <f>HYPERLINK("http://catalog.hathitrust.org/Record/000093292","HathiTrust Record")</f>
        <v>HathiTrust Record</v>
      </c>
      <c r="AU89" s="5" t="str">
        <f>HYPERLINK("https://creighton-primo.hosted.exlibrisgroup.com/primo-explore/search?tab=default_tab&amp;search_scope=EVERYTHING&amp;vid=01CRU&amp;lang=en_US&amp;offset=0&amp;query=any,contains,991003990749702656","Catalog Record")</f>
        <v>Catalog Record</v>
      </c>
      <c r="AV89" s="5" t="str">
        <f>HYPERLINK("http://www.worldcat.org/oclc/7731121","WorldCat Record")</f>
        <v>WorldCat Record</v>
      </c>
      <c r="AW89" s="2" t="s">
        <v>1317</v>
      </c>
      <c r="AX89" s="2" t="s">
        <v>1318</v>
      </c>
      <c r="AY89" s="2" t="s">
        <v>1319</v>
      </c>
      <c r="AZ89" s="2" t="s">
        <v>1319</v>
      </c>
      <c r="BA89" s="2" t="s">
        <v>1320</v>
      </c>
      <c r="BB89" s="2" t="s">
        <v>79</v>
      </c>
      <c r="BD89" s="2" t="s">
        <v>1321</v>
      </c>
      <c r="BE89" s="2" t="s">
        <v>1322</v>
      </c>
      <c r="BF89" s="2" t="s">
        <v>1323</v>
      </c>
    </row>
    <row r="90" spans="1:58" ht="39.75" customHeight="1">
      <c r="A90" s="1"/>
      <c r="B90" s="1" t="s">
        <v>58</v>
      </c>
      <c r="C90" s="1" t="s">
        <v>59</v>
      </c>
      <c r="D90" s="1" t="s">
        <v>1324</v>
      </c>
      <c r="E90" s="1" t="s">
        <v>1325</v>
      </c>
      <c r="F90" s="1" t="s">
        <v>1326</v>
      </c>
      <c r="H90" s="2" t="s">
        <v>63</v>
      </c>
      <c r="I90" s="2" t="s">
        <v>64</v>
      </c>
      <c r="J90" s="2" t="s">
        <v>63</v>
      </c>
      <c r="K90" s="2" t="s">
        <v>63</v>
      </c>
      <c r="L90" s="2" t="s">
        <v>65</v>
      </c>
      <c r="N90" s="1" t="s">
        <v>1327</v>
      </c>
      <c r="O90" s="2" t="s">
        <v>121</v>
      </c>
      <c r="Q90" s="2" t="s">
        <v>68</v>
      </c>
      <c r="R90" s="2" t="s">
        <v>181</v>
      </c>
      <c r="T90" s="2" t="s">
        <v>71</v>
      </c>
      <c r="U90" s="3">
        <v>6</v>
      </c>
      <c r="V90" s="3">
        <v>6</v>
      </c>
      <c r="W90" s="4" t="s">
        <v>1219</v>
      </c>
      <c r="X90" s="4" t="s">
        <v>1219</v>
      </c>
      <c r="Y90" s="4" t="s">
        <v>1328</v>
      </c>
      <c r="Z90" s="4" t="s">
        <v>1328</v>
      </c>
      <c r="AA90" s="3">
        <v>107</v>
      </c>
      <c r="AB90" s="3">
        <v>93</v>
      </c>
      <c r="AC90" s="3">
        <v>94</v>
      </c>
      <c r="AD90" s="3">
        <v>1</v>
      </c>
      <c r="AE90" s="3">
        <v>1</v>
      </c>
      <c r="AF90" s="3">
        <v>2</v>
      </c>
      <c r="AG90" s="3">
        <v>2</v>
      </c>
      <c r="AH90" s="3">
        <v>1</v>
      </c>
      <c r="AI90" s="3">
        <v>1</v>
      </c>
      <c r="AJ90" s="3">
        <v>1</v>
      </c>
      <c r="AK90" s="3">
        <v>1</v>
      </c>
      <c r="AL90" s="3">
        <v>1</v>
      </c>
      <c r="AM90" s="3">
        <v>1</v>
      </c>
      <c r="AN90" s="3">
        <v>0</v>
      </c>
      <c r="AO90" s="3">
        <v>0</v>
      </c>
      <c r="AP90" s="3">
        <v>0</v>
      </c>
      <c r="AQ90" s="3">
        <v>0</v>
      </c>
      <c r="AR90" s="2" t="s">
        <v>63</v>
      </c>
      <c r="AS90" s="2" t="s">
        <v>63</v>
      </c>
      <c r="AU90" s="5" t="str">
        <f>HYPERLINK("https://creighton-primo.hosted.exlibrisgroup.com/primo-explore/search?tab=default_tab&amp;search_scope=EVERYTHING&amp;vid=01CRU&amp;lang=en_US&amp;offset=0&amp;query=any,contains,991004682699702656","Catalog Record")</f>
        <v>Catalog Record</v>
      </c>
      <c r="AV90" s="5" t="str">
        <f>HYPERLINK("http://www.worldcat.org/oclc/4577542","WorldCat Record")</f>
        <v>WorldCat Record</v>
      </c>
      <c r="AW90" s="2" t="s">
        <v>1329</v>
      </c>
      <c r="AX90" s="2" t="s">
        <v>1330</v>
      </c>
      <c r="AY90" s="2" t="s">
        <v>1331</v>
      </c>
      <c r="AZ90" s="2" t="s">
        <v>1331</v>
      </c>
      <c r="BA90" s="2" t="s">
        <v>1332</v>
      </c>
      <c r="BB90" s="2" t="s">
        <v>79</v>
      </c>
      <c r="BD90" s="2" t="s">
        <v>1333</v>
      </c>
      <c r="BE90" s="2" t="s">
        <v>1334</v>
      </c>
      <c r="BF90" s="2" t="s">
        <v>1335</v>
      </c>
    </row>
    <row r="91" spans="1:58" ht="39.75" customHeight="1">
      <c r="A91" s="1"/>
      <c r="B91" s="1" t="s">
        <v>58</v>
      </c>
      <c r="C91" s="1" t="s">
        <v>59</v>
      </c>
      <c r="D91" s="1" t="s">
        <v>1336</v>
      </c>
      <c r="E91" s="1" t="s">
        <v>1337</v>
      </c>
      <c r="F91" s="1" t="s">
        <v>1338</v>
      </c>
      <c r="H91" s="2" t="s">
        <v>63</v>
      </c>
      <c r="I91" s="2" t="s">
        <v>64</v>
      </c>
      <c r="J91" s="2" t="s">
        <v>63</v>
      </c>
      <c r="K91" s="2" t="s">
        <v>63</v>
      </c>
      <c r="L91" s="2" t="s">
        <v>65</v>
      </c>
      <c r="N91" s="1" t="s">
        <v>1339</v>
      </c>
      <c r="O91" s="2" t="s">
        <v>151</v>
      </c>
      <c r="Q91" s="2" t="s">
        <v>68</v>
      </c>
      <c r="R91" s="2" t="s">
        <v>181</v>
      </c>
      <c r="S91" s="1" t="s">
        <v>1340</v>
      </c>
      <c r="T91" s="2" t="s">
        <v>71</v>
      </c>
      <c r="U91" s="3">
        <v>6</v>
      </c>
      <c r="V91" s="3">
        <v>6</v>
      </c>
      <c r="W91" s="4" t="s">
        <v>1341</v>
      </c>
      <c r="X91" s="4" t="s">
        <v>1341</v>
      </c>
      <c r="Y91" s="4" t="s">
        <v>614</v>
      </c>
      <c r="Z91" s="4" t="s">
        <v>614</v>
      </c>
      <c r="AA91" s="3">
        <v>422</v>
      </c>
      <c r="AB91" s="3">
        <v>379</v>
      </c>
      <c r="AC91" s="3">
        <v>400</v>
      </c>
      <c r="AD91" s="3">
        <v>3</v>
      </c>
      <c r="AE91" s="3">
        <v>3</v>
      </c>
      <c r="AF91" s="3">
        <v>21</v>
      </c>
      <c r="AG91" s="3">
        <v>22</v>
      </c>
      <c r="AH91" s="3">
        <v>6</v>
      </c>
      <c r="AI91" s="3">
        <v>6</v>
      </c>
      <c r="AJ91" s="3">
        <v>4</v>
      </c>
      <c r="AK91" s="3">
        <v>4</v>
      </c>
      <c r="AL91" s="3">
        <v>8</v>
      </c>
      <c r="AM91" s="3">
        <v>8</v>
      </c>
      <c r="AN91" s="3">
        <v>2</v>
      </c>
      <c r="AO91" s="3">
        <v>2</v>
      </c>
      <c r="AP91" s="3">
        <v>5</v>
      </c>
      <c r="AQ91" s="3">
        <v>6</v>
      </c>
      <c r="AR91" s="2" t="s">
        <v>63</v>
      </c>
      <c r="AS91" s="2" t="s">
        <v>74</v>
      </c>
      <c r="AT91" s="5" t="str">
        <f>HYPERLINK("http://catalog.hathitrust.org/Record/000413522","HathiTrust Record")</f>
        <v>HathiTrust Record</v>
      </c>
      <c r="AU91" s="5" t="str">
        <f>HYPERLINK("https://creighton-primo.hosted.exlibrisgroup.com/primo-explore/search?tab=default_tab&amp;search_scope=EVERYTHING&amp;vid=01CRU&amp;lang=en_US&amp;offset=0&amp;query=any,contains,991000586149702656","Catalog Record")</f>
        <v>Catalog Record</v>
      </c>
      <c r="AV91" s="5" t="str">
        <f>HYPERLINK("http://www.worldcat.org/oclc/11757204","WorldCat Record")</f>
        <v>WorldCat Record</v>
      </c>
      <c r="AW91" s="2" t="s">
        <v>1342</v>
      </c>
      <c r="AX91" s="2" t="s">
        <v>1343</v>
      </c>
      <c r="AY91" s="2" t="s">
        <v>1344</v>
      </c>
      <c r="AZ91" s="2" t="s">
        <v>1344</v>
      </c>
      <c r="BA91" s="2" t="s">
        <v>1345</v>
      </c>
      <c r="BB91" s="2" t="s">
        <v>79</v>
      </c>
      <c r="BD91" s="2" t="s">
        <v>1346</v>
      </c>
      <c r="BE91" s="2" t="s">
        <v>1347</v>
      </c>
      <c r="BF91" s="2" t="s">
        <v>1348</v>
      </c>
    </row>
    <row r="92" spans="1:58" ht="39.75" customHeight="1">
      <c r="A92" s="1"/>
      <c r="B92" s="1" t="s">
        <v>58</v>
      </c>
      <c r="C92" s="1" t="s">
        <v>59</v>
      </c>
      <c r="D92" s="1" t="s">
        <v>1349</v>
      </c>
      <c r="E92" s="1" t="s">
        <v>1350</v>
      </c>
      <c r="F92" s="1" t="s">
        <v>1351</v>
      </c>
      <c r="H92" s="2" t="s">
        <v>63</v>
      </c>
      <c r="I92" s="2" t="s">
        <v>64</v>
      </c>
      <c r="J92" s="2" t="s">
        <v>63</v>
      </c>
      <c r="K92" s="2" t="s">
        <v>63</v>
      </c>
      <c r="L92" s="2" t="s">
        <v>65</v>
      </c>
      <c r="M92" s="1" t="s">
        <v>1352</v>
      </c>
      <c r="N92" s="1" t="s">
        <v>1353</v>
      </c>
      <c r="O92" s="2" t="s">
        <v>598</v>
      </c>
      <c r="Q92" s="2" t="s">
        <v>68</v>
      </c>
      <c r="R92" s="2" t="s">
        <v>385</v>
      </c>
      <c r="S92" s="1" t="s">
        <v>1354</v>
      </c>
      <c r="T92" s="2" t="s">
        <v>71</v>
      </c>
      <c r="U92" s="3">
        <v>2</v>
      </c>
      <c r="V92" s="3">
        <v>2</v>
      </c>
      <c r="W92" s="4" t="s">
        <v>1355</v>
      </c>
      <c r="X92" s="4" t="s">
        <v>1355</v>
      </c>
      <c r="Y92" s="4" t="s">
        <v>1356</v>
      </c>
      <c r="Z92" s="4" t="s">
        <v>1356</v>
      </c>
      <c r="AA92" s="3">
        <v>456</v>
      </c>
      <c r="AB92" s="3">
        <v>397</v>
      </c>
      <c r="AC92" s="3">
        <v>398</v>
      </c>
      <c r="AD92" s="3">
        <v>1</v>
      </c>
      <c r="AE92" s="3">
        <v>1</v>
      </c>
      <c r="AF92" s="3">
        <v>20</v>
      </c>
      <c r="AG92" s="3">
        <v>20</v>
      </c>
      <c r="AH92" s="3">
        <v>6</v>
      </c>
      <c r="AI92" s="3">
        <v>6</v>
      </c>
      <c r="AJ92" s="3">
        <v>7</v>
      </c>
      <c r="AK92" s="3">
        <v>7</v>
      </c>
      <c r="AL92" s="3">
        <v>10</v>
      </c>
      <c r="AM92" s="3">
        <v>10</v>
      </c>
      <c r="AN92" s="3">
        <v>0</v>
      </c>
      <c r="AO92" s="3">
        <v>0</v>
      </c>
      <c r="AP92" s="3">
        <v>5</v>
      </c>
      <c r="AQ92" s="3">
        <v>5</v>
      </c>
      <c r="AR92" s="2" t="s">
        <v>63</v>
      </c>
      <c r="AS92" s="2" t="s">
        <v>63</v>
      </c>
      <c r="AU92" s="5" t="str">
        <f>HYPERLINK("https://creighton-primo.hosted.exlibrisgroup.com/primo-explore/search?tab=default_tab&amp;search_scope=EVERYTHING&amp;vid=01CRU&amp;lang=en_US&amp;offset=0&amp;query=any,contains,991002296429702656","Catalog Record")</f>
        <v>Catalog Record</v>
      </c>
      <c r="AV92" s="5" t="str">
        <f>HYPERLINK("http://www.worldcat.org/oclc/29794040","WorldCat Record")</f>
        <v>WorldCat Record</v>
      </c>
      <c r="AW92" s="2" t="s">
        <v>1357</v>
      </c>
      <c r="AX92" s="2" t="s">
        <v>1358</v>
      </c>
      <c r="AY92" s="2" t="s">
        <v>1359</v>
      </c>
      <c r="AZ92" s="2" t="s">
        <v>1359</v>
      </c>
      <c r="BA92" s="2" t="s">
        <v>1360</v>
      </c>
      <c r="BB92" s="2" t="s">
        <v>79</v>
      </c>
      <c r="BD92" s="2" t="s">
        <v>1361</v>
      </c>
      <c r="BE92" s="2" t="s">
        <v>1362</v>
      </c>
      <c r="BF92" s="2" t="s">
        <v>1363</v>
      </c>
    </row>
    <row r="93" spans="1:58" ht="39.75" customHeight="1">
      <c r="A93" s="1"/>
      <c r="B93" s="1" t="s">
        <v>58</v>
      </c>
      <c r="C93" s="1" t="s">
        <v>59</v>
      </c>
      <c r="D93" s="1" t="s">
        <v>1364</v>
      </c>
      <c r="E93" s="1" t="s">
        <v>1365</v>
      </c>
      <c r="F93" s="1" t="s">
        <v>1366</v>
      </c>
      <c r="H93" s="2" t="s">
        <v>63</v>
      </c>
      <c r="I93" s="2" t="s">
        <v>64</v>
      </c>
      <c r="J93" s="2" t="s">
        <v>63</v>
      </c>
      <c r="K93" s="2" t="s">
        <v>63</v>
      </c>
      <c r="L93" s="2" t="s">
        <v>65</v>
      </c>
      <c r="N93" s="1" t="s">
        <v>1367</v>
      </c>
      <c r="O93" s="2" t="s">
        <v>798</v>
      </c>
      <c r="Q93" s="2" t="s">
        <v>68</v>
      </c>
      <c r="R93" s="2" t="s">
        <v>106</v>
      </c>
      <c r="S93" s="1" t="s">
        <v>1368</v>
      </c>
      <c r="T93" s="2" t="s">
        <v>71</v>
      </c>
      <c r="U93" s="3">
        <v>15</v>
      </c>
      <c r="V93" s="3">
        <v>15</v>
      </c>
      <c r="W93" s="4" t="s">
        <v>1369</v>
      </c>
      <c r="X93" s="4" t="s">
        <v>1369</v>
      </c>
      <c r="Y93" s="4" t="s">
        <v>1370</v>
      </c>
      <c r="Z93" s="4" t="s">
        <v>1370</v>
      </c>
      <c r="AA93" s="3">
        <v>240</v>
      </c>
      <c r="AB93" s="3">
        <v>229</v>
      </c>
      <c r="AC93" s="3">
        <v>230</v>
      </c>
      <c r="AD93" s="3">
        <v>2</v>
      </c>
      <c r="AE93" s="3">
        <v>2</v>
      </c>
      <c r="AF93" s="3">
        <v>14</v>
      </c>
      <c r="AG93" s="3">
        <v>14</v>
      </c>
      <c r="AH93" s="3">
        <v>1</v>
      </c>
      <c r="AI93" s="3">
        <v>1</v>
      </c>
      <c r="AJ93" s="3">
        <v>5</v>
      </c>
      <c r="AK93" s="3">
        <v>5</v>
      </c>
      <c r="AL93" s="3">
        <v>6</v>
      </c>
      <c r="AM93" s="3">
        <v>6</v>
      </c>
      <c r="AN93" s="3">
        <v>1</v>
      </c>
      <c r="AO93" s="3">
        <v>1</v>
      </c>
      <c r="AP93" s="3">
        <v>5</v>
      </c>
      <c r="AQ93" s="3">
        <v>5</v>
      </c>
      <c r="AR93" s="2" t="s">
        <v>63</v>
      </c>
      <c r="AS93" s="2" t="s">
        <v>74</v>
      </c>
      <c r="AT93" s="5" t="str">
        <f>HYPERLINK("http://catalog.hathitrust.org/Record/002648008","HathiTrust Record")</f>
        <v>HathiTrust Record</v>
      </c>
      <c r="AU93" s="5" t="str">
        <f>HYPERLINK("https://creighton-primo.hosted.exlibrisgroup.com/primo-explore/search?tab=default_tab&amp;search_scope=EVERYTHING&amp;vid=01CRU&amp;lang=en_US&amp;offset=0&amp;query=any,contains,991002116319702656","Catalog Record")</f>
        <v>Catalog Record</v>
      </c>
      <c r="AV93" s="5" t="str">
        <f>HYPERLINK("http://www.worldcat.org/oclc/27110474","WorldCat Record")</f>
        <v>WorldCat Record</v>
      </c>
      <c r="AW93" s="2" t="s">
        <v>1371</v>
      </c>
      <c r="AX93" s="2" t="s">
        <v>1372</v>
      </c>
      <c r="AY93" s="2" t="s">
        <v>1373</v>
      </c>
      <c r="AZ93" s="2" t="s">
        <v>1373</v>
      </c>
      <c r="BA93" s="2" t="s">
        <v>1374</v>
      </c>
      <c r="BB93" s="2" t="s">
        <v>79</v>
      </c>
      <c r="BD93" s="2" t="s">
        <v>1375</v>
      </c>
      <c r="BE93" s="2" t="s">
        <v>1376</v>
      </c>
      <c r="BF93" s="2" t="s">
        <v>1377</v>
      </c>
    </row>
    <row r="94" spans="1:58" ht="39.75" customHeight="1">
      <c r="A94" s="1"/>
      <c r="B94" s="1" t="s">
        <v>58</v>
      </c>
      <c r="C94" s="1" t="s">
        <v>59</v>
      </c>
      <c r="D94" s="1" t="s">
        <v>1378</v>
      </c>
      <c r="E94" s="1" t="s">
        <v>1379</v>
      </c>
      <c r="F94" s="1" t="s">
        <v>1380</v>
      </c>
      <c r="H94" s="2" t="s">
        <v>63</v>
      </c>
      <c r="I94" s="2" t="s">
        <v>64</v>
      </c>
      <c r="J94" s="2" t="s">
        <v>74</v>
      </c>
      <c r="K94" s="2" t="s">
        <v>63</v>
      </c>
      <c r="L94" s="2" t="s">
        <v>65</v>
      </c>
      <c r="N94" s="1" t="s">
        <v>1381</v>
      </c>
      <c r="O94" s="2" t="s">
        <v>166</v>
      </c>
      <c r="Q94" s="2" t="s">
        <v>68</v>
      </c>
      <c r="R94" s="2" t="s">
        <v>583</v>
      </c>
      <c r="T94" s="2" t="s">
        <v>71</v>
      </c>
      <c r="U94" s="3">
        <v>8</v>
      </c>
      <c r="V94" s="3">
        <v>14</v>
      </c>
      <c r="W94" s="4" t="s">
        <v>1248</v>
      </c>
      <c r="X94" s="4" t="s">
        <v>1248</v>
      </c>
      <c r="Y94" s="4" t="s">
        <v>1382</v>
      </c>
      <c r="Z94" s="4" t="s">
        <v>1382</v>
      </c>
      <c r="AA94" s="3">
        <v>527</v>
      </c>
      <c r="AB94" s="3">
        <v>506</v>
      </c>
      <c r="AC94" s="3">
        <v>507</v>
      </c>
      <c r="AD94" s="3">
        <v>6</v>
      </c>
      <c r="AE94" s="3">
        <v>6</v>
      </c>
      <c r="AF94" s="3">
        <v>19</v>
      </c>
      <c r="AG94" s="3">
        <v>19</v>
      </c>
      <c r="AH94" s="3">
        <v>6</v>
      </c>
      <c r="AI94" s="3">
        <v>6</v>
      </c>
      <c r="AJ94" s="3">
        <v>3</v>
      </c>
      <c r="AK94" s="3">
        <v>3</v>
      </c>
      <c r="AL94" s="3">
        <v>13</v>
      </c>
      <c r="AM94" s="3">
        <v>13</v>
      </c>
      <c r="AN94" s="3">
        <v>4</v>
      </c>
      <c r="AO94" s="3">
        <v>4</v>
      </c>
      <c r="AP94" s="3">
        <v>0</v>
      </c>
      <c r="AQ94" s="3">
        <v>0</v>
      </c>
      <c r="AR94" s="2" t="s">
        <v>63</v>
      </c>
      <c r="AS94" s="2" t="s">
        <v>74</v>
      </c>
      <c r="AT94" s="5" t="str">
        <f>HYPERLINK("http://catalog.hathitrust.org/Record/000902040","HathiTrust Record")</f>
        <v>HathiTrust Record</v>
      </c>
      <c r="AU94" s="5" t="str">
        <f>HYPERLINK("https://creighton-primo.hosted.exlibrisgroup.com/primo-explore/search?tab=default_tab&amp;search_scope=EVERYTHING&amp;vid=01CRU&amp;lang=en_US&amp;offset=0&amp;query=any,contains,991001789639702656","Catalog Record")</f>
        <v>Catalog Record</v>
      </c>
      <c r="AV94" s="5" t="str">
        <f>HYPERLINK("http://www.worldcat.org/oclc/17747965","WorldCat Record")</f>
        <v>WorldCat Record</v>
      </c>
      <c r="AW94" s="2" t="s">
        <v>1383</v>
      </c>
      <c r="AX94" s="2" t="s">
        <v>1384</v>
      </c>
      <c r="AY94" s="2" t="s">
        <v>1385</v>
      </c>
      <c r="AZ94" s="2" t="s">
        <v>1385</v>
      </c>
      <c r="BA94" s="2" t="s">
        <v>1386</v>
      </c>
      <c r="BB94" s="2" t="s">
        <v>79</v>
      </c>
      <c r="BE94" s="2" t="s">
        <v>1387</v>
      </c>
      <c r="BF94" s="2" t="s">
        <v>1388</v>
      </c>
    </row>
    <row r="95" spans="1:58" ht="39.75" customHeight="1">
      <c r="A95" s="1"/>
      <c r="B95" s="1" t="s">
        <v>58</v>
      </c>
      <c r="C95" s="1" t="s">
        <v>59</v>
      </c>
      <c r="D95" s="1" t="s">
        <v>1389</v>
      </c>
      <c r="E95" s="1" t="s">
        <v>1390</v>
      </c>
      <c r="F95" s="1" t="s">
        <v>1391</v>
      </c>
      <c r="H95" s="2" t="s">
        <v>63</v>
      </c>
      <c r="I95" s="2" t="s">
        <v>64</v>
      </c>
      <c r="J95" s="2" t="s">
        <v>63</v>
      </c>
      <c r="K95" s="2" t="s">
        <v>63</v>
      </c>
      <c r="L95" s="2" t="s">
        <v>65</v>
      </c>
      <c r="M95" s="1" t="s">
        <v>1392</v>
      </c>
      <c r="N95" s="1" t="s">
        <v>611</v>
      </c>
      <c r="O95" s="2" t="s">
        <v>105</v>
      </c>
      <c r="Q95" s="2" t="s">
        <v>68</v>
      </c>
      <c r="R95" s="2" t="s">
        <v>181</v>
      </c>
      <c r="S95" s="1" t="s">
        <v>1393</v>
      </c>
      <c r="T95" s="2" t="s">
        <v>71</v>
      </c>
      <c r="U95" s="3">
        <v>13</v>
      </c>
      <c r="V95" s="3">
        <v>13</v>
      </c>
      <c r="W95" s="4" t="s">
        <v>1394</v>
      </c>
      <c r="X95" s="4" t="s">
        <v>1394</v>
      </c>
      <c r="Y95" s="4" t="s">
        <v>614</v>
      </c>
      <c r="Z95" s="4" t="s">
        <v>614</v>
      </c>
      <c r="AA95" s="3">
        <v>300</v>
      </c>
      <c r="AB95" s="3">
        <v>276</v>
      </c>
      <c r="AC95" s="3">
        <v>277</v>
      </c>
      <c r="AD95" s="3">
        <v>3</v>
      </c>
      <c r="AE95" s="3">
        <v>3</v>
      </c>
      <c r="AF95" s="3">
        <v>15</v>
      </c>
      <c r="AG95" s="3">
        <v>15</v>
      </c>
      <c r="AH95" s="3">
        <v>4</v>
      </c>
      <c r="AI95" s="3">
        <v>4</v>
      </c>
      <c r="AJ95" s="3">
        <v>3</v>
      </c>
      <c r="AK95" s="3">
        <v>3</v>
      </c>
      <c r="AL95" s="3">
        <v>6</v>
      </c>
      <c r="AM95" s="3">
        <v>6</v>
      </c>
      <c r="AN95" s="3">
        <v>2</v>
      </c>
      <c r="AO95" s="3">
        <v>2</v>
      </c>
      <c r="AP95" s="3">
        <v>4</v>
      </c>
      <c r="AQ95" s="3">
        <v>4</v>
      </c>
      <c r="AR95" s="2" t="s">
        <v>63</v>
      </c>
      <c r="AS95" s="2" t="s">
        <v>74</v>
      </c>
      <c r="AT95" s="5" t="str">
        <f>HYPERLINK("http://catalog.hathitrust.org/Record/000587180","HathiTrust Record")</f>
        <v>HathiTrust Record</v>
      </c>
      <c r="AU95" s="5" t="str">
        <f>HYPERLINK("https://creighton-primo.hosted.exlibrisgroup.com/primo-explore/search?tab=default_tab&amp;search_scope=EVERYTHING&amp;vid=01CRU&amp;lang=en_US&amp;offset=0&amp;query=any,contains,991000754129702656","Catalog Record")</f>
        <v>Catalog Record</v>
      </c>
      <c r="AV95" s="5" t="str">
        <f>HYPERLINK("http://www.worldcat.org/oclc/12945734","WorldCat Record")</f>
        <v>WorldCat Record</v>
      </c>
      <c r="AW95" s="2" t="s">
        <v>1395</v>
      </c>
      <c r="AX95" s="2" t="s">
        <v>1396</v>
      </c>
      <c r="AY95" s="2" t="s">
        <v>1397</v>
      </c>
      <c r="AZ95" s="2" t="s">
        <v>1397</v>
      </c>
      <c r="BA95" s="2" t="s">
        <v>1398</v>
      </c>
      <c r="BB95" s="2" t="s">
        <v>79</v>
      </c>
      <c r="BD95" s="2" t="s">
        <v>1399</v>
      </c>
      <c r="BE95" s="2" t="s">
        <v>1400</v>
      </c>
      <c r="BF95" s="2" t="s">
        <v>1401</v>
      </c>
    </row>
    <row r="96" spans="1:58" ht="39.75" customHeight="1">
      <c r="A96" s="1"/>
      <c r="B96" s="1" t="s">
        <v>58</v>
      </c>
      <c r="C96" s="1" t="s">
        <v>59</v>
      </c>
      <c r="D96" s="1" t="s">
        <v>1402</v>
      </c>
      <c r="E96" s="1" t="s">
        <v>1403</v>
      </c>
      <c r="F96" s="1" t="s">
        <v>1404</v>
      </c>
      <c r="H96" s="2" t="s">
        <v>63</v>
      </c>
      <c r="I96" s="2" t="s">
        <v>64</v>
      </c>
      <c r="J96" s="2" t="s">
        <v>63</v>
      </c>
      <c r="K96" s="2" t="s">
        <v>63</v>
      </c>
      <c r="L96" s="2" t="s">
        <v>65</v>
      </c>
      <c r="M96" s="1" t="s">
        <v>1405</v>
      </c>
      <c r="N96" s="1" t="s">
        <v>1406</v>
      </c>
      <c r="O96" s="2" t="s">
        <v>870</v>
      </c>
      <c r="Q96" s="2" t="s">
        <v>68</v>
      </c>
      <c r="R96" s="2" t="s">
        <v>399</v>
      </c>
      <c r="S96" s="1" t="s">
        <v>1407</v>
      </c>
      <c r="T96" s="2" t="s">
        <v>71</v>
      </c>
      <c r="U96" s="3">
        <v>3</v>
      </c>
      <c r="V96" s="3">
        <v>3</v>
      </c>
      <c r="W96" s="4" t="s">
        <v>1408</v>
      </c>
      <c r="X96" s="4" t="s">
        <v>1408</v>
      </c>
      <c r="Y96" s="4" t="s">
        <v>333</v>
      </c>
      <c r="Z96" s="4" t="s">
        <v>333</v>
      </c>
      <c r="AA96" s="3">
        <v>297</v>
      </c>
      <c r="AB96" s="3">
        <v>262</v>
      </c>
      <c r="AC96" s="3">
        <v>303</v>
      </c>
      <c r="AD96" s="3">
        <v>1</v>
      </c>
      <c r="AE96" s="3">
        <v>1</v>
      </c>
      <c r="AF96" s="3">
        <v>9</v>
      </c>
      <c r="AG96" s="3">
        <v>10</v>
      </c>
      <c r="AH96" s="3">
        <v>1</v>
      </c>
      <c r="AI96" s="3">
        <v>1</v>
      </c>
      <c r="AJ96" s="3">
        <v>4</v>
      </c>
      <c r="AK96" s="3">
        <v>4</v>
      </c>
      <c r="AL96" s="3">
        <v>7</v>
      </c>
      <c r="AM96" s="3">
        <v>8</v>
      </c>
      <c r="AN96" s="3">
        <v>0</v>
      </c>
      <c r="AO96" s="3">
        <v>0</v>
      </c>
      <c r="AP96" s="3">
        <v>1</v>
      </c>
      <c r="AQ96" s="3">
        <v>1</v>
      </c>
      <c r="AR96" s="2" t="s">
        <v>63</v>
      </c>
      <c r="AS96" s="2" t="s">
        <v>74</v>
      </c>
      <c r="AT96" s="5" t="str">
        <f>HYPERLINK("http://catalog.hathitrust.org/Record/001558606","HathiTrust Record")</f>
        <v>HathiTrust Record</v>
      </c>
      <c r="AU96" s="5" t="str">
        <f>HYPERLINK("https://creighton-primo.hosted.exlibrisgroup.com/primo-explore/search?tab=default_tab&amp;search_scope=EVERYTHING&amp;vid=01CRU&amp;lang=en_US&amp;offset=0&amp;query=any,contains,991003693059702656","Catalog Record")</f>
        <v>Catalog Record</v>
      </c>
      <c r="AV96" s="5" t="str">
        <f>HYPERLINK("http://www.worldcat.org/oclc/1323727","WorldCat Record")</f>
        <v>WorldCat Record</v>
      </c>
      <c r="AW96" s="2" t="s">
        <v>1409</v>
      </c>
      <c r="AX96" s="2" t="s">
        <v>1410</v>
      </c>
      <c r="AY96" s="2" t="s">
        <v>1411</v>
      </c>
      <c r="AZ96" s="2" t="s">
        <v>1411</v>
      </c>
      <c r="BA96" s="2" t="s">
        <v>1412</v>
      </c>
      <c r="BB96" s="2" t="s">
        <v>79</v>
      </c>
      <c r="BD96" s="2" t="s">
        <v>1413</v>
      </c>
      <c r="BE96" s="2" t="s">
        <v>1414</v>
      </c>
      <c r="BF96" s="2" t="s">
        <v>1415</v>
      </c>
    </row>
    <row r="97" spans="1:58" ht="39.75" customHeight="1">
      <c r="A97" s="1"/>
      <c r="B97" s="1" t="s">
        <v>58</v>
      </c>
      <c r="C97" s="1" t="s">
        <v>59</v>
      </c>
      <c r="D97" s="1" t="s">
        <v>1416</v>
      </c>
      <c r="E97" s="1" t="s">
        <v>1417</v>
      </c>
      <c r="F97" s="1" t="s">
        <v>1418</v>
      </c>
      <c r="H97" s="2" t="s">
        <v>63</v>
      </c>
      <c r="I97" s="2" t="s">
        <v>64</v>
      </c>
      <c r="J97" s="2" t="s">
        <v>63</v>
      </c>
      <c r="K97" s="2" t="s">
        <v>63</v>
      </c>
      <c r="L97" s="2" t="s">
        <v>65</v>
      </c>
      <c r="N97" s="1" t="s">
        <v>1419</v>
      </c>
      <c r="O97" s="2" t="s">
        <v>254</v>
      </c>
      <c r="Q97" s="2" t="s">
        <v>68</v>
      </c>
      <c r="R97" s="2" t="s">
        <v>979</v>
      </c>
      <c r="T97" s="2" t="s">
        <v>71</v>
      </c>
      <c r="U97" s="3">
        <v>5</v>
      </c>
      <c r="V97" s="3">
        <v>5</v>
      </c>
      <c r="W97" s="4" t="s">
        <v>1219</v>
      </c>
      <c r="X97" s="4" t="s">
        <v>1219</v>
      </c>
      <c r="Y97" s="4" t="s">
        <v>1420</v>
      </c>
      <c r="Z97" s="4" t="s">
        <v>1420</v>
      </c>
      <c r="AA97" s="3">
        <v>272</v>
      </c>
      <c r="AB97" s="3">
        <v>134</v>
      </c>
      <c r="AC97" s="3">
        <v>135</v>
      </c>
      <c r="AD97" s="3">
        <v>2</v>
      </c>
      <c r="AE97" s="3">
        <v>2</v>
      </c>
      <c r="AF97" s="3">
        <v>3</v>
      </c>
      <c r="AG97" s="3">
        <v>3</v>
      </c>
      <c r="AH97" s="3">
        <v>0</v>
      </c>
      <c r="AI97" s="3">
        <v>0</v>
      </c>
      <c r="AJ97" s="3">
        <v>1</v>
      </c>
      <c r="AK97" s="3">
        <v>1</v>
      </c>
      <c r="AL97" s="3">
        <v>1</v>
      </c>
      <c r="AM97" s="3">
        <v>1</v>
      </c>
      <c r="AN97" s="3">
        <v>1</v>
      </c>
      <c r="AO97" s="3">
        <v>1</v>
      </c>
      <c r="AP97" s="3">
        <v>0</v>
      </c>
      <c r="AQ97" s="3">
        <v>0</v>
      </c>
      <c r="AR97" s="2" t="s">
        <v>63</v>
      </c>
      <c r="AS97" s="2" t="s">
        <v>63</v>
      </c>
      <c r="AU97" s="5" t="str">
        <f>HYPERLINK("https://creighton-primo.hosted.exlibrisgroup.com/primo-explore/search?tab=default_tab&amp;search_scope=EVERYTHING&amp;vid=01CRU&amp;lang=en_US&amp;offset=0&amp;query=any,contains,991001817909702656","Catalog Record")</f>
        <v>Catalog Record</v>
      </c>
      <c r="AV97" s="5" t="str">
        <f>HYPERLINK("http://www.worldcat.org/oclc/22859752","WorldCat Record")</f>
        <v>WorldCat Record</v>
      </c>
      <c r="AW97" s="2" t="s">
        <v>1421</v>
      </c>
      <c r="AX97" s="2" t="s">
        <v>1422</v>
      </c>
      <c r="AY97" s="2" t="s">
        <v>1423</v>
      </c>
      <c r="AZ97" s="2" t="s">
        <v>1423</v>
      </c>
      <c r="BA97" s="2" t="s">
        <v>1424</v>
      </c>
      <c r="BB97" s="2" t="s">
        <v>79</v>
      </c>
      <c r="BD97" s="2" t="s">
        <v>1425</v>
      </c>
      <c r="BE97" s="2" t="s">
        <v>1426</v>
      </c>
      <c r="BF97" s="2" t="s">
        <v>1427</v>
      </c>
    </row>
    <row r="98" spans="1:58" ht="39.75" customHeight="1">
      <c r="A98" s="1"/>
      <c r="B98" s="1" t="s">
        <v>58</v>
      </c>
      <c r="C98" s="1" t="s">
        <v>59</v>
      </c>
      <c r="D98" s="1" t="s">
        <v>1428</v>
      </c>
      <c r="E98" s="1" t="s">
        <v>1429</v>
      </c>
      <c r="F98" s="1" t="s">
        <v>1430</v>
      </c>
      <c r="H98" s="2" t="s">
        <v>63</v>
      </c>
      <c r="I98" s="2" t="s">
        <v>64</v>
      </c>
      <c r="J98" s="2" t="s">
        <v>63</v>
      </c>
      <c r="K98" s="2" t="s">
        <v>63</v>
      </c>
      <c r="L98" s="2" t="s">
        <v>65</v>
      </c>
      <c r="M98" s="1" t="s">
        <v>1431</v>
      </c>
      <c r="N98" s="1" t="s">
        <v>1432</v>
      </c>
      <c r="O98" s="2" t="s">
        <v>166</v>
      </c>
      <c r="Q98" s="2" t="s">
        <v>68</v>
      </c>
      <c r="R98" s="2" t="s">
        <v>195</v>
      </c>
      <c r="T98" s="2" t="s">
        <v>71</v>
      </c>
      <c r="U98" s="3">
        <v>3</v>
      </c>
      <c r="V98" s="3">
        <v>3</v>
      </c>
      <c r="W98" s="4" t="s">
        <v>1433</v>
      </c>
      <c r="X98" s="4" t="s">
        <v>1433</v>
      </c>
      <c r="Y98" s="4" t="s">
        <v>1077</v>
      </c>
      <c r="Z98" s="4" t="s">
        <v>1077</v>
      </c>
      <c r="AA98" s="3">
        <v>137</v>
      </c>
      <c r="AB98" s="3">
        <v>128</v>
      </c>
      <c r="AC98" s="3">
        <v>130</v>
      </c>
      <c r="AD98" s="3">
        <v>2</v>
      </c>
      <c r="AE98" s="3">
        <v>2</v>
      </c>
      <c r="AF98" s="3">
        <v>6</v>
      </c>
      <c r="AG98" s="3">
        <v>6</v>
      </c>
      <c r="AH98" s="3">
        <v>2</v>
      </c>
      <c r="AI98" s="3">
        <v>2</v>
      </c>
      <c r="AJ98" s="3">
        <v>1</v>
      </c>
      <c r="AK98" s="3">
        <v>1</v>
      </c>
      <c r="AL98" s="3">
        <v>4</v>
      </c>
      <c r="AM98" s="3">
        <v>4</v>
      </c>
      <c r="AN98" s="3">
        <v>0</v>
      </c>
      <c r="AO98" s="3">
        <v>0</v>
      </c>
      <c r="AP98" s="3">
        <v>0</v>
      </c>
      <c r="AQ98" s="3">
        <v>0</v>
      </c>
      <c r="AR98" s="2" t="s">
        <v>63</v>
      </c>
      <c r="AS98" s="2" t="s">
        <v>74</v>
      </c>
      <c r="AT98" s="5" t="str">
        <f>HYPERLINK("http://catalog.hathitrust.org/Record/004520720","HathiTrust Record")</f>
        <v>HathiTrust Record</v>
      </c>
      <c r="AU98" s="5" t="str">
        <f>HYPERLINK("https://creighton-primo.hosted.exlibrisgroup.com/primo-explore/search?tab=default_tab&amp;search_scope=EVERYTHING&amp;vid=01CRU&amp;lang=en_US&amp;offset=0&amp;query=any,contains,991001290799702656","Catalog Record")</f>
        <v>Catalog Record</v>
      </c>
      <c r="AV98" s="5" t="str">
        <f>HYPERLINK("http://www.worldcat.org/oclc/17983473","WorldCat Record")</f>
        <v>WorldCat Record</v>
      </c>
      <c r="AW98" s="2" t="s">
        <v>1434</v>
      </c>
      <c r="AX98" s="2" t="s">
        <v>1435</v>
      </c>
      <c r="AY98" s="2" t="s">
        <v>1436</v>
      </c>
      <c r="AZ98" s="2" t="s">
        <v>1436</v>
      </c>
      <c r="BA98" s="2" t="s">
        <v>1437</v>
      </c>
      <c r="BB98" s="2" t="s">
        <v>79</v>
      </c>
      <c r="BD98" s="2" t="s">
        <v>1438</v>
      </c>
      <c r="BE98" s="2" t="s">
        <v>1439</v>
      </c>
      <c r="BF98" s="2" t="s">
        <v>1440</v>
      </c>
    </row>
    <row r="99" spans="1:58" ht="39.75" customHeight="1">
      <c r="A99" s="1"/>
      <c r="B99" s="1" t="s">
        <v>58</v>
      </c>
      <c r="C99" s="1" t="s">
        <v>59</v>
      </c>
      <c r="D99" s="1" t="s">
        <v>1441</v>
      </c>
      <c r="E99" s="1" t="s">
        <v>1442</v>
      </c>
      <c r="F99" s="1" t="s">
        <v>1443</v>
      </c>
      <c r="H99" s="2" t="s">
        <v>63</v>
      </c>
      <c r="I99" s="2" t="s">
        <v>64</v>
      </c>
      <c r="J99" s="2" t="s">
        <v>63</v>
      </c>
      <c r="K99" s="2" t="s">
        <v>63</v>
      </c>
      <c r="L99" s="2" t="s">
        <v>65</v>
      </c>
      <c r="M99" s="1" t="s">
        <v>1444</v>
      </c>
      <c r="N99" s="1" t="s">
        <v>1445</v>
      </c>
      <c r="O99" s="2" t="s">
        <v>740</v>
      </c>
      <c r="Q99" s="2" t="s">
        <v>68</v>
      </c>
      <c r="R99" s="2" t="s">
        <v>89</v>
      </c>
      <c r="T99" s="2" t="s">
        <v>71</v>
      </c>
      <c r="U99" s="3">
        <v>20</v>
      </c>
      <c r="V99" s="3">
        <v>20</v>
      </c>
      <c r="W99" s="4" t="s">
        <v>1248</v>
      </c>
      <c r="X99" s="4" t="s">
        <v>1248</v>
      </c>
      <c r="Y99" s="4" t="s">
        <v>1446</v>
      </c>
      <c r="Z99" s="4" t="s">
        <v>1446</v>
      </c>
      <c r="AA99" s="3">
        <v>615</v>
      </c>
      <c r="AB99" s="3">
        <v>563</v>
      </c>
      <c r="AC99" s="3">
        <v>587</v>
      </c>
      <c r="AD99" s="3">
        <v>5</v>
      </c>
      <c r="AE99" s="3">
        <v>5</v>
      </c>
      <c r="AF99" s="3">
        <v>33</v>
      </c>
      <c r="AG99" s="3">
        <v>33</v>
      </c>
      <c r="AH99" s="3">
        <v>11</v>
      </c>
      <c r="AI99" s="3">
        <v>11</v>
      </c>
      <c r="AJ99" s="3">
        <v>5</v>
      </c>
      <c r="AK99" s="3">
        <v>5</v>
      </c>
      <c r="AL99" s="3">
        <v>17</v>
      </c>
      <c r="AM99" s="3">
        <v>17</v>
      </c>
      <c r="AN99" s="3">
        <v>4</v>
      </c>
      <c r="AO99" s="3">
        <v>4</v>
      </c>
      <c r="AP99" s="3">
        <v>5</v>
      </c>
      <c r="AQ99" s="3">
        <v>5</v>
      </c>
      <c r="AR99" s="2" t="s">
        <v>63</v>
      </c>
      <c r="AS99" s="2" t="s">
        <v>74</v>
      </c>
      <c r="AT99" s="5" t="str">
        <f>HYPERLINK("http://catalog.hathitrust.org/Record/000825602","HathiTrust Record")</f>
        <v>HathiTrust Record</v>
      </c>
      <c r="AU99" s="5" t="str">
        <f>HYPERLINK("https://creighton-primo.hosted.exlibrisgroup.com/primo-explore/search?tab=default_tab&amp;search_scope=EVERYTHING&amp;vid=01CRU&amp;lang=en_US&amp;offset=0&amp;query=any,contains,991001020359702656","Catalog Record")</f>
        <v>Catalog Record</v>
      </c>
      <c r="AV99" s="5" t="str">
        <f>HYPERLINK("http://www.worldcat.org/oclc/15366648","WorldCat Record")</f>
        <v>WorldCat Record</v>
      </c>
      <c r="AW99" s="2" t="s">
        <v>1447</v>
      </c>
      <c r="AX99" s="2" t="s">
        <v>1448</v>
      </c>
      <c r="AY99" s="2" t="s">
        <v>1449</v>
      </c>
      <c r="AZ99" s="2" t="s">
        <v>1449</v>
      </c>
      <c r="BA99" s="2" t="s">
        <v>1450</v>
      </c>
      <c r="BB99" s="2" t="s">
        <v>79</v>
      </c>
      <c r="BD99" s="2" t="s">
        <v>1451</v>
      </c>
      <c r="BE99" s="2" t="s">
        <v>1452</v>
      </c>
      <c r="BF99" s="2" t="s">
        <v>1453</v>
      </c>
    </row>
    <row r="100" spans="1:58" ht="39.75" customHeight="1">
      <c r="A100" s="1"/>
      <c r="B100" s="1" t="s">
        <v>58</v>
      </c>
      <c r="C100" s="1" t="s">
        <v>59</v>
      </c>
      <c r="D100" s="1" t="s">
        <v>1454</v>
      </c>
      <c r="E100" s="1" t="s">
        <v>1455</v>
      </c>
      <c r="F100" s="1" t="s">
        <v>1456</v>
      </c>
      <c r="H100" s="2" t="s">
        <v>63</v>
      </c>
      <c r="I100" s="2" t="s">
        <v>64</v>
      </c>
      <c r="J100" s="2" t="s">
        <v>63</v>
      </c>
      <c r="K100" s="2" t="s">
        <v>63</v>
      </c>
      <c r="L100" s="2" t="s">
        <v>65</v>
      </c>
      <c r="M100" s="1" t="s">
        <v>1457</v>
      </c>
      <c r="N100" s="1" t="s">
        <v>1458</v>
      </c>
      <c r="O100" s="2" t="s">
        <v>598</v>
      </c>
      <c r="Q100" s="2" t="s">
        <v>68</v>
      </c>
      <c r="R100" s="2" t="s">
        <v>628</v>
      </c>
      <c r="T100" s="2" t="s">
        <v>71</v>
      </c>
      <c r="U100" s="3">
        <v>4</v>
      </c>
      <c r="V100" s="3">
        <v>4</v>
      </c>
      <c r="W100" s="4" t="s">
        <v>1459</v>
      </c>
      <c r="X100" s="4" t="s">
        <v>1459</v>
      </c>
      <c r="Y100" s="4" t="s">
        <v>1460</v>
      </c>
      <c r="Z100" s="4" t="s">
        <v>1460</v>
      </c>
      <c r="AA100" s="3">
        <v>136</v>
      </c>
      <c r="AB100" s="3">
        <v>129</v>
      </c>
      <c r="AC100" s="3">
        <v>135</v>
      </c>
      <c r="AD100" s="3">
        <v>3</v>
      </c>
      <c r="AE100" s="3">
        <v>3</v>
      </c>
      <c r="AF100" s="3">
        <v>9</v>
      </c>
      <c r="AG100" s="3">
        <v>9</v>
      </c>
      <c r="AH100" s="3">
        <v>1</v>
      </c>
      <c r="AI100" s="3">
        <v>1</v>
      </c>
      <c r="AJ100" s="3">
        <v>4</v>
      </c>
      <c r="AK100" s="3">
        <v>4</v>
      </c>
      <c r="AL100" s="3">
        <v>4</v>
      </c>
      <c r="AM100" s="3">
        <v>4</v>
      </c>
      <c r="AN100" s="3">
        <v>2</v>
      </c>
      <c r="AO100" s="3">
        <v>2</v>
      </c>
      <c r="AP100" s="3">
        <v>1</v>
      </c>
      <c r="AQ100" s="3">
        <v>1</v>
      </c>
      <c r="AR100" s="2" t="s">
        <v>63</v>
      </c>
      <c r="AS100" s="2" t="s">
        <v>74</v>
      </c>
      <c r="AT100" s="5" t="str">
        <f>HYPERLINK("http://catalog.hathitrust.org/Record/102024990","HathiTrust Record")</f>
        <v>HathiTrust Record</v>
      </c>
      <c r="AU100" s="5" t="str">
        <f>HYPERLINK("https://creighton-primo.hosted.exlibrisgroup.com/primo-explore/search?tab=default_tab&amp;search_scope=EVERYTHING&amp;vid=01CRU&amp;lang=en_US&amp;offset=0&amp;query=any,contains,991002369689702656","Catalog Record")</f>
        <v>Catalog Record</v>
      </c>
      <c r="AV100" s="5" t="str">
        <f>HYPERLINK("http://www.worldcat.org/oclc/30808993","WorldCat Record")</f>
        <v>WorldCat Record</v>
      </c>
      <c r="AW100" s="2" t="s">
        <v>1461</v>
      </c>
      <c r="AX100" s="2" t="s">
        <v>1462</v>
      </c>
      <c r="AY100" s="2" t="s">
        <v>1463</v>
      </c>
      <c r="AZ100" s="2" t="s">
        <v>1463</v>
      </c>
      <c r="BA100" s="2" t="s">
        <v>1464</v>
      </c>
      <c r="BB100" s="2" t="s">
        <v>79</v>
      </c>
      <c r="BD100" s="2" t="s">
        <v>1465</v>
      </c>
      <c r="BE100" s="2" t="s">
        <v>1466</v>
      </c>
      <c r="BF100" s="2" t="s">
        <v>1467</v>
      </c>
    </row>
    <row r="101" spans="1:58" ht="39.75" customHeight="1">
      <c r="A101" s="1"/>
      <c r="B101" s="1" t="s">
        <v>58</v>
      </c>
      <c r="C101" s="1" t="s">
        <v>59</v>
      </c>
      <c r="D101" s="1" t="s">
        <v>1468</v>
      </c>
      <c r="E101" s="1" t="s">
        <v>1469</v>
      </c>
      <c r="F101" s="1" t="s">
        <v>1470</v>
      </c>
      <c r="H101" s="2" t="s">
        <v>63</v>
      </c>
      <c r="I101" s="2" t="s">
        <v>64</v>
      </c>
      <c r="J101" s="2" t="s">
        <v>63</v>
      </c>
      <c r="K101" s="2" t="s">
        <v>63</v>
      </c>
      <c r="L101" s="2" t="s">
        <v>65</v>
      </c>
      <c r="N101" s="1" t="s">
        <v>1471</v>
      </c>
      <c r="O101" s="2" t="s">
        <v>726</v>
      </c>
      <c r="Q101" s="2" t="s">
        <v>68</v>
      </c>
      <c r="R101" s="2" t="s">
        <v>979</v>
      </c>
      <c r="T101" s="2" t="s">
        <v>71</v>
      </c>
      <c r="U101" s="3">
        <v>6</v>
      </c>
      <c r="V101" s="3">
        <v>6</v>
      </c>
      <c r="W101" s="4" t="s">
        <v>1472</v>
      </c>
      <c r="X101" s="4" t="s">
        <v>1472</v>
      </c>
      <c r="Y101" s="4" t="s">
        <v>1473</v>
      </c>
      <c r="Z101" s="4" t="s">
        <v>1473</v>
      </c>
      <c r="AA101" s="3">
        <v>212</v>
      </c>
      <c r="AB101" s="3">
        <v>141</v>
      </c>
      <c r="AC101" s="3">
        <v>143</v>
      </c>
      <c r="AD101" s="3">
        <v>2</v>
      </c>
      <c r="AE101" s="3">
        <v>2</v>
      </c>
      <c r="AF101" s="3">
        <v>6</v>
      </c>
      <c r="AG101" s="3">
        <v>6</v>
      </c>
      <c r="AH101" s="3">
        <v>1</v>
      </c>
      <c r="AI101" s="3">
        <v>1</v>
      </c>
      <c r="AJ101" s="3">
        <v>1</v>
      </c>
      <c r="AK101" s="3">
        <v>1</v>
      </c>
      <c r="AL101" s="3">
        <v>3</v>
      </c>
      <c r="AM101" s="3">
        <v>3</v>
      </c>
      <c r="AN101" s="3">
        <v>1</v>
      </c>
      <c r="AO101" s="3">
        <v>1</v>
      </c>
      <c r="AP101" s="3">
        <v>0</v>
      </c>
      <c r="AQ101" s="3">
        <v>0</v>
      </c>
      <c r="AR101" s="2" t="s">
        <v>63</v>
      </c>
      <c r="AS101" s="2" t="s">
        <v>74</v>
      </c>
      <c r="AT101" s="5" t="str">
        <f>HYPERLINK("http://catalog.hathitrust.org/Record/006112796","HathiTrust Record")</f>
        <v>HathiTrust Record</v>
      </c>
      <c r="AU101" s="5" t="str">
        <f>HYPERLINK("https://creighton-primo.hosted.exlibrisgroup.com/primo-explore/search?tab=default_tab&amp;search_scope=EVERYTHING&amp;vid=01CRU&amp;lang=en_US&amp;offset=0&amp;query=any,contains,991004213479702656","Catalog Record")</f>
        <v>Catalog Record</v>
      </c>
      <c r="AV101" s="5" t="str">
        <f>HYPERLINK("http://www.worldcat.org/oclc/2690995","WorldCat Record")</f>
        <v>WorldCat Record</v>
      </c>
      <c r="AW101" s="2" t="s">
        <v>1474</v>
      </c>
      <c r="AX101" s="2" t="s">
        <v>1475</v>
      </c>
      <c r="AY101" s="2" t="s">
        <v>1476</v>
      </c>
      <c r="AZ101" s="2" t="s">
        <v>1476</v>
      </c>
      <c r="BA101" s="2" t="s">
        <v>1477</v>
      </c>
      <c r="BB101" s="2" t="s">
        <v>79</v>
      </c>
      <c r="BD101" s="2" t="s">
        <v>1478</v>
      </c>
      <c r="BE101" s="2" t="s">
        <v>1479</v>
      </c>
      <c r="BF101" s="2" t="s">
        <v>1480</v>
      </c>
    </row>
    <row r="102" spans="1:58" ht="39.75" customHeight="1">
      <c r="A102" s="1"/>
      <c r="B102" s="1" t="s">
        <v>58</v>
      </c>
      <c r="C102" s="1" t="s">
        <v>59</v>
      </c>
      <c r="D102" s="1" t="s">
        <v>1481</v>
      </c>
      <c r="E102" s="1" t="s">
        <v>1482</v>
      </c>
      <c r="F102" s="1" t="s">
        <v>1483</v>
      </c>
      <c r="H102" s="2" t="s">
        <v>63</v>
      </c>
      <c r="I102" s="2" t="s">
        <v>64</v>
      </c>
      <c r="J102" s="2" t="s">
        <v>63</v>
      </c>
      <c r="K102" s="2" t="s">
        <v>63</v>
      </c>
      <c r="L102" s="2" t="s">
        <v>65</v>
      </c>
      <c r="M102" s="1" t="s">
        <v>1484</v>
      </c>
      <c r="N102" s="1" t="s">
        <v>1485</v>
      </c>
      <c r="O102" s="2" t="s">
        <v>1486</v>
      </c>
      <c r="Q102" s="2" t="s">
        <v>68</v>
      </c>
      <c r="R102" s="2" t="s">
        <v>1487</v>
      </c>
      <c r="T102" s="2" t="s">
        <v>71</v>
      </c>
      <c r="U102" s="3">
        <v>3</v>
      </c>
      <c r="V102" s="3">
        <v>3</v>
      </c>
      <c r="W102" s="4" t="s">
        <v>1488</v>
      </c>
      <c r="X102" s="4" t="s">
        <v>1488</v>
      </c>
      <c r="Y102" s="4" t="s">
        <v>1489</v>
      </c>
      <c r="Z102" s="4" t="s">
        <v>1489</v>
      </c>
      <c r="AA102" s="3">
        <v>384</v>
      </c>
      <c r="AB102" s="3">
        <v>353</v>
      </c>
      <c r="AC102" s="3">
        <v>363</v>
      </c>
      <c r="AD102" s="3">
        <v>4</v>
      </c>
      <c r="AE102" s="3">
        <v>4</v>
      </c>
      <c r="AF102" s="3">
        <v>13</v>
      </c>
      <c r="AG102" s="3">
        <v>13</v>
      </c>
      <c r="AH102" s="3">
        <v>2</v>
      </c>
      <c r="AI102" s="3">
        <v>2</v>
      </c>
      <c r="AJ102" s="3">
        <v>3</v>
      </c>
      <c r="AK102" s="3">
        <v>3</v>
      </c>
      <c r="AL102" s="3">
        <v>7</v>
      </c>
      <c r="AM102" s="3">
        <v>7</v>
      </c>
      <c r="AN102" s="3">
        <v>3</v>
      </c>
      <c r="AO102" s="3">
        <v>3</v>
      </c>
      <c r="AP102" s="3">
        <v>0</v>
      </c>
      <c r="AQ102" s="3">
        <v>0</v>
      </c>
      <c r="AR102" s="2" t="s">
        <v>63</v>
      </c>
      <c r="AS102" s="2" t="s">
        <v>74</v>
      </c>
      <c r="AT102" s="5" t="str">
        <f>HYPERLINK("http://catalog.hathitrust.org/Record/001588221","HathiTrust Record")</f>
        <v>HathiTrust Record</v>
      </c>
      <c r="AU102" s="5" t="str">
        <f>HYPERLINK("https://creighton-primo.hosted.exlibrisgroup.com/primo-explore/search?tab=default_tab&amp;search_scope=EVERYTHING&amp;vid=01CRU&amp;lang=en_US&amp;offset=0&amp;query=any,contains,991003081679702656","Catalog Record")</f>
        <v>Catalog Record</v>
      </c>
      <c r="AV102" s="5" t="str">
        <f>HYPERLINK("http://www.worldcat.org/oclc/633733","WorldCat Record")</f>
        <v>WorldCat Record</v>
      </c>
      <c r="AW102" s="2" t="s">
        <v>1490</v>
      </c>
      <c r="AX102" s="2" t="s">
        <v>1491</v>
      </c>
      <c r="AY102" s="2" t="s">
        <v>1492</v>
      </c>
      <c r="AZ102" s="2" t="s">
        <v>1492</v>
      </c>
      <c r="BA102" s="2" t="s">
        <v>1493</v>
      </c>
      <c r="BB102" s="2" t="s">
        <v>79</v>
      </c>
      <c r="BE102" s="2" t="s">
        <v>1494</v>
      </c>
      <c r="BF102" s="2" t="s">
        <v>1495</v>
      </c>
    </row>
    <row r="103" spans="1:58" ht="39.75" customHeight="1">
      <c r="A103" s="1"/>
      <c r="B103" s="1" t="s">
        <v>58</v>
      </c>
      <c r="C103" s="1" t="s">
        <v>59</v>
      </c>
      <c r="D103" s="1" t="s">
        <v>1496</v>
      </c>
      <c r="E103" s="1" t="s">
        <v>1497</v>
      </c>
      <c r="F103" s="1" t="s">
        <v>1498</v>
      </c>
      <c r="H103" s="2" t="s">
        <v>63</v>
      </c>
      <c r="I103" s="2" t="s">
        <v>64</v>
      </c>
      <c r="J103" s="2" t="s">
        <v>63</v>
      </c>
      <c r="K103" s="2" t="s">
        <v>63</v>
      </c>
      <c r="L103" s="2" t="s">
        <v>65</v>
      </c>
      <c r="N103" s="1" t="s">
        <v>1499</v>
      </c>
      <c r="O103" s="2" t="s">
        <v>655</v>
      </c>
      <c r="Q103" s="2" t="s">
        <v>68</v>
      </c>
      <c r="R103" s="2" t="s">
        <v>195</v>
      </c>
      <c r="S103" s="1" t="s">
        <v>1500</v>
      </c>
      <c r="T103" s="2" t="s">
        <v>71</v>
      </c>
      <c r="U103" s="3">
        <v>2</v>
      </c>
      <c r="V103" s="3">
        <v>2</v>
      </c>
      <c r="W103" s="4" t="s">
        <v>1501</v>
      </c>
      <c r="X103" s="4" t="s">
        <v>1501</v>
      </c>
      <c r="Y103" s="4" t="s">
        <v>1502</v>
      </c>
      <c r="Z103" s="4" t="s">
        <v>1502</v>
      </c>
      <c r="AA103" s="3">
        <v>267</v>
      </c>
      <c r="AB103" s="3">
        <v>233</v>
      </c>
      <c r="AC103" s="3">
        <v>237</v>
      </c>
      <c r="AD103" s="3">
        <v>2</v>
      </c>
      <c r="AE103" s="3">
        <v>2</v>
      </c>
      <c r="AF103" s="3">
        <v>19</v>
      </c>
      <c r="AG103" s="3">
        <v>19</v>
      </c>
      <c r="AH103" s="3">
        <v>7</v>
      </c>
      <c r="AI103" s="3">
        <v>7</v>
      </c>
      <c r="AJ103" s="3">
        <v>3</v>
      </c>
      <c r="AK103" s="3">
        <v>3</v>
      </c>
      <c r="AL103" s="3">
        <v>9</v>
      </c>
      <c r="AM103" s="3">
        <v>9</v>
      </c>
      <c r="AN103" s="3">
        <v>1</v>
      </c>
      <c r="AO103" s="3">
        <v>1</v>
      </c>
      <c r="AP103" s="3">
        <v>4</v>
      </c>
      <c r="AQ103" s="3">
        <v>4</v>
      </c>
      <c r="AR103" s="2" t="s">
        <v>63</v>
      </c>
      <c r="AS103" s="2" t="s">
        <v>63</v>
      </c>
      <c r="AU103" s="5" t="str">
        <f>HYPERLINK("https://creighton-primo.hosted.exlibrisgroup.com/primo-explore/search?tab=default_tab&amp;search_scope=EVERYTHING&amp;vid=01CRU&amp;lang=en_US&amp;offset=0&amp;query=any,contains,991003244009702656","Catalog Record")</f>
        <v>Catalog Record</v>
      </c>
      <c r="AV103" s="5" t="str">
        <f>HYPERLINK("http://www.worldcat.org/oclc/41090640","WorldCat Record")</f>
        <v>WorldCat Record</v>
      </c>
      <c r="AW103" s="2" t="s">
        <v>1503</v>
      </c>
      <c r="AX103" s="2" t="s">
        <v>1504</v>
      </c>
      <c r="AY103" s="2" t="s">
        <v>1505</v>
      </c>
      <c r="AZ103" s="2" t="s">
        <v>1505</v>
      </c>
      <c r="BA103" s="2" t="s">
        <v>1506</v>
      </c>
      <c r="BB103" s="2" t="s">
        <v>79</v>
      </c>
      <c r="BD103" s="2" t="s">
        <v>1507</v>
      </c>
      <c r="BE103" s="2" t="s">
        <v>1508</v>
      </c>
      <c r="BF103" s="2" t="s">
        <v>1509</v>
      </c>
    </row>
    <row r="104" spans="1:58" ht="39.75" customHeight="1">
      <c r="A104" s="1"/>
      <c r="B104" s="1" t="s">
        <v>58</v>
      </c>
      <c r="C104" s="1" t="s">
        <v>59</v>
      </c>
      <c r="D104" s="1" t="s">
        <v>1510</v>
      </c>
      <c r="E104" s="1" t="s">
        <v>1511</v>
      </c>
      <c r="F104" s="1" t="s">
        <v>1512</v>
      </c>
      <c r="H104" s="2" t="s">
        <v>63</v>
      </c>
      <c r="I104" s="2" t="s">
        <v>64</v>
      </c>
      <c r="J104" s="2" t="s">
        <v>63</v>
      </c>
      <c r="K104" s="2" t="s">
        <v>63</v>
      </c>
      <c r="L104" s="2" t="s">
        <v>65</v>
      </c>
      <c r="N104" s="1" t="s">
        <v>1513</v>
      </c>
      <c r="O104" s="2" t="s">
        <v>1189</v>
      </c>
      <c r="Q104" s="2" t="s">
        <v>68</v>
      </c>
      <c r="R104" s="2" t="s">
        <v>181</v>
      </c>
      <c r="T104" s="2" t="s">
        <v>71</v>
      </c>
      <c r="U104" s="3">
        <v>4</v>
      </c>
      <c r="V104" s="3">
        <v>4</v>
      </c>
      <c r="W104" s="4" t="s">
        <v>1514</v>
      </c>
      <c r="X104" s="4" t="s">
        <v>1514</v>
      </c>
      <c r="Y104" s="4" t="s">
        <v>1515</v>
      </c>
      <c r="Z104" s="4" t="s">
        <v>1515</v>
      </c>
      <c r="AA104" s="3">
        <v>239</v>
      </c>
      <c r="AB104" s="3">
        <v>228</v>
      </c>
      <c r="AC104" s="3">
        <v>230</v>
      </c>
      <c r="AD104" s="3">
        <v>2</v>
      </c>
      <c r="AE104" s="3">
        <v>2</v>
      </c>
      <c r="AF104" s="3">
        <v>10</v>
      </c>
      <c r="AG104" s="3">
        <v>10</v>
      </c>
      <c r="AH104" s="3">
        <v>3</v>
      </c>
      <c r="AI104" s="3">
        <v>3</v>
      </c>
      <c r="AJ104" s="3">
        <v>3</v>
      </c>
      <c r="AK104" s="3">
        <v>3</v>
      </c>
      <c r="AL104" s="3">
        <v>6</v>
      </c>
      <c r="AM104" s="3">
        <v>6</v>
      </c>
      <c r="AN104" s="3">
        <v>1</v>
      </c>
      <c r="AO104" s="3">
        <v>1</v>
      </c>
      <c r="AP104" s="3">
        <v>1</v>
      </c>
      <c r="AQ104" s="3">
        <v>1</v>
      </c>
      <c r="AR104" s="2" t="s">
        <v>63</v>
      </c>
      <c r="AS104" s="2" t="s">
        <v>74</v>
      </c>
      <c r="AT104" s="5" t="str">
        <f>HYPERLINK("http://catalog.hathitrust.org/Record/004347142","HathiTrust Record")</f>
        <v>HathiTrust Record</v>
      </c>
      <c r="AU104" s="5" t="str">
        <f>HYPERLINK("https://creighton-primo.hosted.exlibrisgroup.com/primo-explore/search?tab=default_tab&amp;search_scope=EVERYTHING&amp;vid=01CRU&amp;lang=en_US&amp;offset=0&amp;query=any,contains,991004481309702656","Catalog Record")</f>
        <v>Catalog Record</v>
      </c>
      <c r="AV104" s="5" t="str">
        <f>HYPERLINK("http://www.worldcat.org/oclc/52301800","WorldCat Record")</f>
        <v>WorldCat Record</v>
      </c>
      <c r="AW104" s="2" t="s">
        <v>1516</v>
      </c>
      <c r="AX104" s="2" t="s">
        <v>1517</v>
      </c>
      <c r="AY104" s="2" t="s">
        <v>1518</v>
      </c>
      <c r="AZ104" s="2" t="s">
        <v>1518</v>
      </c>
      <c r="BA104" s="2" t="s">
        <v>1519</v>
      </c>
      <c r="BB104" s="2" t="s">
        <v>79</v>
      </c>
      <c r="BD104" s="2" t="s">
        <v>1520</v>
      </c>
      <c r="BE104" s="2" t="s">
        <v>1521</v>
      </c>
      <c r="BF104" s="2" t="s">
        <v>1522</v>
      </c>
    </row>
    <row r="105" spans="1:58" ht="39.75" customHeight="1">
      <c r="A105" s="1"/>
      <c r="B105" s="1" t="s">
        <v>58</v>
      </c>
      <c r="C105" s="1" t="s">
        <v>59</v>
      </c>
      <c r="D105" s="1" t="s">
        <v>1523</v>
      </c>
      <c r="E105" s="1" t="s">
        <v>1524</v>
      </c>
      <c r="F105" s="1" t="s">
        <v>1525</v>
      </c>
      <c r="H105" s="2" t="s">
        <v>63</v>
      </c>
      <c r="I105" s="2" t="s">
        <v>64</v>
      </c>
      <c r="J105" s="2" t="s">
        <v>63</v>
      </c>
      <c r="K105" s="2" t="s">
        <v>63</v>
      </c>
      <c r="L105" s="2" t="s">
        <v>65</v>
      </c>
      <c r="M105" s="1" t="s">
        <v>1526</v>
      </c>
      <c r="N105" s="1" t="s">
        <v>1527</v>
      </c>
      <c r="O105" s="2" t="s">
        <v>726</v>
      </c>
      <c r="Q105" s="2" t="s">
        <v>68</v>
      </c>
      <c r="R105" s="2" t="s">
        <v>979</v>
      </c>
      <c r="T105" s="2" t="s">
        <v>71</v>
      </c>
      <c r="U105" s="3">
        <v>15</v>
      </c>
      <c r="V105" s="3">
        <v>15</v>
      </c>
      <c r="W105" s="4" t="s">
        <v>502</v>
      </c>
      <c r="X105" s="4" t="s">
        <v>502</v>
      </c>
      <c r="Y105" s="4" t="s">
        <v>1528</v>
      </c>
      <c r="Z105" s="4" t="s">
        <v>1528</v>
      </c>
      <c r="AA105" s="3">
        <v>131</v>
      </c>
      <c r="AB105" s="3">
        <v>36</v>
      </c>
      <c r="AC105" s="3">
        <v>190</v>
      </c>
      <c r="AD105" s="3">
        <v>1</v>
      </c>
      <c r="AE105" s="3">
        <v>1</v>
      </c>
      <c r="AF105" s="3">
        <v>1</v>
      </c>
      <c r="AG105" s="3">
        <v>3</v>
      </c>
      <c r="AH105" s="3">
        <v>0</v>
      </c>
      <c r="AI105" s="3">
        <v>0</v>
      </c>
      <c r="AJ105" s="3">
        <v>0</v>
      </c>
      <c r="AK105" s="3">
        <v>2</v>
      </c>
      <c r="AL105" s="3">
        <v>1</v>
      </c>
      <c r="AM105" s="3">
        <v>1</v>
      </c>
      <c r="AN105" s="3">
        <v>0</v>
      </c>
      <c r="AO105" s="3">
        <v>0</v>
      </c>
      <c r="AP105" s="3">
        <v>0</v>
      </c>
      <c r="AQ105" s="3">
        <v>0</v>
      </c>
      <c r="AR105" s="2" t="s">
        <v>63</v>
      </c>
      <c r="AS105" s="2" t="s">
        <v>63</v>
      </c>
      <c r="AU105" s="5" t="str">
        <f>HYPERLINK("https://creighton-primo.hosted.exlibrisgroup.com/primo-explore/search?tab=default_tab&amp;search_scope=EVERYTHING&amp;vid=01CRU&amp;lang=en_US&amp;offset=0&amp;query=any,contains,991004305519702656","Catalog Record")</f>
        <v>Catalog Record</v>
      </c>
      <c r="AV105" s="5" t="str">
        <f>HYPERLINK("http://www.worldcat.org/oclc/2983303","WorldCat Record")</f>
        <v>WorldCat Record</v>
      </c>
      <c r="AW105" s="2" t="s">
        <v>1529</v>
      </c>
      <c r="AX105" s="2" t="s">
        <v>1530</v>
      </c>
      <c r="AY105" s="2" t="s">
        <v>1531</v>
      </c>
      <c r="AZ105" s="2" t="s">
        <v>1531</v>
      </c>
      <c r="BA105" s="2" t="s">
        <v>1532</v>
      </c>
      <c r="BB105" s="2" t="s">
        <v>79</v>
      </c>
      <c r="BD105" s="2" t="s">
        <v>1533</v>
      </c>
      <c r="BE105" s="2" t="s">
        <v>1534</v>
      </c>
      <c r="BF105" s="2" t="s">
        <v>1535</v>
      </c>
    </row>
    <row r="106" spans="1:58" ht="39.75" customHeight="1">
      <c r="A106" s="1"/>
      <c r="B106" s="1" t="s">
        <v>58</v>
      </c>
      <c r="C106" s="1" t="s">
        <v>59</v>
      </c>
      <c r="D106" s="1" t="s">
        <v>1536</v>
      </c>
      <c r="E106" s="1" t="s">
        <v>1537</v>
      </c>
      <c r="F106" s="1" t="s">
        <v>1538</v>
      </c>
      <c r="H106" s="2" t="s">
        <v>63</v>
      </c>
      <c r="I106" s="2" t="s">
        <v>64</v>
      </c>
      <c r="J106" s="2" t="s">
        <v>63</v>
      </c>
      <c r="K106" s="2" t="s">
        <v>63</v>
      </c>
      <c r="L106" s="2" t="s">
        <v>65</v>
      </c>
      <c r="M106" s="1" t="s">
        <v>1539</v>
      </c>
      <c r="N106" s="1" t="s">
        <v>1540</v>
      </c>
      <c r="O106" s="2" t="s">
        <v>1486</v>
      </c>
      <c r="Q106" s="2" t="s">
        <v>68</v>
      </c>
      <c r="R106" s="2" t="s">
        <v>1541</v>
      </c>
      <c r="T106" s="2" t="s">
        <v>71</v>
      </c>
      <c r="U106" s="3">
        <v>5</v>
      </c>
      <c r="V106" s="3">
        <v>5</v>
      </c>
      <c r="W106" s="4" t="s">
        <v>1542</v>
      </c>
      <c r="X106" s="4" t="s">
        <v>1542</v>
      </c>
      <c r="Y106" s="4" t="s">
        <v>1543</v>
      </c>
      <c r="Z106" s="4" t="s">
        <v>1543</v>
      </c>
      <c r="AA106" s="3">
        <v>715</v>
      </c>
      <c r="AB106" s="3">
        <v>564</v>
      </c>
      <c r="AC106" s="3">
        <v>568</v>
      </c>
      <c r="AD106" s="3">
        <v>6</v>
      </c>
      <c r="AE106" s="3">
        <v>6</v>
      </c>
      <c r="AF106" s="3">
        <v>22</v>
      </c>
      <c r="AG106" s="3">
        <v>22</v>
      </c>
      <c r="AH106" s="3">
        <v>5</v>
      </c>
      <c r="AI106" s="3">
        <v>5</v>
      </c>
      <c r="AJ106" s="3">
        <v>3</v>
      </c>
      <c r="AK106" s="3">
        <v>3</v>
      </c>
      <c r="AL106" s="3">
        <v>13</v>
      </c>
      <c r="AM106" s="3">
        <v>13</v>
      </c>
      <c r="AN106" s="3">
        <v>5</v>
      </c>
      <c r="AO106" s="3">
        <v>5</v>
      </c>
      <c r="AP106" s="3">
        <v>0</v>
      </c>
      <c r="AQ106" s="3">
        <v>0</v>
      </c>
      <c r="AR106" s="2" t="s">
        <v>63</v>
      </c>
      <c r="AS106" s="2" t="s">
        <v>63</v>
      </c>
      <c r="AT106" s="5" t="str">
        <f>HYPERLINK("http://catalog.hathitrust.org/Record/001558655","HathiTrust Record")</f>
        <v>HathiTrust Record</v>
      </c>
      <c r="AU106" s="5" t="str">
        <f>HYPERLINK("https://creighton-primo.hosted.exlibrisgroup.com/primo-explore/search?tab=default_tab&amp;search_scope=EVERYTHING&amp;vid=01CRU&amp;lang=en_US&amp;offset=0&amp;query=any,contains,991003077379702656","Catalog Record")</f>
        <v>Catalog Record</v>
      </c>
      <c r="AV106" s="5" t="str">
        <f>HYPERLINK("http://www.worldcat.org/oclc/630174","WorldCat Record")</f>
        <v>WorldCat Record</v>
      </c>
      <c r="AW106" s="2" t="s">
        <v>1544</v>
      </c>
      <c r="AX106" s="2" t="s">
        <v>1545</v>
      </c>
      <c r="AY106" s="2" t="s">
        <v>1546</v>
      </c>
      <c r="AZ106" s="2" t="s">
        <v>1546</v>
      </c>
      <c r="BA106" s="2" t="s">
        <v>1547</v>
      </c>
      <c r="BB106" s="2" t="s">
        <v>79</v>
      </c>
      <c r="BE106" s="2" t="s">
        <v>1548</v>
      </c>
      <c r="BF106" s="2" t="s">
        <v>1549</v>
      </c>
    </row>
    <row r="107" spans="1:58" ht="39.75" customHeight="1">
      <c r="A107" s="1"/>
      <c r="B107" s="1" t="s">
        <v>58</v>
      </c>
      <c r="C107" s="1" t="s">
        <v>59</v>
      </c>
      <c r="D107" s="1" t="s">
        <v>1550</v>
      </c>
      <c r="E107" s="1" t="s">
        <v>1551</v>
      </c>
      <c r="F107" s="1" t="s">
        <v>1552</v>
      </c>
      <c r="H107" s="2" t="s">
        <v>63</v>
      </c>
      <c r="I107" s="2" t="s">
        <v>64</v>
      </c>
      <c r="J107" s="2" t="s">
        <v>63</v>
      </c>
      <c r="K107" s="2" t="s">
        <v>63</v>
      </c>
      <c r="L107" s="2" t="s">
        <v>65</v>
      </c>
      <c r="M107" s="1" t="s">
        <v>1553</v>
      </c>
      <c r="N107" s="1" t="s">
        <v>1554</v>
      </c>
      <c r="O107" s="2" t="s">
        <v>1555</v>
      </c>
      <c r="Q107" s="2" t="s">
        <v>68</v>
      </c>
      <c r="R107" s="2" t="s">
        <v>106</v>
      </c>
      <c r="T107" s="2" t="s">
        <v>71</v>
      </c>
      <c r="U107" s="3">
        <v>1</v>
      </c>
      <c r="V107" s="3">
        <v>1</v>
      </c>
      <c r="W107" s="4" t="s">
        <v>1556</v>
      </c>
      <c r="X107" s="4" t="s">
        <v>1556</v>
      </c>
      <c r="Y107" s="4" t="s">
        <v>1557</v>
      </c>
      <c r="Z107" s="4" t="s">
        <v>1557</v>
      </c>
      <c r="AA107" s="3">
        <v>312</v>
      </c>
      <c r="AB107" s="3">
        <v>296</v>
      </c>
      <c r="AC107" s="3">
        <v>306</v>
      </c>
      <c r="AD107" s="3">
        <v>3</v>
      </c>
      <c r="AE107" s="3">
        <v>3</v>
      </c>
      <c r="AF107" s="3">
        <v>7</v>
      </c>
      <c r="AG107" s="3">
        <v>7</v>
      </c>
      <c r="AH107" s="3">
        <v>2</v>
      </c>
      <c r="AI107" s="3">
        <v>2</v>
      </c>
      <c r="AJ107" s="3">
        <v>1</v>
      </c>
      <c r="AK107" s="3">
        <v>1</v>
      </c>
      <c r="AL107" s="3">
        <v>5</v>
      </c>
      <c r="AM107" s="3">
        <v>5</v>
      </c>
      <c r="AN107" s="3">
        <v>2</v>
      </c>
      <c r="AO107" s="3">
        <v>2</v>
      </c>
      <c r="AP107" s="3">
        <v>0</v>
      </c>
      <c r="AQ107" s="3">
        <v>0</v>
      </c>
      <c r="AR107" s="2" t="s">
        <v>63</v>
      </c>
      <c r="AS107" s="2" t="s">
        <v>74</v>
      </c>
      <c r="AT107" s="5" t="str">
        <f>HYPERLINK("http://catalog.hathitrust.org/Record/000977921","HathiTrust Record")</f>
        <v>HathiTrust Record</v>
      </c>
      <c r="AU107" s="5" t="str">
        <f>HYPERLINK("https://creighton-primo.hosted.exlibrisgroup.com/primo-explore/search?tab=default_tab&amp;search_scope=EVERYTHING&amp;vid=01CRU&amp;lang=en_US&amp;offset=0&amp;query=any,contains,991003820279702656","Catalog Record")</f>
        <v>Catalog Record</v>
      </c>
      <c r="AV107" s="5" t="str">
        <f>HYPERLINK("http://www.worldcat.org/oclc/1557449","WorldCat Record")</f>
        <v>WorldCat Record</v>
      </c>
      <c r="AW107" s="2" t="s">
        <v>1558</v>
      </c>
      <c r="AX107" s="2" t="s">
        <v>1559</v>
      </c>
      <c r="AY107" s="2" t="s">
        <v>1560</v>
      </c>
      <c r="AZ107" s="2" t="s">
        <v>1560</v>
      </c>
      <c r="BA107" s="2" t="s">
        <v>1561</v>
      </c>
      <c r="BB107" s="2" t="s">
        <v>79</v>
      </c>
      <c r="BE107" s="2" t="s">
        <v>1562</v>
      </c>
      <c r="BF107" s="2" t="s">
        <v>1563</v>
      </c>
    </row>
    <row r="108" spans="1:58" ht="39.75" customHeight="1">
      <c r="A108" s="1"/>
      <c r="B108" s="1" t="s">
        <v>58</v>
      </c>
      <c r="C108" s="1" t="s">
        <v>59</v>
      </c>
      <c r="D108" s="1" t="s">
        <v>1564</v>
      </c>
      <c r="E108" s="1" t="s">
        <v>1565</v>
      </c>
      <c r="F108" s="1" t="s">
        <v>1566</v>
      </c>
      <c r="H108" s="2" t="s">
        <v>63</v>
      </c>
      <c r="I108" s="2" t="s">
        <v>64</v>
      </c>
      <c r="J108" s="2" t="s">
        <v>63</v>
      </c>
      <c r="K108" s="2" t="s">
        <v>63</v>
      </c>
      <c r="L108" s="2" t="s">
        <v>65</v>
      </c>
      <c r="M108" s="1" t="s">
        <v>1567</v>
      </c>
      <c r="N108" s="1" t="s">
        <v>1568</v>
      </c>
      <c r="O108" s="2" t="s">
        <v>1090</v>
      </c>
      <c r="Q108" s="2" t="s">
        <v>68</v>
      </c>
      <c r="R108" s="2" t="s">
        <v>106</v>
      </c>
      <c r="S108" s="1" t="s">
        <v>1569</v>
      </c>
      <c r="T108" s="2" t="s">
        <v>71</v>
      </c>
      <c r="U108" s="3">
        <v>8</v>
      </c>
      <c r="V108" s="3">
        <v>8</v>
      </c>
      <c r="W108" s="4" t="s">
        <v>872</v>
      </c>
      <c r="X108" s="4" t="s">
        <v>872</v>
      </c>
      <c r="Y108" s="4" t="s">
        <v>1528</v>
      </c>
      <c r="Z108" s="4" t="s">
        <v>1528</v>
      </c>
      <c r="AA108" s="3">
        <v>254</v>
      </c>
      <c r="AB108" s="3">
        <v>218</v>
      </c>
      <c r="AC108" s="3">
        <v>218</v>
      </c>
      <c r="AD108" s="3">
        <v>2</v>
      </c>
      <c r="AE108" s="3">
        <v>2</v>
      </c>
      <c r="AF108" s="3">
        <v>11</v>
      </c>
      <c r="AG108" s="3">
        <v>11</v>
      </c>
      <c r="AH108" s="3">
        <v>4</v>
      </c>
      <c r="AI108" s="3">
        <v>4</v>
      </c>
      <c r="AJ108" s="3">
        <v>3</v>
      </c>
      <c r="AK108" s="3">
        <v>3</v>
      </c>
      <c r="AL108" s="3">
        <v>6</v>
      </c>
      <c r="AM108" s="3">
        <v>6</v>
      </c>
      <c r="AN108" s="3">
        <v>1</v>
      </c>
      <c r="AO108" s="3">
        <v>1</v>
      </c>
      <c r="AP108" s="3">
        <v>0</v>
      </c>
      <c r="AQ108" s="3">
        <v>0</v>
      </c>
      <c r="AR108" s="2" t="s">
        <v>63</v>
      </c>
      <c r="AS108" s="2" t="s">
        <v>63</v>
      </c>
      <c r="AU108" s="5" t="str">
        <f>HYPERLINK("https://creighton-primo.hosted.exlibrisgroup.com/primo-explore/search?tab=default_tab&amp;search_scope=EVERYTHING&amp;vid=01CRU&amp;lang=en_US&amp;offset=0&amp;query=any,contains,991004845059702656","Catalog Record")</f>
        <v>Catalog Record</v>
      </c>
      <c r="AV108" s="5" t="str">
        <f>HYPERLINK("http://www.worldcat.org/oclc/5563961","WorldCat Record")</f>
        <v>WorldCat Record</v>
      </c>
      <c r="AW108" s="2" t="s">
        <v>1570</v>
      </c>
      <c r="AX108" s="2" t="s">
        <v>1571</v>
      </c>
      <c r="AY108" s="2" t="s">
        <v>1572</v>
      </c>
      <c r="AZ108" s="2" t="s">
        <v>1572</v>
      </c>
      <c r="BA108" s="2" t="s">
        <v>1573</v>
      </c>
      <c r="BB108" s="2" t="s">
        <v>79</v>
      </c>
      <c r="BD108" s="2" t="s">
        <v>1574</v>
      </c>
      <c r="BE108" s="2" t="s">
        <v>1575</v>
      </c>
      <c r="BF108" s="2" t="s">
        <v>1576</v>
      </c>
    </row>
    <row r="109" spans="1:58" ht="39.75" customHeight="1">
      <c r="A109" s="1"/>
      <c r="B109" s="1" t="s">
        <v>58</v>
      </c>
      <c r="C109" s="1" t="s">
        <v>59</v>
      </c>
      <c r="D109" s="1" t="s">
        <v>1577</v>
      </c>
      <c r="E109" s="1" t="s">
        <v>1578</v>
      </c>
      <c r="F109" s="1" t="s">
        <v>1579</v>
      </c>
      <c r="H109" s="2" t="s">
        <v>63</v>
      </c>
      <c r="I109" s="2" t="s">
        <v>64</v>
      </c>
      <c r="J109" s="2" t="s">
        <v>63</v>
      </c>
      <c r="K109" s="2" t="s">
        <v>63</v>
      </c>
      <c r="L109" s="2" t="s">
        <v>65</v>
      </c>
      <c r="M109" s="1" t="s">
        <v>1580</v>
      </c>
      <c r="N109" s="1" t="s">
        <v>1581</v>
      </c>
      <c r="O109" s="2" t="s">
        <v>136</v>
      </c>
      <c r="Q109" s="2" t="s">
        <v>68</v>
      </c>
      <c r="R109" s="2" t="s">
        <v>181</v>
      </c>
      <c r="T109" s="2" t="s">
        <v>71</v>
      </c>
      <c r="U109" s="3">
        <v>4</v>
      </c>
      <c r="V109" s="3">
        <v>4</v>
      </c>
      <c r="W109" s="4" t="s">
        <v>1582</v>
      </c>
      <c r="X109" s="4" t="s">
        <v>1582</v>
      </c>
      <c r="Y109" s="4" t="s">
        <v>241</v>
      </c>
      <c r="Z109" s="4" t="s">
        <v>241</v>
      </c>
      <c r="AA109" s="3">
        <v>621</v>
      </c>
      <c r="AB109" s="3">
        <v>565</v>
      </c>
      <c r="AC109" s="3">
        <v>578</v>
      </c>
      <c r="AD109" s="3">
        <v>6</v>
      </c>
      <c r="AE109" s="3">
        <v>6</v>
      </c>
      <c r="AF109" s="3">
        <v>29</v>
      </c>
      <c r="AG109" s="3">
        <v>30</v>
      </c>
      <c r="AH109" s="3">
        <v>8</v>
      </c>
      <c r="AI109" s="3">
        <v>8</v>
      </c>
      <c r="AJ109" s="3">
        <v>6</v>
      </c>
      <c r="AK109" s="3">
        <v>7</v>
      </c>
      <c r="AL109" s="3">
        <v>13</v>
      </c>
      <c r="AM109" s="3">
        <v>14</v>
      </c>
      <c r="AN109" s="3">
        <v>4</v>
      </c>
      <c r="AO109" s="3">
        <v>4</v>
      </c>
      <c r="AP109" s="3">
        <v>6</v>
      </c>
      <c r="AQ109" s="3">
        <v>6</v>
      </c>
      <c r="AR109" s="2" t="s">
        <v>63</v>
      </c>
      <c r="AS109" s="2" t="s">
        <v>74</v>
      </c>
      <c r="AT109" s="5" t="str">
        <f>HYPERLINK("http://catalog.hathitrust.org/Record/000109828","HathiTrust Record")</f>
        <v>HathiTrust Record</v>
      </c>
      <c r="AU109" s="5" t="str">
        <f>HYPERLINK("https://creighton-primo.hosted.exlibrisgroup.com/primo-explore/search?tab=default_tab&amp;search_scope=EVERYTHING&amp;vid=01CRU&amp;lang=en_US&amp;offset=0&amp;query=any,contains,991000051229702656","Catalog Record")</f>
        <v>Catalog Record</v>
      </c>
      <c r="AV109" s="5" t="str">
        <f>HYPERLINK("http://www.worldcat.org/oclc/8688353","WorldCat Record")</f>
        <v>WorldCat Record</v>
      </c>
      <c r="AW109" s="2" t="s">
        <v>1583</v>
      </c>
      <c r="AX109" s="2" t="s">
        <v>1584</v>
      </c>
      <c r="AY109" s="2" t="s">
        <v>1585</v>
      </c>
      <c r="AZ109" s="2" t="s">
        <v>1585</v>
      </c>
      <c r="BA109" s="2" t="s">
        <v>1586</v>
      </c>
      <c r="BB109" s="2" t="s">
        <v>79</v>
      </c>
      <c r="BD109" s="2" t="s">
        <v>1587</v>
      </c>
      <c r="BE109" s="2" t="s">
        <v>1588</v>
      </c>
      <c r="BF109" s="2" t="s">
        <v>1589</v>
      </c>
    </row>
    <row r="110" spans="1:58" ht="39.75" customHeight="1">
      <c r="A110" s="1"/>
      <c r="B110" s="1" t="s">
        <v>58</v>
      </c>
      <c r="C110" s="1" t="s">
        <v>59</v>
      </c>
      <c r="D110" s="1" t="s">
        <v>1590</v>
      </c>
      <c r="E110" s="1" t="s">
        <v>1591</v>
      </c>
      <c r="F110" s="1" t="s">
        <v>1592</v>
      </c>
      <c r="H110" s="2" t="s">
        <v>63</v>
      </c>
      <c r="I110" s="2" t="s">
        <v>64</v>
      </c>
      <c r="J110" s="2" t="s">
        <v>63</v>
      </c>
      <c r="K110" s="2" t="s">
        <v>63</v>
      </c>
      <c r="L110" s="2" t="s">
        <v>65</v>
      </c>
      <c r="M110" s="1" t="s">
        <v>1593</v>
      </c>
      <c r="N110" s="1" t="s">
        <v>1594</v>
      </c>
      <c r="O110" s="2" t="s">
        <v>254</v>
      </c>
      <c r="Q110" s="2" t="s">
        <v>68</v>
      </c>
      <c r="R110" s="2" t="s">
        <v>106</v>
      </c>
      <c r="S110" s="1" t="s">
        <v>1595</v>
      </c>
      <c r="T110" s="2" t="s">
        <v>71</v>
      </c>
      <c r="U110" s="3">
        <v>18</v>
      </c>
      <c r="V110" s="3">
        <v>18</v>
      </c>
      <c r="W110" s="4" t="s">
        <v>1596</v>
      </c>
      <c r="X110" s="4" t="s">
        <v>1596</v>
      </c>
      <c r="Y110" s="4" t="s">
        <v>1597</v>
      </c>
      <c r="Z110" s="4" t="s">
        <v>1597</v>
      </c>
      <c r="AA110" s="3">
        <v>214</v>
      </c>
      <c r="AB110" s="3">
        <v>212</v>
      </c>
      <c r="AC110" s="3">
        <v>213</v>
      </c>
      <c r="AD110" s="3">
        <v>2</v>
      </c>
      <c r="AE110" s="3">
        <v>2</v>
      </c>
      <c r="AF110" s="3">
        <v>8</v>
      </c>
      <c r="AG110" s="3">
        <v>8</v>
      </c>
      <c r="AH110" s="3">
        <v>4</v>
      </c>
      <c r="AI110" s="3">
        <v>4</v>
      </c>
      <c r="AJ110" s="3">
        <v>3</v>
      </c>
      <c r="AK110" s="3">
        <v>3</v>
      </c>
      <c r="AL110" s="3">
        <v>5</v>
      </c>
      <c r="AM110" s="3">
        <v>5</v>
      </c>
      <c r="AN110" s="3">
        <v>1</v>
      </c>
      <c r="AO110" s="3">
        <v>1</v>
      </c>
      <c r="AP110" s="3">
        <v>0</v>
      </c>
      <c r="AQ110" s="3">
        <v>0</v>
      </c>
      <c r="AR110" s="2" t="s">
        <v>63</v>
      </c>
      <c r="AS110" s="2" t="s">
        <v>74</v>
      </c>
      <c r="AT110" s="5" t="str">
        <f>HYPERLINK("http://catalog.hathitrust.org/Record/101940377","HathiTrust Record")</f>
        <v>HathiTrust Record</v>
      </c>
      <c r="AU110" s="5" t="str">
        <f>HYPERLINK("https://creighton-primo.hosted.exlibrisgroup.com/primo-explore/search?tab=default_tab&amp;search_scope=EVERYTHING&amp;vid=01CRU&amp;lang=en_US&amp;offset=0&amp;query=any,contains,991001889249702656","Catalog Record")</f>
        <v>Catalog Record</v>
      </c>
      <c r="AV110" s="5" t="str">
        <f>HYPERLINK("http://www.worldcat.org/oclc/23822437","WorldCat Record")</f>
        <v>WorldCat Record</v>
      </c>
      <c r="AW110" s="2" t="s">
        <v>1598</v>
      </c>
      <c r="AX110" s="2" t="s">
        <v>1599</v>
      </c>
      <c r="AY110" s="2" t="s">
        <v>1600</v>
      </c>
      <c r="AZ110" s="2" t="s">
        <v>1600</v>
      </c>
      <c r="BA110" s="2" t="s">
        <v>1601</v>
      </c>
      <c r="BB110" s="2" t="s">
        <v>79</v>
      </c>
      <c r="BD110" s="2" t="s">
        <v>1602</v>
      </c>
      <c r="BE110" s="2" t="s">
        <v>1603</v>
      </c>
      <c r="BF110" s="2" t="s">
        <v>1604</v>
      </c>
    </row>
    <row r="111" spans="1:58" ht="39.75" customHeight="1">
      <c r="A111" s="1"/>
      <c r="B111" s="1" t="s">
        <v>58</v>
      </c>
      <c r="C111" s="1" t="s">
        <v>59</v>
      </c>
      <c r="D111" s="1" t="s">
        <v>1605</v>
      </c>
      <c r="E111" s="1" t="s">
        <v>1606</v>
      </c>
      <c r="F111" s="1" t="s">
        <v>1607</v>
      </c>
      <c r="H111" s="2" t="s">
        <v>63</v>
      </c>
      <c r="I111" s="2" t="s">
        <v>64</v>
      </c>
      <c r="J111" s="2" t="s">
        <v>63</v>
      </c>
      <c r="K111" s="2" t="s">
        <v>63</v>
      </c>
      <c r="L111" s="2" t="s">
        <v>65</v>
      </c>
      <c r="M111" s="1" t="s">
        <v>1608</v>
      </c>
      <c r="N111" s="1" t="s">
        <v>1609</v>
      </c>
      <c r="O111" s="2" t="s">
        <v>345</v>
      </c>
      <c r="Q111" s="2" t="s">
        <v>68</v>
      </c>
      <c r="R111" s="2" t="s">
        <v>106</v>
      </c>
      <c r="T111" s="2" t="s">
        <v>71</v>
      </c>
      <c r="U111" s="3">
        <v>0</v>
      </c>
      <c r="V111" s="3">
        <v>0</v>
      </c>
      <c r="W111" s="4" t="s">
        <v>1610</v>
      </c>
      <c r="X111" s="4" t="s">
        <v>1610</v>
      </c>
      <c r="Y111" s="4" t="s">
        <v>503</v>
      </c>
      <c r="Z111" s="4" t="s">
        <v>503</v>
      </c>
      <c r="AA111" s="3">
        <v>404</v>
      </c>
      <c r="AB111" s="3">
        <v>327</v>
      </c>
      <c r="AC111" s="3">
        <v>335</v>
      </c>
      <c r="AD111" s="3">
        <v>5</v>
      </c>
      <c r="AE111" s="3">
        <v>5</v>
      </c>
      <c r="AF111" s="3">
        <v>13</v>
      </c>
      <c r="AG111" s="3">
        <v>13</v>
      </c>
      <c r="AH111" s="3">
        <v>3</v>
      </c>
      <c r="AI111" s="3">
        <v>3</v>
      </c>
      <c r="AJ111" s="3">
        <v>4</v>
      </c>
      <c r="AK111" s="3">
        <v>4</v>
      </c>
      <c r="AL111" s="3">
        <v>7</v>
      </c>
      <c r="AM111" s="3">
        <v>7</v>
      </c>
      <c r="AN111" s="3">
        <v>2</v>
      </c>
      <c r="AO111" s="3">
        <v>2</v>
      </c>
      <c r="AP111" s="3">
        <v>0</v>
      </c>
      <c r="AQ111" s="3">
        <v>0</v>
      </c>
      <c r="AR111" s="2" t="s">
        <v>63</v>
      </c>
      <c r="AS111" s="2" t="s">
        <v>63</v>
      </c>
      <c r="AT111" s="5" t="str">
        <f>HYPERLINK("http://catalog.hathitrust.org/Record/001558703","HathiTrust Record")</f>
        <v>HathiTrust Record</v>
      </c>
      <c r="AU111" s="5" t="str">
        <f>HYPERLINK("https://creighton-primo.hosted.exlibrisgroup.com/primo-explore/search?tab=default_tab&amp;search_scope=EVERYTHING&amp;vid=01CRU&amp;lang=en_US&amp;offset=0&amp;query=any,contains,991005155829702656","Catalog Record")</f>
        <v>Catalog Record</v>
      </c>
      <c r="AV111" s="5" t="str">
        <f>HYPERLINK("http://www.worldcat.org/oclc/691333","WorldCat Record")</f>
        <v>WorldCat Record</v>
      </c>
      <c r="AW111" s="2" t="s">
        <v>1611</v>
      </c>
      <c r="AX111" s="2" t="s">
        <v>1612</v>
      </c>
      <c r="AY111" s="2" t="s">
        <v>1613</v>
      </c>
      <c r="AZ111" s="2" t="s">
        <v>1613</v>
      </c>
      <c r="BA111" s="2" t="s">
        <v>1614</v>
      </c>
      <c r="BB111" s="2" t="s">
        <v>79</v>
      </c>
      <c r="BE111" s="2" t="s">
        <v>1615</v>
      </c>
      <c r="BF111" s="2" t="s">
        <v>1616</v>
      </c>
    </row>
    <row r="112" spans="1:58" ht="39.75" customHeight="1">
      <c r="A112" s="1"/>
      <c r="B112" s="1" t="s">
        <v>58</v>
      </c>
      <c r="C112" s="1" t="s">
        <v>59</v>
      </c>
      <c r="D112" s="1" t="s">
        <v>1617</v>
      </c>
      <c r="E112" s="1" t="s">
        <v>1618</v>
      </c>
      <c r="F112" s="1" t="s">
        <v>1619</v>
      </c>
      <c r="H112" s="2" t="s">
        <v>63</v>
      </c>
      <c r="I112" s="2" t="s">
        <v>64</v>
      </c>
      <c r="J112" s="2" t="s">
        <v>63</v>
      </c>
      <c r="K112" s="2" t="s">
        <v>63</v>
      </c>
      <c r="L112" s="2" t="s">
        <v>65</v>
      </c>
      <c r="N112" s="1" t="s">
        <v>827</v>
      </c>
      <c r="O112" s="2" t="s">
        <v>67</v>
      </c>
      <c r="Q112" s="2" t="s">
        <v>68</v>
      </c>
      <c r="R112" s="2" t="s">
        <v>106</v>
      </c>
      <c r="T112" s="2" t="s">
        <v>71</v>
      </c>
      <c r="U112" s="3">
        <v>8</v>
      </c>
      <c r="V112" s="3">
        <v>8</v>
      </c>
      <c r="W112" s="4" t="s">
        <v>1620</v>
      </c>
      <c r="X112" s="4" t="s">
        <v>1620</v>
      </c>
      <c r="Y112" s="4" t="s">
        <v>829</v>
      </c>
      <c r="Z112" s="4" t="s">
        <v>829</v>
      </c>
      <c r="AA112" s="3">
        <v>314</v>
      </c>
      <c r="AB112" s="3">
        <v>231</v>
      </c>
      <c r="AC112" s="3">
        <v>238</v>
      </c>
      <c r="AD112" s="3">
        <v>1</v>
      </c>
      <c r="AE112" s="3">
        <v>1</v>
      </c>
      <c r="AF112" s="3">
        <v>10</v>
      </c>
      <c r="AG112" s="3">
        <v>10</v>
      </c>
      <c r="AH112" s="3">
        <v>2</v>
      </c>
      <c r="AI112" s="3">
        <v>2</v>
      </c>
      <c r="AJ112" s="3">
        <v>4</v>
      </c>
      <c r="AK112" s="3">
        <v>4</v>
      </c>
      <c r="AL112" s="3">
        <v>6</v>
      </c>
      <c r="AM112" s="3">
        <v>6</v>
      </c>
      <c r="AN112" s="3">
        <v>0</v>
      </c>
      <c r="AO112" s="3">
        <v>0</v>
      </c>
      <c r="AP112" s="3">
        <v>1</v>
      </c>
      <c r="AQ112" s="3">
        <v>1</v>
      </c>
      <c r="AR112" s="2" t="s">
        <v>63</v>
      </c>
      <c r="AS112" s="2" t="s">
        <v>74</v>
      </c>
      <c r="AT112" s="5" t="str">
        <f>HYPERLINK("http://catalog.hathitrust.org/Record/002738058","HathiTrust Record")</f>
        <v>HathiTrust Record</v>
      </c>
      <c r="AU112" s="5" t="str">
        <f>HYPERLINK("https://creighton-primo.hosted.exlibrisgroup.com/primo-explore/search?tab=default_tab&amp;search_scope=EVERYTHING&amp;vid=01CRU&amp;lang=en_US&amp;offset=0&amp;query=any,contains,991002126219702656","Catalog Record")</f>
        <v>Catalog Record</v>
      </c>
      <c r="AV112" s="5" t="str">
        <f>HYPERLINK("http://www.worldcat.org/oclc/27227974","WorldCat Record")</f>
        <v>WorldCat Record</v>
      </c>
      <c r="AW112" s="2" t="s">
        <v>1621</v>
      </c>
      <c r="AX112" s="2" t="s">
        <v>1622</v>
      </c>
      <c r="AY112" s="2" t="s">
        <v>1623</v>
      </c>
      <c r="AZ112" s="2" t="s">
        <v>1623</v>
      </c>
      <c r="BA112" s="2" t="s">
        <v>1624</v>
      </c>
      <c r="BB112" s="2" t="s">
        <v>79</v>
      </c>
      <c r="BD112" s="2" t="s">
        <v>1625</v>
      </c>
      <c r="BE112" s="2" t="s">
        <v>1626</v>
      </c>
      <c r="BF112" s="2" t="s">
        <v>1627</v>
      </c>
    </row>
    <row r="113" spans="1:58" ht="39.75" customHeight="1">
      <c r="A113" s="1"/>
      <c r="B113" s="1" t="s">
        <v>58</v>
      </c>
      <c r="C113" s="1" t="s">
        <v>59</v>
      </c>
      <c r="D113" s="1" t="s">
        <v>1628</v>
      </c>
      <c r="E113" s="1" t="s">
        <v>1629</v>
      </c>
      <c r="F113" s="1" t="s">
        <v>1630</v>
      </c>
      <c r="H113" s="2" t="s">
        <v>63</v>
      </c>
      <c r="I113" s="2" t="s">
        <v>64</v>
      </c>
      <c r="J113" s="2" t="s">
        <v>63</v>
      </c>
      <c r="K113" s="2" t="s">
        <v>63</v>
      </c>
      <c r="L113" s="2" t="s">
        <v>65</v>
      </c>
      <c r="M113" s="1" t="s">
        <v>1631</v>
      </c>
      <c r="N113" s="1" t="s">
        <v>1632</v>
      </c>
      <c r="O113" s="2" t="s">
        <v>1301</v>
      </c>
      <c r="Q113" s="2" t="s">
        <v>68</v>
      </c>
      <c r="R113" s="2" t="s">
        <v>385</v>
      </c>
      <c r="T113" s="2" t="s">
        <v>71</v>
      </c>
      <c r="U113" s="3">
        <v>5</v>
      </c>
      <c r="V113" s="3">
        <v>5</v>
      </c>
      <c r="W113" s="4" t="s">
        <v>1633</v>
      </c>
      <c r="X113" s="4" t="s">
        <v>1633</v>
      </c>
      <c r="Y113" s="4" t="s">
        <v>1634</v>
      </c>
      <c r="Z113" s="4" t="s">
        <v>1634</v>
      </c>
      <c r="AA113" s="3">
        <v>830</v>
      </c>
      <c r="AB113" s="3">
        <v>665</v>
      </c>
      <c r="AC113" s="3">
        <v>817</v>
      </c>
      <c r="AD113" s="3">
        <v>2</v>
      </c>
      <c r="AE113" s="3">
        <v>2</v>
      </c>
      <c r="AF113" s="3">
        <v>23</v>
      </c>
      <c r="AG113" s="3">
        <v>31</v>
      </c>
      <c r="AH113" s="3">
        <v>10</v>
      </c>
      <c r="AI113" s="3">
        <v>16</v>
      </c>
      <c r="AJ113" s="3">
        <v>6</v>
      </c>
      <c r="AK113" s="3">
        <v>9</v>
      </c>
      <c r="AL113" s="3">
        <v>15</v>
      </c>
      <c r="AM113" s="3">
        <v>16</v>
      </c>
      <c r="AN113" s="3">
        <v>1</v>
      </c>
      <c r="AO113" s="3">
        <v>1</v>
      </c>
      <c r="AP113" s="3">
        <v>0</v>
      </c>
      <c r="AQ113" s="3">
        <v>0</v>
      </c>
      <c r="AR113" s="2" t="s">
        <v>63</v>
      </c>
      <c r="AS113" s="2" t="s">
        <v>63</v>
      </c>
      <c r="AU113" s="5" t="str">
        <f>HYPERLINK("https://creighton-primo.hosted.exlibrisgroup.com/primo-explore/search?tab=default_tab&amp;search_scope=EVERYTHING&amp;vid=01CRU&amp;lang=en_US&amp;offset=0&amp;query=any,contains,991001439579702656","Catalog Record")</f>
        <v>Catalog Record</v>
      </c>
      <c r="AV113" s="5" t="str">
        <f>HYPERLINK("http://www.worldcat.org/oclc/19222495","WorldCat Record")</f>
        <v>WorldCat Record</v>
      </c>
      <c r="AW113" s="2" t="s">
        <v>1635</v>
      </c>
      <c r="AX113" s="2" t="s">
        <v>1636</v>
      </c>
      <c r="AY113" s="2" t="s">
        <v>1637</v>
      </c>
      <c r="AZ113" s="2" t="s">
        <v>1637</v>
      </c>
      <c r="BA113" s="2" t="s">
        <v>1638</v>
      </c>
      <c r="BB113" s="2" t="s">
        <v>79</v>
      </c>
      <c r="BD113" s="2" t="s">
        <v>1639</v>
      </c>
      <c r="BE113" s="2" t="s">
        <v>1640</v>
      </c>
      <c r="BF113" s="2" t="s">
        <v>1641</v>
      </c>
    </row>
    <row r="114" spans="1:58" ht="39.75" customHeight="1">
      <c r="A114" s="1"/>
      <c r="B114" s="1" t="s">
        <v>58</v>
      </c>
      <c r="C114" s="1" t="s">
        <v>59</v>
      </c>
      <c r="D114" s="1" t="s">
        <v>1642</v>
      </c>
      <c r="E114" s="1" t="s">
        <v>1643</v>
      </c>
      <c r="F114" s="1" t="s">
        <v>1644</v>
      </c>
      <c r="H114" s="2" t="s">
        <v>63</v>
      </c>
      <c r="I114" s="2" t="s">
        <v>64</v>
      </c>
      <c r="J114" s="2" t="s">
        <v>63</v>
      </c>
      <c r="K114" s="2" t="s">
        <v>63</v>
      </c>
      <c r="L114" s="2" t="s">
        <v>65</v>
      </c>
      <c r="M114" s="1" t="s">
        <v>1645</v>
      </c>
      <c r="N114" s="1" t="s">
        <v>1646</v>
      </c>
      <c r="O114" s="2" t="s">
        <v>254</v>
      </c>
      <c r="P114" s="1" t="s">
        <v>255</v>
      </c>
      <c r="Q114" s="2" t="s">
        <v>68</v>
      </c>
      <c r="R114" s="2" t="s">
        <v>167</v>
      </c>
      <c r="T114" s="2" t="s">
        <v>71</v>
      </c>
      <c r="U114" s="3">
        <v>4</v>
      </c>
      <c r="V114" s="3">
        <v>4</v>
      </c>
      <c r="W114" s="4" t="s">
        <v>1620</v>
      </c>
      <c r="X114" s="4" t="s">
        <v>1620</v>
      </c>
      <c r="Y114" s="4" t="s">
        <v>1647</v>
      </c>
      <c r="Z114" s="4" t="s">
        <v>1647</v>
      </c>
      <c r="AA114" s="3">
        <v>115</v>
      </c>
      <c r="AB114" s="3">
        <v>74</v>
      </c>
      <c r="AC114" s="3">
        <v>158</v>
      </c>
      <c r="AD114" s="3">
        <v>1</v>
      </c>
      <c r="AE114" s="3">
        <v>1</v>
      </c>
      <c r="AF114" s="3">
        <v>3</v>
      </c>
      <c r="AG114" s="3">
        <v>4</v>
      </c>
      <c r="AH114" s="3">
        <v>0</v>
      </c>
      <c r="AI114" s="3">
        <v>1</v>
      </c>
      <c r="AJ114" s="3">
        <v>1</v>
      </c>
      <c r="AK114" s="3">
        <v>1</v>
      </c>
      <c r="AL114" s="3">
        <v>3</v>
      </c>
      <c r="AM114" s="3">
        <v>4</v>
      </c>
      <c r="AN114" s="3">
        <v>0</v>
      </c>
      <c r="AO114" s="3">
        <v>0</v>
      </c>
      <c r="AP114" s="3">
        <v>0</v>
      </c>
      <c r="AQ114" s="3">
        <v>0</v>
      </c>
      <c r="AR114" s="2" t="s">
        <v>63</v>
      </c>
      <c r="AS114" s="2" t="s">
        <v>74</v>
      </c>
      <c r="AT114" s="5" t="str">
        <f>HYPERLINK("http://catalog.hathitrust.org/Record/004598179","HathiTrust Record")</f>
        <v>HathiTrust Record</v>
      </c>
      <c r="AU114" s="5" t="str">
        <f>HYPERLINK("https://creighton-primo.hosted.exlibrisgroup.com/primo-explore/search?tab=default_tab&amp;search_scope=EVERYTHING&amp;vid=01CRU&amp;lang=en_US&amp;offset=0&amp;query=any,contains,991003219539702656","Catalog Record")</f>
        <v>Catalog Record</v>
      </c>
      <c r="AV114" s="5" t="str">
        <f>HYPERLINK("http://www.worldcat.org/oclc/22420139","WorldCat Record")</f>
        <v>WorldCat Record</v>
      </c>
      <c r="AW114" s="2" t="s">
        <v>1648</v>
      </c>
      <c r="AX114" s="2" t="s">
        <v>1649</v>
      </c>
      <c r="AY114" s="2" t="s">
        <v>1650</v>
      </c>
      <c r="AZ114" s="2" t="s">
        <v>1650</v>
      </c>
      <c r="BA114" s="2" t="s">
        <v>1651</v>
      </c>
      <c r="BB114" s="2" t="s">
        <v>79</v>
      </c>
      <c r="BD114" s="2" t="s">
        <v>1652</v>
      </c>
      <c r="BE114" s="2" t="s">
        <v>1653</v>
      </c>
      <c r="BF114" s="2" t="s">
        <v>1654</v>
      </c>
    </row>
    <row r="115" spans="1:58" ht="39.75" customHeight="1">
      <c r="A115" s="1"/>
      <c r="B115" s="1" t="s">
        <v>58</v>
      </c>
      <c r="C115" s="1" t="s">
        <v>59</v>
      </c>
      <c r="D115" s="1" t="s">
        <v>1655</v>
      </c>
      <c r="E115" s="1" t="s">
        <v>1656</v>
      </c>
      <c r="F115" s="1" t="s">
        <v>1657</v>
      </c>
      <c r="H115" s="2" t="s">
        <v>63</v>
      </c>
      <c r="I115" s="2" t="s">
        <v>64</v>
      </c>
      <c r="J115" s="2" t="s">
        <v>63</v>
      </c>
      <c r="K115" s="2" t="s">
        <v>63</v>
      </c>
      <c r="L115" s="2" t="s">
        <v>65</v>
      </c>
      <c r="M115" s="1" t="s">
        <v>1658</v>
      </c>
      <c r="N115" s="1" t="s">
        <v>1659</v>
      </c>
      <c r="O115" s="2" t="s">
        <v>557</v>
      </c>
      <c r="Q115" s="2" t="s">
        <v>68</v>
      </c>
      <c r="R115" s="2" t="s">
        <v>106</v>
      </c>
      <c r="T115" s="2" t="s">
        <v>71</v>
      </c>
      <c r="U115" s="3">
        <v>2</v>
      </c>
      <c r="V115" s="3">
        <v>2</v>
      </c>
      <c r="W115" s="4" t="s">
        <v>1660</v>
      </c>
      <c r="X115" s="4" t="s">
        <v>1660</v>
      </c>
      <c r="Y115" s="4" t="s">
        <v>1661</v>
      </c>
      <c r="Z115" s="4" t="s">
        <v>1661</v>
      </c>
      <c r="AA115" s="3">
        <v>397</v>
      </c>
      <c r="AB115" s="3">
        <v>317</v>
      </c>
      <c r="AC115" s="3">
        <v>376</v>
      </c>
      <c r="AD115" s="3">
        <v>4</v>
      </c>
      <c r="AE115" s="3">
        <v>4</v>
      </c>
      <c r="AF115" s="3">
        <v>7</v>
      </c>
      <c r="AG115" s="3">
        <v>9</v>
      </c>
      <c r="AH115" s="3">
        <v>0</v>
      </c>
      <c r="AI115" s="3">
        <v>2</v>
      </c>
      <c r="AJ115" s="3">
        <v>1</v>
      </c>
      <c r="AK115" s="3">
        <v>2</v>
      </c>
      <c r="AL115" s="3">
        <v>3</v>
      </c>
      <c r="AM115" s="3">
        <v>3</v>
      </c>
      <c r="AN115" s="3">
        <v>3</v>
      </c>
      <c r="AO115" s="3">
        <v>3</v>
      </c>
      <c r="AP115" s="3">
        <v>0</v>
      </c>
      <c r="AQ115" s="3">
        <v>0</v>
      </c>
      <c r="AR115" s="2" t="s">
        <v>74</v>
      </c>
      <c r="AS115" s="2" t="s">
        <v>63</v>
      </c>
      <c r="AT115" s="5" t="str">
        <f>HYPERLINK("http://catalog.hathitrust.org/Record/001558736","HathiTrust Record")</f>
        <v>HathiTrust Record</v>
      </c>
      <c r="AU115" s="5" t="str">
        <f>HYPERLINK("https://creighton-primo.hosted.exlibrisgroup.com/primo-explore/search?tab=default_tab&amp;search_scope=EVERYTHING&amp;vid=01CRU&amp;lang=en_US&amp;offset=0&amp;query=any,contains,991003299629702656","Catalog Record")</f>
        <v>Catalog Record</v>
      </c>
      <c r="AV115" s="5" t="str">
        <f>HYPERLINK("http://www.worldcat.org/oclc/822568","WorldCat Record")</f>
        <v>WorldCat Record</v>
      </c>
      <c r="AW115" s="2" t="s">
        <v>1662</v>
      </c>
      <c r="AX115" s="2" t="s">
        <v>1663</v>
      </c>
      <c r="AY115" s="2" t="s">
        <v>1664</v>
      </c>
      <c r="AZ115" s="2" t="s">
        <v>1664</v>
      </c>
      <c r="BA115" s="2" t="s">
        <v>1665</v>
      </c>
      <c r="BB115" s="2" t="s">
        <v>79</v>
      </c>
      <c r="BE115" s="2" t="s">
        <v>1666</v>
      </c>
      <c r="BF115" s="2" t="s">
        <v>1667</v>
      </c>
    </row>
    <row r="116" spans="1:58" ht="39.75" customHeight="1">
      <c r="A116" s="1"/>
      <c r="B116" s="1" t="s">
        <v>58</v>
      </c>
      <c r="C116" s="1" t="s">
        <v>59</v>
      </c>
      <c r="D116" s="1" t="s">
        <v>1668</v>
      </c>
      <c r="E116" s="1" t="s">
        <v>1669</v>
      </c>
      <c r="F116" s="1" t="s">
        <v>1670</v>
      </c>
      <c r="H116" s="2" t="s">
        <v>63</v>
      </c>
      <c r="I116" s="2" t="s">
        <v>64</v>
      </c>
      <c r="J116" s="2" t="s">
        <v>63</v>
      </c>
      <c r="K116" s="2" t="s">
        <v>63</v>
      </c>
      <c r="L116" s="2" t="s">
        <v>65</v>
      </c>
      <c r="N116" s="1" t="s">
        <v>1671</v>
      </c>
      <c r="O116" s="2" t="s">
        <v>798</v>
      </c>
      <c r="Q116" s="2" t="s">
        <v>68</v>
      </c>
      <c r="R116" s="2" t="s">
        <v>979</v>
      </c>
      <c r="T116" s="2" t="s">
        <v>71</v>
      </c>
      <c r="U116" s="3">
        <v>1</v>
      </c>
      <c r="V116" s="3">
        <v>1</v>
      </c>
      <c r="W116" s="4" t="s">
        <v>1672</v>
      </c>
      <c r="X116" s="4" t="s">
        <v>1672</v>
      </c>
      <c r="Y116" s="4" t="s">
        <v>1672</v>
      </c>
      <c r="Z116" s="4" t="s">
        <v>1672</v>
      </c>
      <c r="AA116" s="3">
        <v>170</v>
      </c>
      <c r="AB116" s="3">
        <v>84</v>
      </c>
      <c r="AC116" s="3">
        <v>85</v>
      </c>
      <c r="AD116" s="3">
        <v>1</v>
      </c>
      <c r="AE116" s="3">
        <v>1</v>
      </c>
      <c r="AF116" s="3">
        <v>4</v>
      </c>
      <c r="AG116" s="3">
        <v>4</v>
      </c>
      <c r="AH116" s="3">
        <v>2</v>
      </c>
      <c r="AI116" s="3">
        <v>2</v>
      </c>
      <c r="AJ116" s="3">
        <v>2</v>
      </c>
      <c r="AK116" s="3">
        <v>2</v>
      </c>
      <c r="AL116" s="3">
        <v>2</v>
      </c>
      <c r="AM116" s="3">
        <v>2</v>
      </c>
      <c r="AN116" s="3">
        <v>0</v>
      </c>
      <c r="AO116" s="3">
        <v>0</v>
      </c>
      <c r="AP116" s="3">
        <v>0</v>
      </c>
      <c r="AQ116" s="3">
        <v>0</v>
      </c>
      <c r="AR116" s="2" t="s">
        <v>63</v>
      </c>
      <c r="AS116" s="2" t="s">
        <v>63</v>
      </c>
      <c r="AU116" s="5" t="str">
        <f>HYPERLINK("https://creighton-primo.hosted.exlibrisgroup.com/primo-explore/search?tab=default_tab&amp;search_scope=EVERYTHING&amp;vid=01CRU&amp;lang=en_US&amp;offset=0&amp;query=any,contains,991005052329702656","Catalog Record")</f>
        <v>Catalog Record</v>
      </c>
      <c r="AV116" s="5" t="str">
        <f>HYPERLINK("http://www.worldcat.org/oclc/26464227","WorldCat Record")</f>
        <v>WorldCat Record</v>
      </c>
      <c r="AW116" s="2" t="s">
        <v>1673</v>
      </c>
      <c r="AX116" s="2" t="s">
        <v>1674</v>
      </c>
      <c r="AY116" s="2" t="s">
        <v>1675</v>
      </c>
      <c r="AZ116" s="2" t="s">
        <v>1675</v>
      </c>
      <c r="BA116" s="2" t="s">
        <v>1676</v>
      </c>
      <c r="BB116" s="2" t="s">
        <v>79</v>
      </c>
      <c r="BD116" s="2" t="s">
        <v>1677</v>
      </c>
      <c r="BE116" s="2" t="s">
        <v>1678</v>
      </c>
      <c r="BF116" s="2" t="s">
        <v>1679</v>
      </c>
    </row>
    <row r="117" spans="1:58" ht="39.75" customHeight="1">
      <c r="A117" s="1"/>
      <c r="B117" s="1" t="s">
        <v>58</v>
      </c>
      <c r="C117" s="1" t="s">
        <v>59</v>
      </c>
      <c r="D117" s="1" t="s">
        <v>1680</v>
      </c>
      <c r="E117" s="1" t="s">
        <v>1681</v>
      </c>
      <c r="F117" s="1" t="s">
        <v>1682</v>
      </c>
      <c r="H117" s="2" t="s">
        <v>63</v>
      </c>
      <c r="I117" s="2" t="s">
        <v>64</v>
      </c>
      <c r="J117" s="2" t="s">
        <v>63</v>
      </c>
      <c r="K117" s="2" t="s">
        <v>63</v>
      </c>
      <c r="L117" s="2" t="s">
        <v>65</v>
      </c>
      <c r="N117" s="1" t="s">
        <v>1683</v>
      </c>
      <c r="O117" s="2" t="s">
        <v>670</v>
      </c>
      <c r="Q117" s="2" t="s">
        <v>68</v>
      </c>
      <c r="R117" s="2" t="s">
        <v>1190</v>
      </c>
      <c r="T117" s="2" t="s">
        <v>71</v>
      </c>
      <c r="U117" s="3">
        <v>12</v>
      </c>
      <c r="V117" s="3">
        <v>12</v>
      </c>
      <c r="W117" s="4" t="s">
        <v>1684</v>
      </c>
      <c r="X117" s="4" t="s">
        <v>1684</v>
      </c>
      <c r="Y117" s="4" t="s">
        <v>1685</v>
      </c>
      <c r="Z117" s="4" t="s">
        <v>1685</v>
      </c>
      <c r="AA117" s="3">
        <v>213</v>
      </c>
      <c r="AB117" s="3">
        <v>148</v>
      </c>
      <c r="AC117" s="3">
        <v>148</v>
      </c>
      <c r="AD117" s="3">
        <v>1</v>
      </c>
      <c r="AE117" s="3">
        <v>1</v>
      </c>
      <c r="AF117" s="3">
        <v>6</v>
      </c>
      <c r="AG117" s="3">
        <v>6</v>
      </c>
      <c r="AH117" s="3">
        <v>1</v>
      </c>
      <c r="AI117" s="3">
        <v>1</v>
      </c>
      <c r="AJ117" s="3">
        <v>2</v>
      </c>
      <c r="AK117" s="3">
        <v>2</v>
      </c>
      <c r="AL117" s="3">
        <v>4</v>
      </c>
      <c r="AM117" s="3">
        <v>4</v>
      </c>
      <c r="AN117" s="3">
        <v>0</v>
      </c>
      <c r="AO117" s="3">
        <v>0</v>
      </c>
      <c r="AP117" s="3">
        <v>0</v>
      </c>
      <c r="AQ117" s="3">
        <v>0</v>
      </c>
      <c r="AR117" s="2" t="s">
        <v>63</v>
      </c>
      <c r="AS117" s="2" t="s">
        <v>63</v>
      </c>
      <c r="AU117" s="5" t="str">
        <f>HYPERLINK("https://creighton-primo.hosted.exlibrisgroup.com/primo-explore/search?tab=default_tab&amp;search_scope=EVERYTHING&amp;vid=01CRU&amp;lang=en_US&amp;offset=0&amp;query=any,contains,991002460839702656","Catalog Record")</f>
        <v>Catalog Record</v>
      </c>
      <c r="AV117" s="5" t="str">
        <f>HYPERLINK("http://www.worldcat.org/oclc/32052910","WorldCat Record")</f>
        <v>WorldCat Record</v>
      </c>
      <c r="AW117" s="2" t="s">
        <v>1686</v>
      </c>
      <c r="AX117" s="2" t="s">
        <v>1687</v>
      </c>
      <c r="AY117" s="2" t="s">
        <v>1688</v>
      </c>
      <c r="AZ117" s="2" t="s">
        <v>1688</v>
      </c>
      <c r="BA117" s="2" t="s">
        <v>1689</v>
      </c>
      <c r="BB117" s="2" t="s">
        <v>79</v>
      </c>
      <c r="BD117" s="2" t="s">
        <v>1690</v>
      </c>
      <c r="BE117" s="2" t="s">
        <v>1691</v>
      </c>
      <c r="BF117" s="2" t="s">
        <v>1692</v>
      </c>
    </row>
    <row r="118" spans="1:58" ht="39.75" customHeight="1">
      <c r="A118" s="1"/>
      <c r="B118" s="1" t="s">
        <v>58</v>
      </c>
      <c r="C118" s="1" t="s">
        <v>59</v>
      </c>
      <c r="D118" s="1" t="s">
        <v>1693</v>
      </c>
      <c r="E118" s="1" t="s">
        <v>1694</v>
      </c>
      <c r="F118" s="1" t="s">
        <v>1695</v>
      </c>
      <c r="H118" s="2" t="s">
        <v>63</v>
      </c>
      <c r="I118" s="2" t="s">
        <v>64</v>
      </c>
      <c r="J118" s="2" t="s">
        <v>63</v>
      </c>
      <c r="K118" s="2" t="s">
        <v>63</v>
      </c>
      <c r="L118" s="2" t="s">
        <v>65</v>
      </c>
      <c r="N118" s="1" t="s">
        <v>1696</v>
      </c>
      <c r="O118" s="2" t="s">
        <v>105</v>
      </c>
      <c r="Q118" s="2" t="s">
        <v>68</v>
      </c>
      <c r="R118" s="2" t="s">
        <v>1541</v>
      </c>
      <c r="T118" s="2" t="s">
        <v>71</v>
      </c>
      <c r="U118" s="3">
        <v>1</v>
      </c>
      <c r="V118" s="3">
        <v>1</v>
      </c>
      <c r="W118" s="4" t="s">
        <v>1697</v>
      </c>
      <c r="X118" s="4" t="s">
        <v>1697</v>
      </c>
      <c r="Y118" s="4" t="s">
        <v>503</v>
      </c>
      <c r="Z118" s="4" t="s">
        <v>503</v>
      </c>
      <c r="AA118" s="3">
        <v>194</v>
      </c>
      <c r="AB118" s="3">
        <v>169</v>
      </c>
      <c r="AC118" s="3">
        <v>171</v>
      </c>
      <c r="AD118" s="3">
        <v>1</v>
      </c>
      <c r="AE118" s="3">
        <v>1</v>
      </c>
      <c r="AF118" s="3">
        <v>5</v>
      </c>
      <c r="AG118" s="3">
        <v>5</v>
      </c>
      <c r="AH118" s="3">
        <v>0</v>
      </c>
      <c r="AI118" s="3">
        <v>0</v>
      </c>
      <c r="AJ118" s="3">
        <v>3</v>
      </c>
      <c r="AK118" s="3">
        <v>3</v>
      </c>
      <c r="AL118" s="3">
        <v>4</v>
      </c>
      <c r="AM118" s="3">
        <v>4</v>
      </c>
      <c r="AN118" s="3">
        <v>0</v>
      </c>
      <c r="AO118" s="3">
        <v>0</v>
      </c>
      <c r="AP118" s="3">
        <v>0</v>
      </c>
      <c r="AQ118" s="3">
        <v>0</v>
      </c>
      <c r="AR118" s="2" t="s">
        <v>63</v>
      </c>
      <c r="AS118" s="2" t="s">
        <v>74</v>
      </c>
      <c r="AT118" s="5" t="str">
        <f>HYPERLINK("http://catalog.hathitrust.org/Record/000488026","HathiTrust Record")</f>
        <v>HathiTrust Record</v>
      </c>
      <c r="AU118" s="5" t="str">
        <f>HYPERLINK("https://creighton-primo.hosted.exlibrisgroup.com/primo-explore/search?tab=default_tab&amp;search_scope=EVERYTHING&amp;vid=01CRU&amp;lang=en_US&amp;offset=0&amp;query=any,contains,991000871649702656","Catalog Record")</f>
        <v>Catalog Record</v>
      </c>
      <c r="AV118" s="5" t="str">
        <f>HYPERLINK("http://www.worldcat.org/oclc/13793254","WorldCat Record")</f>
        <v>WorldCat Record</v>
      </c>
      <c r="AW118" s="2" t="s">
        <v>1698</v>
      </c>
      <c r="AX118" s="2" t="s">
        <v>1699</v>
      </c>
      <c r="AY118" s="2" t="s">
        <v>1700</v>
      </c>
      <c r="AZ118" s="2" t="s">
        <v>1700</v>
      </c>
      <c r="BA118" s="2" t="s">
        <v>1701</v>
      </c>
      <c r="BB118" s="2" t="s">
        <v>79</v>
      </c>
      <c r="BD118" s="2" t="s">
        <v>1702</v>
      </c>
      <c r="BE118" s="2" t="s">
        <v>1703</v>
      </c>
      <c r="BF118" s="2" t="s">
        <v>1704</v>
      </c>
    </row>
    <row r="119" spans="1:58" ht="39.75" customHeight="1">
      <c r="A119" s="1"/>
      <c r="B119" s="1" t="s">
        <v>58</v>
      </c>
      <c r="C119" s="1" t="s">
        <v>59</v>
      </c>
      <c r="D119" s="1" t="s">
        <v>1705</v>
      </c>
      <c r="E119" s="1" t="s">
        <v>1706</v>
      </c>
      <c r="F119" s="1" t="s">
        <v>1707</v>
      </c>
      <c r="H119" s="2" t="s">
        <v>63</v>
      </c>
      <c r="I119" s="2" t="s">
        <v>64</v>
      </c>
      <c r="J119" s="2" t="s">
        <v>63</v>
      </c>
      <c r="K119" s="2" t="s">
        <v>63</v>
      </c>
      <c r="L119" s="2" t="s">
        <v>65</v>
      </c>
      <c r="N119" s="1" t="s">
        <v>1708</v>
      </c>
      <c r="O119" s="2" t="s">
        <v>441</v>
      </c>
      <c r="Q119" s="2" t="s">
        <v>68</v>
      </c>
      <c r="R119" s="2" t="s">
        <v>1709</v>
      </c>
      <c r="S119" s="1" t="s">
        <v>1710</v>
      </c>
      <c r="T119" s="2" t="s">
        <v>71</v>
      </c>
      <c r="U119" s="3">
        <v>1</v>
      </c>
      <c r="V119" s="3">
        <v>1</v>
      </c>
      <c r="W119" s="4" t="s">
        <v>1711</v>
      </c>
      <c r="X119" s="4" t="s">
        <v>1711</v>
      </c>
      <c r="Y119" s="4" t="s">
        <v>1712</v>
      </c>
      <c r="Z119" s="4" t="s">
        <v>1712</v>
      </c>
      <c r="AA119" s="3">
        <v>96</v>
      </c>
      <c r="AB119" s="3">
        <v>60</v>
      </c>
      <c r="AC119" s="3">
        <v>61</v>
      </c>
      <c r="AD119" s="3">
        <v>1</v>
      </c>
      <c r="AE119" s="3">
        <v>1</v>
      </c>
      <c r="AF119" s="3">
        <v>1</v>
      </c>
      <c r="AG119" s="3">
        <v>1</v>
      </c>
      <c r="AH119" s="3">
        <v>0</v>
      </c>
      <c r="AI119" s="3">
        <v>0</v>
      </c>
      <c r="AJ119" s="3">
        <v>1</v>
      </c>
      <c r="AK119" s="3">
        <v>1</v>
      </c>
      <c r="AL119" s="3">
        <v>1</v>
      </c>
      <c r="AM119" s="3">
        <v>1</v>
      </c>
      <c r="AN119" s="3">
        <v>0</v>
      </c>
      <c r="AO119" s="3">
        <v>0</v>
      </c>
      <c r="AP119" s="3">
        <v>0</v>
      </c>
      <c r="AQ119" s="3">
        <v>0</v>
      </c>
      <c r="AR119" s="2" t="s">
        <v>63</v>
      </c>
      <c r="AS119" s="2" t="s">
        <v>63</v>
      </c>
      <c r="AU119" s="5" t="str">
        <f>HYPERLINK("https://creighton-primo.hosted.exlibrisgroup.com/primo-explore/search?tab=default_tab&amp;search_scope=EVERYTHING&amp;vid=01CRU&amp;lang=en_US&amp;offset=0&amp;query=any,contains,991003553589702656","Catalog Record")</f>
        <v>Catalog Record</v>
      </c>
      <c r="AV119" s="5" t="str">
        <f>HYPERLINK("http://www.worldcat.org/oclc/22814984","WorldCat Record")</f>
        <v>WorldCat Record</v>
      </c>
      <c r="AW119" s="2" t="s">
        <v>1713</v>
      </c>
      <c r="AX119" s="2" t="s">
        <v>1714</v>
      </c>
      <c r="AY119" s="2" t="s">
        <v>1715</v>
      </c>
      <c r="AZ119" s="2" t="s">
        <v>1715</v>
      </c>
      <c r="BA119" s="2" t="s">
        <v>1716</v>
      </c>
      <c r="BB119" s="2" t="s">
        <v>79</v>
      </c>
      <c r="BD119" s="2" t="s">
        <v>1717</v>
      </c>
      <c r="BE119" s="2" t="s">
        <v>1718</v>
      </c>
      <c r="BF119" s="2" t="s">
        <v>1719</v>
      </c>
    </row>
    <row r="120" spans="1:58" ht="39.75" customHeight="1">
      <c r="A120" s="1"/>
      <c r="B120" s="1" t="s">
        <v>58</v>
      </c>
      <c r="C120" s="1" t="s">
        <v>59</v>
      </c>
      <c r="D120" s="1" t="s">
        <v>1720</v>
      </c>
      <c r="E120" s="1" t="s">
        <v>1721</v>
      </c>
      <c r="F120" s="1" t="s">
        <v>1722</v>
      </c>
      <c r="H120" s="2" t="s">
        <v>63</v>
      </c>
      <c r="I120" s="2" t="s">
        <v>64</v>
      </c>
      <c r="J120" s="2" t="s">
        <v>74</v>
      </c>
      <c r="K120" s="2" t="s">
        <v>63</v>
      </c>
      <c r="L120" s="2" t="s">
        <v>65</v>
      </c>
      <c r="M120" s="1" t="s">
        <v>1272</v>
      </c>
      <c r="N120" s="1" t="s">
        <v>1723</v>
      </c>
      <c r="O120" s="2" t="s">
        <v>441</v>
      </c>
      <c r="Q120" s="2" t="s">
        <v>68</v>
      </c>
      <c r="R120" s="2" t="s">
        <v>167</v>
      </c>
      <c r="T120" s="2" t="s">
        <v>71</v>
      </c>
      <c r="U120" s="3">
        <v>2</v>
      </c>
      <c r="V120" s="3">
        <v>2</v>
      </c>
      <c r="W120" s="4" t="s">
        <v>1724</v>
      </c>
      <c r="X120" s="4" t="s">
        <v>1724</v>
      </c>
      <c r="Y120" s="4" t="s">
        <v>1725</v>
      </c>
      <c r="Z120" s="4" t="s">
        <v>1725</v>
      </c>
      <c r="AA120" s="3">
        <v>675</v>
      </c>
      <c r="AB120" s="3">
        <v>594</v>
      </c>
      <c r="AC120" s="3">
        <v>599</v>
      </c>
      <c r="AD120" s="3">
        <v>4</v>
      </c>
      <c r="AE120" s="3">
        <v>4</v>
      </c>
      <c r="AF120" s="3">
        <v>27</v>
      </c>
      <c r="AG120" s="3">
        <v>27</v>
      </c>
      <c r="AH120" s="3">
        <v>8</v>
      </c>
      <c r="AI120" s="3">
        <v>8</v>
      </c>
      <c r="AJ120" s="3">
        <v>6</v>
      </c>
      <c r="AK120" s="3">
        <v>6</v>
      </c>
      <c r="AL120" s="3">
        <v>12</v>
      </c>
      <c r="AM120" s="3">
        <v>12</v>
      </c>
      <c r="AN120" s="3">
        <v>2</v>
      </c>
      <c r="AO120" s="3">
        <v>2</v>
      </c>
      <c r="AP120" s="3">
        <v>7</v>
      </c>
      <c r="AQ120" s="3">
        <v>7</v>
      </c>
      <c r="AR120" s="2" t="s">
        <v>63</v>
      </c>
      <c r="AS120" s="2" t="s">
        <v>63</v>
      </c>
      <c r="AU120" s="5" t="str">
        <f>HYPERLINK("https://creighton-primo.hosted.exlibrisgroup.com/primo-explore/search?tab=default_tab&amp;search_scope=EVERYTHING&amp;vid=01CRU&amp;lang=en_US&amp;offset=0&amp;query=any,contains,991001582749702656","Catalog Record")</f>
        <v>Catalog Record</v>
      </c>
      <c r="AV120" s="5" t="str">
        <f>HYPERLINK("http://www.worldcat.org/oclc/20492239","WorldCat Record")</f>
        <v>WorldCat Record</v>
      </c>
      <c r="AW120" s="2" t="s">
        <v>1726</v>
      </c>
      <c r="AX120" s="2" t="s">
        <v>1727</v>
      </c>
      <c r="AY120" s="2" t="s">
        <v>1728</v>
      </c>
      <c r="AZ120" s="2" t="s">
        <v>1728</v>
      </c>
      <c r="BA120" s="2" t="s">
        <v>1729</v>
      </c>
      <c r="BB120" s="2" t="s">
        <v>79</v>
      </c>
      <c r="BD120" s="2" t="s">
        <v>1730</v>
      </c>
      <c r="BE120" s="2" t="s">
        <v>1731</v>
      </c>
      <c r="BF120" s="2" t="s">
        <v>1732</v>
      </c>
    </row>
    <row r="121" spans="1:58" ht="39.75" customHeight="1">
      <c r="A121" s="1"/>
      <c r="B121" s="1" t="s">
        <v>58</v>
      </c>
      <c r="C121" s="1" t="s">
        <v>59</v>
      </c>
      <c r="D121" s="1" t="s">
        <v>1733</v>
      </c>
      <c r="E121" s="1" t="s">
        <v>1734</v>
      </c>
      <c r="F121" s="1" t="s">
        <v>1735</v>
      </c>
      <c r="H121" s="2" t="s">
        <v>63</v>
      </c>
      <c r="I121" s="2" t="s">
        <v>64</v>
      </c>
      <c r="J121" s="2" t="s">
        <v>63</v>
      </c>
      <c r="K121" s="2" t="s">
        <v>63</v>
      </c>
      <c r="L121" s="2" t="s">
        <v>65</v>
      </c>
      <c r="M121" s="1" t="s">
        <v>1736</v>
      </c>
      <c r="N121" s="1" t="s">
        <v>1737</v>
      </c>
      <c r="O121" s="2" t="s">
        <v>88</v>
      </c>
      <c r="Q121" s="2" t="s">
        <v>68</v>
      </c>
      <c r="R121" s="2" t="s">
        <v>385</v>
      </c>
      <c r="S121" s="1" t="s">
        <v>1738</v>
      </c>
      <c r="T121" s="2" t="s">
        <v>71</v>
      </c>
      <c r="U121" s="3">
        <v>7</v>
      </c>
      <c r="V121" s="3">
        <v>7</v>
      </c>
      <c r="W121" s="4" t="s">
        <v>1739</v>
      </c>
      <c r="X121" s="4" t="s">
        <v>1739</v>
      </c>
      <c r="Y121" s="4" t="s">
        <v>503</v>
      </c>
      <c r="Z121" s="4" t="s">
        <v>503</v>
      </c>
      <c r="AA121" s="3">
        <v>532</v>
      </c>
      <c r="AB121" s="3">
        <v>476</v>
      </c>
      <c r="AC121" s="3">
        <v>527</v>
      </c>
      <c r="AD121" s="3">
        <v>4</v>
      </c>
      <c r="AE121" s="3">
        <v>4</v>
      </c>
      <c r="AF121" s="3">
        <v>17</v>
      </c>
      <c r="AG121" s="3">
        <v>18</v>
      </c>
      <c r="AH121" s="3">
        <v>3</v>
      </c>
      <c r="AI121" s="3">
        <v>3</v>
      </c>
      <c r="AJ121" s="3">
        <v>7</v>
      </c>
      <c r="AK121" s="3">
        <v>7</v>
      </c>
      <c r="AL121" s="3">
        <v>8</v>
      </c>
      <c r="AM121" s="3">
        <v>9</v>
      </c>
      <c r="AN121" s="3">
        <v>3</v>
      </c>
      <c r="AO121" s="3">
        <v>3</v>
      </c>
      <c r="AP121" s="3">
        <v>0</v>
      </c>
      <c r="AQ121" s="3">
        <v>0</v>
      </c>
      <c r="AR121" s="2" t="s">
        <v>63</v>
      </c>
      <c r="AS121" s="2" t="s">
        <v>74</v>
      </c>
      <c r="AT121" s="5" t="str">
        <f>HYPERLINK("http://catalog.hathitrust.org/Record/000714233","HathiTrust Record")</f>
        <v>HathiTrust Record</v>
      </c>
      <c r="AU121" s="5" t="str">
        <f>HYPERLINK("https://creighton-primo.hosted.exlibrisgroup.com/primo-explore/search?tab=default_tab&amp;search_scope=EVERYTHING&amp;vid=01CRU&amp;lang=en_US&amp;offset=0&amp;query=any,contains,991004826099702656","Catalog Record")</f>
        <v>Catalog Record</v>
      </c>
      <c r="AV121" s="5" t="str">
        <f>HYPERLINK("http://www.worldcat.org/oclc/5353727","WorldCat Record")</f>
        <v>WorldCat Record</v>
      </c>
      <c r="AW121" s="2" t="s">
        <v>1740</v>
      </c>
      <c r="AX121" s="2" t="s">
        <v>1741</v>
      </c>
      <c r="AY121" s="2" t="s">
        <v>1742</v>
      </c>
      <c r="AZ121" s="2" t="s">
        <v>1742</v>
      </c>
      <c r="BA121" s="2" t="s">
        <v>1743</v>
      </c>
      <c r="BB121" s="2" t="s">
        <v>79</v>
      </c>
      <c r="BD121" s="2" t="s">
        <v>1744</v>
      </c>
      <c r="BE121" s="2" t="s">
        <v>1745</v>
      </c>
      <c r="BF121" s="2" t="s">
        <v>1746</v>
      </c>
    </row>
    <row r="122" spans="1:58" ht="39.75" customHeight="1">
      <c r="A122" s="1"/>
      <c r="B122" s="1" t="s">
        <v>58</v>
      </c>
      <c r="C122" s="1" t="s">
        <v>59</v>
      </c>
      <c r="D122" s="1" t="s">
        <v>1747</v>
      </c>
      <c r="E122" s="1" t="s">
        <v>1748</v>
      </c>
      <c r="F122" s="1" t="s">
        <v>1749</v>
      </c>
      <c r="H122" s="2" t="s">
        <v>63</v>
      </c>
      <c r="I122" s="2" t="s">
        <v>64</v>
      </c>
      <c r="J122" s="2" t="s">
        <v>63</v>
      </c>
      <c r="K122" s="2" t="s">
        <v>63</v>
      </c>
      <c r="L122" s="2" t="s">
        <v>65</v>
      </c>
      <c r="N122" s="1" t="s">
        <v>1750</v>
      </c>
      <c r="O122" s="2" t="s">
        <v>627</v>
      </c>
      <c r="Q122" s="2" t="s">
        <v>68</v>
      </c>
      <c r="R122" s="2" t="s">
        <v>106</v>
      </c>
      <c r="T122" s="2" t="s">
        <v>71</v>
      </c>
      <c r="U122" s="3">
        <v>4</v>
      </c>
      <c r="V122" s="3">
        <v>4</v>
      </c>
      <c r="W122" s="4" t="s">
        <v>1751</v>
      </c>
      <c r="X122" s="4" t="s">
        <v>1751</v>
      </c>
      <c r="Y122" s="4" t="s">
        <v>1752</v>
      </c>
      <c r="Z122" s="4" t="s">
        <v>1752</v>
      </c>
      <c r="AA122" s="3">
        <v>376</v>
      </c>
      <c r="AB122" s="3">
        <v>295</v>
      </c>
      <c r="AC122" s="3">
        <v>300</v>
      </c>
      <c r="AD122" s="3">
        <v>2</v>
      </c>
      <c r="AE122" s="3">
        <v>2</v>
      </c>
      <c r="AF122" s="3">
        <v>12</v>
      </c>
      <c r="AG122" s="3">
        <v>12</v>
      </c>
      <c r="AH122" s="3">
        <v>3</v>
      </c>
      <c r="AI122" s="3">
        <v>3</v>
      </c>
      <c r="AJ122" s="3">
        <v>5</v>
      </c>
      <c r="AK122" s="3">
        <v>5</v>
      </c>
      <c r="AL122" s="3">
        <v>5</v>
      </c>
      <c r="AM122" s="3">
        <v>5</v>
      </c>
      <c r="AN122" s="3">
        <v>1</v>
      </c>
      <c r="AO122" s="3">
        <v>1</v>
      </c>
      <c r="AP122" s="3">
        <v>1</v>
      </c>
      <c r="AQ122" s="3">
        <v>1</v>
      </c>
      <c r="AR122" s="2" t="s">
        <v>63</v>
      </c>
      <c r="AS122" s="2" t="s">
        <v>63</v>
      </c>
      <c r="AU122" s="5" t="str">
        <f>HYPERLINK("https://creighton-primo.hosted.exlibrisgroup.com/primo-explore/search?tab=default_tab&amp;search_scope=EVERYTHING&amp;vid=01CRU&amp;lang=en_US&amp;offset=0&amp;query=any,contains,991002514189702656","Catalog Record")</f>
        <v>Catalog Record</v>
      </c>
      <c r="AV122" s="5" t="str">
        <f>HYPERLINK("http://www.worldcat.org/oclc/32698501","WorldCat Record")</f>
        <v>WorldCat Record</v>
      </c>
      <c r="AW122" s="2" t="s">
        <v>1753</v>
      </c>
      <c r="AX122" s="2" t="s">
        <v>1754</v>
      </c>
      <c r="AY122" s="2" t="s">
        <v>1755</v>
      </c>
      <c r="AZ122" s="2" t="s">
        <v>1755</v>
      </c>
      <c r="BA122" s="2" t="s">
        <v>1756</v>
      </c>
      <c r="BB122" s="2" t="s">
        <v>79</v>
      </c>
      <c r="BD122" s="2" t="s">
        <v>1757</v>
      </c>
      <c r="BE122" s="2" t="s">
        <v>1758</v>
      </c>
      <c r="BF122" s="2" t="s">
        <v>1759</v>
      </c>
    </row>
    <row r="123" spans="1:58" ht="39.75" customHeight="1">
      <c r="A123" s="1"/>
      <c r="B123" s="1" t="s">
        <v>58</v>
      </c>
      <c r="C123" s="1" t="s">
        <v>59</v>
      </c>
      <c r="D123" s="1" t="s">
        <v>1760</v>
      </c>
      <c r="E123" s="1" t="s">
        <v>1761</v>
      </c>
      <c r="F123" s="1" t="s">
        <v>1762</v>
      </c>
      <c r="H123" s="2" t="s">
        <v>63</v>
      </c>
      <c r="I123" s="2" t="s">
        <v>64</v>
      </c>
      <c r="J123" s="2" t="s">
        <v>63</v>
      </c>
      <c r="K123" s="2" t="s">
        <v>63</v>
      </c>
      <c r="L123" s="2" t="s">
        <v>65</v>
      </c>
      <c r="M123" s="1" t="s">
        <v>1763</v>
      </c>
      <c r="N123" s="1" t="s">
        <v>1764</v>
      </c>
      <c r="O123" s="2" t="s">
        <v>136</v>
      </c>
      <c r="Q123" s="2" t="s">
        <v>68</v>
      </c>
      <c r="R123" s="2" t="s">
        <v>1190</v>
      </c>
      <c r="T123" s="2" t="s">
        <v>71</v>
      </c>
      <c r="U123" s="3">
        <v>6</v>
      </c>
      <c r="V123" s="3">
        <v>6</v>
      </c>
      <c r="W123" s="4" t="s">
        <v>1765</v>
      </c>
      <c r="X123" s="4" t="s">
        <v>1765</v>
      </c>
      <c r="Y123" s="4" t="s">
        <v>1766</v>
      </c>
      <c r="Z123" s="4" t="s">
        <v>1766</v>
      </c>
      <c r="AA123" s="3">
        <v>826</v>
      </c>
      <c r="AB123" s="3">
        <v>739</v>
      </c>
      <c r="AC123" s="3">
        <v>1011</v>
      </c>
      <c r="AD123" s="3">
        <v>4</v>
      </c>
      <c r="AE123" s="3">
        <v>8</v>
      </c>
      <c r="AF123" s="3">
        <v>25</v>
      </c>
      <c r="AG123" s="3">
        <v>43</v>
      </c>
      <c r="AH123" s="3">
        <v>12</v>
      </c>
      <c r="AI123" s="3">
        <v>20</v>
      </c>
      <c r="AJ123" s="3">
        <v>5</v>
      </c>
      <c r="AK123" s="3">
        <v>11</v>
      </c>
      <c r="AL123" s="3">
        <v>12</v>
      </c>
      <c r="AM123" s="3">
        <v>18</v>
      </c>
      <c r="AN123" s="3">
        <v>3</v>
      </c>
      <c r="AO123" s="3">
        <v>6</v>
      </c>
      <c r="AP123" s="3">
        <v>0</v>
      </c>
      <c r="AQ123" s="3">
        <v>0</v>
      </c>
      <c r="AR123" s="2" t="s">
        <v>63</v>
      </c>
      <c r="AS123" s="2" t="s">
        <v>63</v>
      </c>
      <c r="AU123" s="5" t="str">
        <f>HYPERLINK("https://creighton-primo.hosted.exlibrisgroup.com/primo-explore/search?tab=default_tab&amp;search_scope=EVERYTHING&amp;vid=01CRU&amp;lang=en_US&amp;offset=0&amp;query=any,contains,991005242149702656","Catalog Record")</f>
        <v>Catalog Record</v>
      </c>
      <c r="AV123" s="5" t="str">
        <f>HYPERLINK("http://www.worldcat.org/oclc/8430463","WorldCat Record")</f>
        <v>WorldCat Record</v>
      </c>
      <c r="AW123" s="2" t="s">
        <v>1767</v>
      </c>
      <c r="AX123" s="2" t="s">
        <v>1768</v>
      </c>
      <c r="AY123" s="2" t="s">
        <v>1769</v>
      </c>
      <c r="AZ123" s="2" t="s">
        <v>1769</v>
      </c>
      <c r="BA123" s="2" t="s">
        <v>1770</v>
      </c>
      <c r="BB123" s="2" t="s">
        <v>79</v>
      </c>
      <c r="BD123" s="2" t="s">
        <v>1771</v>
      </c>
      <c r="BE123" s="2" t="s">
        <v>1772</v>
      </c>
      <c r="BF123" s="2" t="s">
        <v>1773</v>
      </c>
    </row>
    <row r="124" spans="1:58" ht="39.75" customHeight="1">
      <c r="A124" s="1"/>
      <c r="B124" s="1" t="s">
        <v>58</v>
      </c>
      <c r="C124" s="1" t="s">
        <v>59</v>
      </c>
      <c r="D124" s="1" t="s">
        <v>1774</v>
      </c>
      <c r="E124" s="1" t="s">
        <v>1775</v>
      </c>
      <c r="F124" s="1" t="s">
        <v>1776</v>
      </c>
      <c r="H124" s="2" t="s">
        <v>63</v>
      </c>
      <c r="I124" s="2" t="s">
        <v>64</v>
      </c>
      <c r="J124" s="2" t="s">
        <v>63</v>
      </c>
      <c r="K124" s="2" t="s">
        <v>63</v>
      </c>
      <c r="L124" s="2" t="s">
        <v>65</v>
      </c>
      <c r="N124" s="1" t="s">
        <v>1777</v>
      </c>
      <c r="O124" s="2" t="s">
        <v>798</v>
      </c>
      <c r="Q124" s="2" t="s">
        <v>68</v>
      </c>
      <c r="R124" s="2" t="s">
        <v>181</v>
      </c>
      <c r="S124" s="1" t="s">
        <v>1778</v>
      </c>
      <c r="T124" s="2" t="s">
        <v>71</v>
      </c>
      <c r="U124" s="3">
        <v>4</v>
      </c>
      <c r="V124" s="3">
        <v>4</v>
      </c>
      <c r="W124" s="4" t="s">
        <v>1779</v>
      </c>
      <c r="X124" s="4" t="s">
        <v>1779</v>
      </c>
      <c r="Y124" s="4" t="s">
        <v>1106</v>
      </c>
      <c r="Z124" s="4" t="s">
        <v>1106</v>
      </c>
      <c r="AA124" s="3">
        <v>54</v>
      </c>
      <c r="AB124" s="3">
        <v>51</v>
      </c>
      <c r="AC124" s="3">
        <v>53</v>
      </c>
      <c r="AD124" s="3">
        <v>1</v>
      </c>
      <c r="AE124" s="3">
        <v>1</v>
      </c>
      <c r="AF124" s="3">
        <v>10</v>
      </c>
      <c r="AG124" s="3">
        <v>10</v>
      </c>
      <c r="AH124" s="3">
        <v>2</v>
      </c>
      <c r="AI124" s="3">
        <v>2</v>
      </c>
      <c r="AJ124" s="3">
        <v>4</v>
      </c>
      <c r="AK124" s="3">
        <v>4</v>
      </c>
      <c r="AL124" s="3">
        <v>6</v>
      </c>
      <c r="AM124" s="3">
        <v>6</v>
      </c>
      <c r="AN124" s="3">
        <v>0</v>
      </c>
      <c r="AO124" s="3">
        <v>0</v>
      </c>
      <c r="AP124" s="3">
        <v>0</v>
      </c>
      <c r="AQ124" s="3">
        <v>0</v>
      </c>
      <c r="AR124" s="2" t="s">
        <v>63</v>
      </c>
      <c r="AS124" s="2" t="s">
        <v>63</v>
      </c>
      <c r="AU124" s="5" t="str">
        <f>HYPERLINK("https://creighton-primo.hosted.exlibrisgroup.com/primo-explore/search?tab=default_tab&amp;search_scope=EVERYTHING&amp;vid=01CRU&amp;lang=en_US&amp;offset=0&amp;query=any,contains,991002156299702656","Catalog Record")</f>
        <v>Catalog Record</v>
      </c>
      <c r="AV124" s="5" t="str">
        <f>HYPERLINK("http://www.worldcat.org/oclc/27784676","WorldCat Record")</f>
        <v>WorldCat Record</v>
      </c>
      <c r="AW124" s="2" t="s">
        <v>1780</v>
      </c>
      <c r="AX124" s="2" t="s">
        <v>1781</v>
      </c>
      <c r="AY124" s="2" t="s">
        <v>1782</v>
      </c>
      <c r="AZ124" s="2" t="s">
        <v>1782</v>
      </c>
      <c r="BA124" s="2" t="s">
        <v>1783</v>
      </c>
      <c r="BB124" s="2" t="s">
        <v>79</v>
      </c>
      <c r="BE124" s="2" t="s">
        <v>1784</v>
      </c>
      <c r="BF124" s="2" t="s">
        <v>1785</v>
      </c>
    </row>
    <row r="125" spans="1:58" ht="39.75" customHeight="1">
      <c r="A125" s="1"/>
      <c r="B125" s="1" t="s">
        <v>58</v>
      </c>
      <c r="C125" s="1" t="s">
        <v>59</v>
      </c>
      <c r="D125" s="1" t="s">
        <v>1786</v>
      </c>
      <c r="E125" s="1" t="s">
        <v>1787</v>
      </c>
      <c r="F125" s="1" t="s">
        <v>1788</v>
      </c>
      <c r="H125" s="2" t="s">
        <v>63</v>
      </c>
      <c r="I125" s="2" t="s">
        <v>64</v>
      </c>
      <c r="J125" s="2" t="s">
        <v>63</v>
      </c>
      <c r="K125" s="2" t="s">
        <v>63</v>
      </c>
      <c r="L125" s="2" t="s">
        <v>65</v>
      </c>
      <c r="N125" s="1" t="s">
        <v>1789</v>
      </c>
      <c r="O125" s="2" t="s">
        <v>528</v>
      </c>
      <c r="P125" s="1" t="s">
        <v>484</v>
      </c>
      <c r="Q125" s="2" t="s">
        <v>68</v>
      </c>
      <c r="R125" s="2" t="s">
        <v>500</v>
      </c>
      <c r="S125" s="1" t="s">
        <v>1790</v>
      </c>
      <c r="T125" s="2" t="s">
        <v>71</v>
      </c>
      <c r="U125" s="3">
        <v>2</v>
      </c>
      <c r="V125" s="3">
        <v>2</v>
      </c>
      <c r="W125" s="4" t="s">
        <v>1791</v>
      </c>
      <c r="X125" s="4" t="s">
        <v>1791</v>
      </c>
      <c r="Y125" s="4" t="s">
        <v>1792</v>
      </c>
      <c r="Z125" s="4" t="s">
        <v>1792</v>
      </c>
      <c r="AA125" s="3">
        <v>332</v>
      </c>
      <c r="AB125" s="3">
        <v>303</v>
      </c>
      <c r="AC125" s="3">
        <v>305</v>
      </c>
      <c r="AD125" s="3">
        <v>1</v>
      </c>
      <c r="AE125" s="3">
        <v>1</v>
      </c>
      <c r="AF125" s="3">
        <v>13</v>
      </c>
      <c r="AG125" s="3">
        <v>13</v>
      </c>
      <c r="AH125" s="3">
        <v>5</v>
      </c>
      <c r="AI125" s="3">
        <v>5</v>
      </c>
      <c r="AJ125" s="3">
        <v>2</v>
      </c>
      <c r="AK125" s="3">
        <v>2</v>
      </c>
      <c r="AL125" s="3">
        <v>8</v>
      </c>
      <c r="AM125" s="3">
        <v>8</v>
      </c>
      <c r="AN125" s="3">
        <v>0</v>
      </c>
      <c r="AO125" s="3">
        <v>0</v>
      </c>
      <c r="AP125" s="3">
        <v>0</v>
      </c>
      <c r="AQ125" s="3">
        <v>0</v>
      </c>
      <c r="AR125" s="2" t="s">
        <v>63</v>
      </c>
      <c r="AS125" s="2" t="s">
        <v>74</v>
      </c>
      <c r="AT125" s="5" t="str">
        <f>HYPERLINK("http://catalog.hathitrust.org/Record/004129105","HathiTrust Record")</f>
        <v>HathiTrust Record</v>
      </c>
      <c r="AU125" s="5" t="str">
        <f>HYPERLINK("https://creighton-primo.hosted.exlibrisgroup.com/primo-explore/search?tab=default_tab&amp;search_scope=EVERYTHING&amp;vid=01CRU&amp;lang=en_US&amp;offset=0&amp;query=any,contains,991003320109702656","Catalog Record")</f>
        <v>Catalog Record</v>
      </c>
      <c r="AV125" s="5" t="str">
        <f>HYPERLINK("http://www.worldcat.org/oclc/44750595","WorldCat Record")</f>
        <v>WorldCat Record</v>
      </c>
      <c r="AW125" s="2" t="s">
        <v>1793</v>
      </c>
      <c r="AX125" s="2" t="s">
        <v>1794</v>
      </c>
      <c r="AY125" s="2" t="s">
        <v>1795</v>
      </c>
      <c r="AZ125" s="2" t="s">
        <v>1795</v>
      </c>
      <c r="BA125" s="2" t="s">
        <v>1796</v>
      </c>
      <c r="BB125" s="2" t="s">
        <v>79</v>
      </c>
      <c r="BD125" s="2" t="s">
        <v>1797</v>
      </c>
      <c r="BE125" s="2" t="s">
        <v>1798</v>
      </c>
      <c r="BF125" s="2" t="s">
        <v>1799</v>
      </c>
    </row>
    <row r="126" spans="1:58" ht="39.75" customHeight="1">
      <c r="A126" s="1"/>
      <c r="B126" s="1" t="s">
        <v>58</v>
      </c>
      <c r="C126" s="1" t="s">
        <v>59</v>
      </c>
      <c r="D126" s="1" t="s">
        <v>1800</v>
      </c>
      <c r="E126" s="1" t="s">
        <v>1801</v>
      </c>
      <c r="F126" s="1" t="s">
        <v>1802</v>
      </c>
      <c r="H126" s="2" t="s">
        <v>63</v>
      </c>
      <c r="I126" s="2" t="s">
        <v>64</v>
      </c>
      <c r="J126" s="2" t="s">
        <v>63</v>
      </c>
      <c r="K126" s="2" t="s">
        <v>63</v>
      </c>
      <c r="L126" s="2" t="s">
        <v>65</v>
      </c>
      <c r="M126" s="1" t="s">
        <v>1803</v>
      </c>
      <c r="N126" s="1" t="s">
        <v>1804</v>
      </c>
      <c r="O126" s="2" t="s">
        <v>121</v>
      </c>
      <c r="Q126" s="2" t="s">
        <v>68</v>
      </c>
      <c r="R126" s="2" t="s">
        <v>385</v>
      </c>
      <c r="T126" s="2" t="s">
        <v>71</v>
      </c>
      <c r="U126" s="3">
        <v>5</v>
      </c>
      <c r="V126" s="3">
        <v>5</v>
      </c>
      <c r="W126" s="4" t="s">
        <v>1805</v>
      </c>
      <c r="X126" s="4" t="s">
        <v>1805</v>
      </c>
      <c r="Y126" s="4" t="s">
        <v>1766</v>
      </c>
      <c r="Z126" s="4" t="s">
        <v>1766</v>
      </c>
      <c r="AA126" s="3">
        <v>345</v>
      </c>
      <c r="AB126" s="3">
        <v>298</v>
      </c>
      <c r="AC126" s="3">
        <v>299</v>
      </c>
      <c r="AD126" s="3">
        <v>2</v>
      </c>
      <c r="AE126" s="3">
        <v>2</v>
      </c>
      <c r="AF126" s="3">
        <v>11</v>
      </c>
      <c r="AG126" s="3">
        <v>11</v>
      </c>
      <c r="AH126" s="3">
        <v>4</v>
      </c>
      <c r="AI126" s="3">
        <v>4</v>
      </c>
      <c r="AJ126" s="3">
        <v>3</v>
      </c>
      <c r="AK126" s="3">
        <v>3</v>
      </c>
      <c r="AL126" s="3">
        <v>7</v>
      </c>
      <c r="AM126" s="3">
        <v>7</v>
      </c>
      <c r="AN126" s="3">
        <v>1</v>
      </c>
      <c r="AO126" s="3">
        <v>1</v>
      </c>
      <c r="AP126" s="3">
        <v>0</v>
      </c>
      <c r="AQ126" s="3">
        <v>0</v>
      </c>
      <c r="AR126" s="2" t="s">
        <v>63</v>
      </c>
      <c r="AS126" s="2" t="s">
        <v>74</v>
      </c>
      <c r="AT126" s="5" t="str">
        <f>HYPERLINK("http://catalog.hathitrust.org/Record/007469791","HathiTrust Record")</f>
        <v>HathiTrust Record</v>
      </c>
      <c r="AU126" s="5" t="str">
        <f>HYPERLINK("https://creighton-primo.hosted.exlibrisgroup.com/primo-explore/search?tab=default_tab&amp;search_scope=EVERYTHING&amp;vid=01CRU&amp;lang=en_US&amp;offset=0&amp;query=any,contains,991005264239702656","Catalog Record")</f>
        <v>Catalog Record</v>
      </c>
      <c r="AV126" s="5" t="str">
        <f>HYPERLINK("http://www.worldcat.org/oclc/3650673","WorldCat Record")</f>
        <v>WorldCat Record</v>
      </c>
      <c r="AW126" s="2" t="s">
        <v>1806</v>
      </c>
      <c r="AX126" s="2" t="s">
        <v>1807</v>
      </c>
      <c r="AY126" s="2" t="s">
        <v>1808</v>
      </c>
      <c r="AZ126" s="2" t="s">
        <v>1808</v>
      </c>
      <c r="BA126" s="2" t="s">
        <v>1809</v>
      </c>
      <c r="BB126" s="2" t="s">
        <v>79</v>
      </c>
      <c r="BD126" s="2" t="s">
        <v>1810</v>
      </c>
      <c r="BE126" s="2" t="s">
        <v>1811</v>
      </c>
      <c r="BF126" s="2" t="s">
        <v>1812</v>
      </c>
    </row>
    <row r="127" spans="1:58" ht="39.75" customHeight="1">
      <c r="A127" s="1"/>
      <c r="B127" s="1" t="s">
        <v>58</v>
      </c>
      <c r="C127" s="1" t="s">
        <v>59</v>
      </c>
      <c r="D127" s="1" t="s">
        <v>1813</v>
      </c>
      <c r="E127" s="1" t="s">
        <v>1814</v>
      </c>
      <c r="F127" s="1" t="s">
        <v>1815</v>
      </c>
      <c r="H127" s="2" t="s">
        <v>63</v>
      </c>
      <c r="I127" s="2" t="s">
        <v>64</v>
      </c>
      <c r="J127" s="2" t="s">
        <v>63</v>
      </c>
      <c r="K127" s="2" t="s">
        <v>63</v>
      </c>
      <c r="L127" s="2" t="s">
        <v>65</v>
      </c>
      <c r="M127" s="1" t="s">
        <v>1816</v>
      </c>
      <c r="N127" s="1" t="s">
        <v>1817</v>
      </c>
      <c r="O127" s="2" t="s">
        <v>767</v>
      </c>
      <c r="Q127" s="2" t="s">
        <v>68</v>
      </c>
      <c r="R127" s="2" t="s">
        <v>1190</v>
      </c>
      <c r="S127" s="1" t="s">
        <v>1818</v>
      </c>
      <c r="T127" s="2" t="s">
        <v>71</v>
      </c>
      <c r="U127" s="3">
        <v>12</v>
      </c>
      <c r="V127" s="3">
        <v>12</v>
      </c>
      <c r="W127" s="4" t="s">
        <v>1819</v>
      </c>
      <c r="X127" s="4" t="s">
        <v>1819</v>
      </c>
      <c r="Y127" s="4" t="s">
        <v>714</v>
      </c>
      <c r="Z127" s="4" t="s">
        <v>714</v>
      </c>
      <c r="AA127" s="3">
        <v>336</v>
      </c>
      <c r="AB127" s="3">
        <v>309</v>
      </c>
      <c r="AC127" s="3">
        <v>315</v>
      </c>
      <c r="AD127" s="3">
        <v>4</v>
      </c>
      <c r="AE127" s="3">
        <v>4</v>
      </c>
      <c r="AF127" s="3">
        <v>16</v>
      </c>
      <c r="AG127" s="3">
        <v>16</v>
      </c>
      <c r="AH127" s="3">
        <v>4</v>
      </c>
      <c r="AI127" s="3">
        <v>4</v>
      </c>
      <c r="AJ127" s="3">
        <v>3</v>
      </c>
      <c r="AK127" s="3">
        <v>3</v>
      </c>
      <c r="AL127" s="3">
        <v>9</v>
      </c>
      <c r="AM127" s="3">
        <v>9</v>
      </c>
      <c r="AN127" s="3">
        <v>3</v>
      </c>
      <c r="AO127" s="3">
        <v>3</v>
      </c>
      <c r="AP127" s="3">
        <v>1</v>
      </c>
      <c r="AQ127" s="3">
        <v>1</v>
      </c>
      <c r="AR127" s="2" t="s">
        <v>63</v>
      </c>
      <c r="AS127" s="2" t="s">
        <v>74</v>
      </c>
      <c r="AT127" s="5" t="str">
        <f>HYPERLINK("http://catalog.hathitrust.org/Record/000109173","HathiTrust Record")</f>
        <v>HathiTrust Record</v>
      </c>
      <c r="AU127" s="5" t="str">
        <f>HYPERLINK("https://creighton-primo.hosted.exlibrisgroup.com/primo-explore/search?tab=default_tab&amp;search_scope=EVERYTHING&amp;vid=01CRU&amp;lang=en_US&amp;offset=0&amp;query=any,contains,991005252549702656","Catalog Record")</f>
        <v>Catalog Record</v>
      </c>
      <c r="AV127" s="5" t="str">
        <f>HYPERLINK("http://www.worldcat.org/oclc/8495157","WorldCat Record")</f>
        <v>WorldCat Record</v>
      </c>
      <c r="AW127" s="2" t="s">
        <v>1820</v>
      </c>
      <c r="AX127" s="2" t="s">
        <v>1821</v>
      </c>
      <c r="AY127" s="2" t="s">
        <v>1822</v>
      </c>
      <c r="AZ127" s="2" t="s">
        <v>1822</v>
      </c>
      <c r="BA127" s="2" t="s">
        <v>1823</v>
      </c>
      <c r="BB127" s="2" t="s">
        <v>79</v>
      </c>
      <c r="BD127" s="2" t="s">
        <v>1824</v>
      </c>
      <c r="BE127" s="2" t="s">
        <v>1825</v>
      </c>
      <c r="BF127" s="2" t="s">
        <v>1826</v>
      </c>
    </row>
    <row r="128" spans="1:58" ht="39.75" customHeight="1">
      <c r="A128" s="1"/>
      <c r="B128" s="1" t="s">
        <v>58</v>
      </c>
      <c r="C128" s="1" t="s">
        <v>59</v>
      </c>
      <c r="D128" s="1" t="s">
        <v>1827</v>
      </c>
      <c r="E128" s="1" t="s">
        <v>1828</v>
      </c>
      <c r="F128" s="1" t="s">
        <v>1829</v>
      </c>
      <c r="H128" s="2" t="s">
        <v>63</v>
      </c>
      <c r="I128" s="2" t="s">
        <v>64</v>
      </c>
      <c r="J128" s="2" t="s">
        <v>63</v>
      </c>
      <c r="K128" s="2" t="s">
        <v>63</v>
      </c>
      <c r="L128" s="2" t="s">
        <v>65</v>
      </c>
      <c r="M128" s="1" t="s">
        <v>1830</v>
      </c>
      <c r="N128" s="1" t="s">
        <v>1831</v>
      </c>
      <c r="O128" s="2" t="s">
        <v>121</v>
      </c>
      <c r="Q128" s="2" t="s">
        <v>68</v>
      </c>
      <c r="R128" s="2" t="s">
        <v>181</v>
      </c>
      <c r="S128" s="1" t="s">
        <v>1832</v>
      </c>
      <c r="T128" s="2" t="s">
        <v>71</v>
      </c>
      <c r="U128" s="3">
        <v>15</v>
      </c>
      <c r="V128" s="3">
        <v>15</v>
      </c>
      <c r="W128" s="4" t="s">
        <v>1833</v>
      </c>
      <c r="X128" s="4" t="s">
        <v>1833</v>
      </c>
      <c r="Y128" s="4" t="s">
        <v>1834</v>
      </c>
      <c r="Z128" s="4" t="s">
        <v>1834</v>
      </c>
      <c r="AA128" s="3">
        <v>817</v>
      </c>
      <c r="AB128" s="3">
        <v>696</v>
      </c>
      <c r="AC128" s="3">
        <v>699</v>
      </c>
      <c r="AD128" s="3">
        <v>6</v>
      </c>
      <c r="AE128" s="3">
        <v>6</v>
      </c>
      <c r="AF128" s="3">
        <v>28</v>
      </c>
      <c r="AG128" s="3">
        <v>28</v>
      </c>
      <c r="AH128" s="3">
        <v>7</v>
      </c>
      <c r="AI128" s="3">
        <v>7</v>
      </c>
      <c r="AJ128" s="3">
        <v>5</v>
      </c>
      <c r="AK128" s="3">
        <v>5</v>
      </c>
      <c r="AL128" s="3">
        <v>13</v>
      </c>
      <c r="AM128" s="3">
        <v>13</v>
      </c>
      <c r="AN128" s="3">
        <v>5</v>
      </c>
      <c r="AO128" s="3">
        <v>5</v>
      </c>
      <c r="AP128" s="3">
        <v>5</v>
      </c>
      <c r="AQ128" s="3">
        <v>5</v>
      </c>
      <c r="AR128" s="2" t="s">
        <v>63</v>
      </c>
      <c r="AS128" s="2" t="s">
        <v>74</v>
      </c>
      <c r="AT128" s="5" t="str">
        <f>HYPERLINK("http://catalog.hathitrust.org/Record/000176855","HathiTrust Record")</f>
        <v>HathiTrust Record</v>
      </c>
      <c r="AU128" s="5" t="str">
        <f>HYPERLINK("https://creighton-primo.hosted.exlibrisgroup.com/primo-explore/search?tab=default_tab&amp;search_scope=EVERYTHING&amp;vid=01CRU&amp;lang=en_US&amp;offset=0&amp;query=any,contains,991004568159702656","Catalog Record")</f>
        <v>Catalog Record</v>
      </c>
      <c r="AV128" s="5" t="str">
        <f>HYPERLINK("http://www.worldcat.org/oclc/4005130","WorldCat Record")</f>
        <v>WorldCat Record</v>
      </c>
      <c r="AW128" s="2" t="s">
        <v>1835</v>
      </c>
      <c r="AX128" s="2" t="s">
        <v>1836</v>
      </c>
      <c r="AY128" s="2" t="s">
        <v>1837</v>
      </c>
      <c r="AZ128" s="2" t="s">
        <v>1837</v>
      </c>
      <c r="BA128" s="2" t="s">
        <v>1838</v>
      </c>
      <c r="BB128" s="2" t="s">
        <v>79</v>
      </c>
      <c r="BD128" s="2" t="s">
        <v>1839</v>
      </c>
      <c r="BE128" s="2" t="s">
        <v>1840</v>
      </c>
      <c r="BF128" s="2" t="s">
        <v>1841</v>
      </c>
    </row>
    <row r="129" spans="1:58" ht="39.75" customHeight="1">
      <c r="A129" s="1"/>
      <c r="B129" s="1" t="s">
        <v>58</v>
      </c>
      <c r="C129" s="1" t="s">
        <v>59</v>
      </c>
      <c r="D129" s="1" t="s">
        <v>1842</v>
      </c>
      <c r="E129" s="1" t="s">
        <v>1843</v>
      </c>
      <c r="F129" s="1" t="s">
        <v>1844</v>
      </c>
      <c r="H129" s="2" t="s">
        <v>63</v>
      </c>
      <c r="I129" s="2" t="s">
        <v>64</v>
      </c>
      <c r="J129" s="2" t="s">
        <v>63</v>
      </c>
      <c r="K129" s="2" t="s">
        <v>63</v>
      </c>
      <c r="L129" s="2" t="s">
        <v>65</v>
      </c>
      <c r="M129" s="1" t="s">
        <v>1845</v>
      </c>
      <c r="N129" s="1" t="s">
        <v>1846</v>
      </c>
      <c r="O129" s="2" t="s">
        <v>121</v>
      </c>
      <c r="Q129" s="2" t="s">
        <v>68</v>
      </c>
      <c r="R129" s="2" t="s">
        <v>167</v>
      </c>
      <c r="T129" s="2" t="s">
        <v>71</v>
      </c>
      <c r="U129" s="3">
        <v>9</v>
      </c>
      <c r="V129" s="3">
        <v>9</v>
      </c>
      <c r="W129" s="4" t="s">
        <v>1819</v>
      </c>
      <c r="X129" s="4" t="s">
        <v>1819</v>
      </c>
      <c r="Y129" s="4" t="s">
        <v>1847</v>
      </c>
      <c r="Z129" s="4" t="s">
        <v>1847</v>
      </c>
      <c r="AA129" s="3">
        <v>557</v>
      </c>
      <c r="AB129" s="3">
        <v>473</v>
      </c>
      <c r="AC129" s="3">
        <v>480</v>
      </c>
      <c r="AD129" s="3">
        <v>3</v>
      </c>
      <c r="AE129" s="3">
        <v>3</v>
      </c>
      <c r="AF129" s="3">
        <v>18</v>
      </c>
      <c r="AG129" s="3">
        <v>18</v>
      </c>
      <c r="AH129" s="3">
        <v>7</v>
      </c>
      <c r="AI129" s="3">
        <v>7</v>
      </c>
      <c r="AJ129" s="3">
        <v>5</v>
      </c>
      <c r="AK129" s="3">
        <v>5</v>
      </c>
      <c r="AL129" s="3">
        <v>10</v>
      </c>
      <c r="AM129" s="3">
        <v>10</v>
      </c>
      <c r="AN129" s="3">
        <v>2</v>
      </c>
      <c r="AO129" s="3">
        <v>2</v>
      </c>
      <c r="AP129" s="3">
        <v>0</v>
      </c>
      <c r="AQ129" s="3">
        <v>0</v>
      </c>
      <c r="AR129" s="2" t="s">
        <v>63</v>
      </c>
      <c r="AS129" s="2" t="s">
        <v>74</v>
      </c>
      <c r="AT129" s="5" t="str">
        <f>HYPERLINK("http://catalog.hathitrust.org/Record/000091667","HathiTrust Record")</f>
        <v>HathiTrust Record</v>
      </c>
      <c r="AU129" s="5" t="str">
        <f>HYPERLINK("https://creighton-primo.hosted.exlibrisgroup.com/primo-explore/search?tab=default_tab&amp;search_scope=EVERYTHING&amp;vid=01CRU&amp;lang=en_US&amp;offset=0&amp;query=any,contains,991004477029702656","Catalog Record")</f>
        <v>Catalog Record</v>
      </c>
      <c r="AV129" s="5" t="str">
        <f>HYPERLINK("http://www.worldcat.org/oclc/3609680","WorldCat Record")</f>
        <v>WorldCat Record</v>
      </c>
      <c r="AW129" s="2" t="s">
        <v>1848</v>
      </c>
      <c r="AX129" s="2" t="s">
        <v>1849</v>
      </c>
      <c r="AY129" s="2" t="s">
        <v>1850</v>
      </c>
      <c r="AZ129" s="2" t="s">
        <v>1850</v>
      </c>
      <c r="BA129" s="2" t="s">
        <v>1851</v>
      </c>
      <c r="BB129" s="2" t="s">
        <v>79</v>
      </c>
      <c r="BD129" s="2" t="s">
        <v>1852</v>
      </c>
      <c r="BE129" s="2" t="s">
        <v>1853</v>
      </c>
      <c r="BF129" s="2" t="s">
        <v>1854</v>
      </c>
    </row>
    <row r="130" spans="1:58" ht="39.75" customHeight="1">
      <c r="A130" s="1"/>
      <c r="B130" s="1" t="s">
        <v>58</v>
      </c>
      <c r="C130" s="1" t="s">
        <v>59</v>
      </c>
      <c r="D130" s="1" t="s">
        <v>1855</v>
      </c>
      <c r="E130" s="1" t="s">
        <v>1856</v>
      </c>
      <c r="F130" s="1" t="s">
        <v>1857</v>
      </c>
      <c r="H130" s="2" t="s">
        <v>63</v>
      </c>
      <c r="I130" s="2" t="s">
        <v>64</v>
      </c>
      <c r="J130" s="2" t="s">
        <v>63</v>
      </c>
      <c r="K130" s="2" t="s">
        <v>63</v>
      </c>
      <c r="L130" s="2" t="s">
        <v>65</v>
      </c>
      <c r="M130" s="1" t="s">
        <v>1858</v>
      </c>
      <c r="N130" s="1" t="s">
        <v>1859</v>
      </c>
      <c r="O130" s="2" t="s">
        <v>1860</v>
      </c>
      <c r="Q130" s="2" t="s">
        <v>68</v>
      </c>
      <c r="R130" s="2" t="s">
        <v>106</v>
      </c>
      <c r="S130" s="1" t="s">
        <v>1861</v>
      </c>
      <c r="T130" s="2" t="s">
        <v>71</v>
      </c>
      <c r="U130" s="3">
        <v>2</v>
      </c>
      <c r="V130" s="3">
        <v>2</v>
      </c>
      <c r="W130" s="4" t="s">
        <v>1862</v>
      </c>
      <c r="X130" s="4" t="s">
        <v>1862</v>
      </c>
      <c r="Y130" s="4" t="s">
        <v>1862</v>
      </c>
      <c r="Z130" s="4" t="s">
        <v>1862</v>
      </c>
      <c r="AA130" s="3">
        <v>340</v>
      </c>
      <c r="AB130" s="3">
        <v>313</v>
      </c>
      <c r="AC130" s="3">
        <v>318</v>
      </c>
      <c r="AD130" s="3">
        <v>3</v>
      </c>
      <c r="AE130" s="3">
        <v>3</v>
      </c>
      <c r="AF130" s="3">
        <v>11</v>
      </c>
      <c r="AG130" s="3">
        <v>11</v>
      </c>
      <c r="AH130" s="3">
        <v>2</v>
      </c>
      <c r="AI130" s="3">
        <v>2</v>
      </c>
      <c r="AJ130" s="3">
        <v>3</v>
      </c>
      <c r="AK130" s="3">
        <v>3</v>
      </c>
      <c r="AL130" s="3">
        <v>7</v>
      </c>
      <c r="AM130" s="3">
        <v>7</v>
      </c>
      <c r="AN130" s="3">
        <v>2</v>
      </c>
      <c r="AO130" s="3">
        <v>2</v>
      </c>
      <c r="AP130" s="3">
        <v>0</v>
      </c>
      <c r="AQ130" s="3">
        <v>0</v>
      </c>
      <c r="AR130" s="2" t="s">
        <v>63</v>
      </c>
      <c r="AS130" s="2" t="s">
        <v>63</v>
      </c>
      <c r="AU130" s="5" t="str">
        <f>HYPERLINK("https://creighton-primo.hosted.exlibrisgroup.com/primo-explore/search?tab=default_tab&amp;search_scope=EVERYTHING&amp;vid=01CRU&amp;lang=en_US&amp;offset=0&amp;query=any,contains,991004405229702656","Catalog Record")</f>
        <v>Catalog Record</v>
      </c>
      <c r="AV130" s="5" t="str">
        <f>HYPERLINK("http://www.worldcat.org/oclc/56509149","WorldCat Record")</f>
        <v>WorldCat Record</v>
      </c>
      <c r="AW130" s="2" t="s">
        <v>1863</v>
      </c>
      <c r="AX130" s="2" t="s">
        <v>1864</v>
      </c>
      <c r="AY130" s="2" t="s">
        <v>1865</v>
      </c>
      <c r="AZ130" s="2" t="s">
        <v>1865</v>
      </c>
      <c r="BA130" s="2" t="s">
        <v>1866</v>
      </c>
      <c r="BB130" s="2" t="s">
        <v>79</v>
      </c>
      <c r="BD130" s="2" t="s">
        <v>1867</v>
      </c>
      <c r="BE130" s="2" t="s">
        <v>1868</v>
      </c>
      <c r="BF130" s="2" t="s">
        <v>1869</v>
      </c>
    </row>
    <row r="131" spans="1:58" ht="39.75" customHeight="1">
      <c r="A131" s="1"/>
      <c r="B131" s="1" t="s">
        <v>58</v>
      </c>
      <c r="C131" s="1" t="s">
        <v>59</v>
      </c>
      <c r="D131" s="1" t="s">
        <v>1870</v>
      </c>
      <c r="E131" s="1" t="s">
        <v>1871</v>
      </c>
      <c r="F131" s="1" t="s">
        <v>1872</v>
      </c>
      <c r="H131" s="2" t="s">
        <v>63</v>
      </c>
      <c r="I131" s="2" t="s">
        <v>64</v>
      </c>
      <c r="J131" s="2" t="s">
        <v>63</v>
      </c>
      <c r="K131" s="2" t="s">
        <v>63</v>
      </c>
      <c r="L131" s="2" t="s">
        <v>65</v>
      </c>
      <c r="M131" s="1" t="s">
        <v>1873</v>
      </c>
      <c r="N131" s="1" t="s">
        <v>1874</v>
      </c>
      <c r="O131" s="2" t="s">
        <v>655</v>
      </c>
      <c r="Q131" s="2" t="s">
        <v>68</v>
      </c>
      <c r="R131" s="2" t="s">
        <v>628</v>
      </c>
      <c r="T131" s="2" t="s">
        <v>71</v>
      </c>
      <c r="U131" s="3">
        <v>3</v>
      </c>
      <c r="V131" s="3">
        <v>3</v>
      </c>
      <c r="W131" s="4" t="s">
        <v>1875</v>
      </c>
      <c r="X131" s="4" t="s">
        <v>1875</v>
      </c>
      <c r="Y131" s="4" t="s">
        <v>1876</v>
      </c>
      <c r="Z131" s="4" t="s">
        <v>1876</v>
      </c>
      <c r="AA131" s="3">
        <v>326</v>
      </c>
      <c r="AB131" s="3">
        <v>286</v>
      </c>
      <c r="AC131" s="3">
        <v>290</v>
      </c>
      <c r="AD131" s="3">
        <v>3</v>
      </c>
      <c r="AE131" s="3">
        <v>3</v>
      </c>
      <c r="AF131" s="3">
        <v>11</v>
      </c>
      <c r="AG131" s="3">
        <v>11</v>
      </c>
      <c r="AH131" s="3">
        <v>3</v>
      </c>
      <c r="AI131" s="3">
        <v>3</v>
      </c>
      <c r="AJ131" s="3">
        <v>2</v>
      </c>
      <c r="AK131" s="3">
        <v>2</v>
      </c>
      <c r="AL131" s="3">
        <v>5</v>
      </c>
      <c r="AM131" s="3">
        <v>5</v>
      </c>
      <c r="AN131" s="3">
        <v>2</v>
      </c>
      <c r="AO131" s="3">
        <v>2</v>
      </c>
      <c r="AP131" s="3">
        <v>0</v>
      </c>
      <c r="AQ131" s="3">
        <v>0</v>
      </c>
      <c r="AR131" s="2" t="s">
        <v>63</v>
      </c>
      <c r="AS131" s="2" t="s">
        <v>74</v>
      </c>
      <c r="AT131" s="5" t="str">
        <f>HYPERLINK("http://catalog.hathitrust.org/Record/004017265","HathiTrust Record")</f>
        <v>HathiTrust Record</v>
      </c>
      <c r="AU131" s="5" t="str">
        <f>HYPERLINK("https://creighton-primo.hosted.exlibrisgroup.com/primo-explore/search?tab=default_tab&amp;search_scope=EVERYTHING&amp;vid=01CRU&amp;lang=en_US&amp;offset=0&amp;query=any,contains,991003727209702656","Catalog Record")</f>
        <v>Catalog Record</v>
      </c>
      <c r="AV131" s="5" t="str">
        <f>HYPERLINK("http://www.worldcat.org/oclc/39860095","WorldCat Record")</f>
        <v>WorldCat Record</v>
      </c>
      <c r="AW131" s="2" t="s">
        <v>1877</v>
      </c>
      <c r="AX131" s="2" t="s">
        <v>1878</v>
      </c>
      <c r="AY131" s="2" t="s">
        <v>1879</v>
      </c>
      <c r="AZ131" s="2" t="s">
        <v>1879</v>
      </c>
      <c r="BA131" s="2" t="s">
        <v>1880</v>
      </c>
      <c r="BB131" s="2" t="s">
        <v>79</v>
      </c>
      <c r="BD131" s="2" t="s">
        <v>1881</v>
      </c>
      <c r="BE131" s="2" t="s">
        <v>1882</v>
      </c>
      <c r="BF131" s="2" t="s">
        <v>1883</v>
      </c>
    </row>
    <row r="132" spans="1:58" ht="39.75" customHeight="1">
      <c r="A132" s="1"/>
      <c r="B132" s="1" t="s">
        <v>58</v>
      </c>
      <c r="C132" s="1" t="s">
        <v>59</v>
      </c>
      <c r="D132" s="1" t="s">
        <v>1884</v>
      </c>
      <c r="E132" s="1" t="s">
        <v>1885</v>
      </c>
      <c r="F132" s="1" t="s">
        <v>1886</v>
      </c>
      <c r="H132" s="2" t="s">
        <v>63</v>
      </c>
      <c r="I132" s="2" t="s">
        <v>64</v>
      </c>
      <c r="J132" s="2" t="s">
        <v>63</v>
      </c>
      <c r="K132" s="2" t="s">
        <v>63</v>
      </c>
      <c r="L132" s="2" t="s">
        <v>65</v>
      </c>
      <c r="M132" s="1" t="s">
        <v>1887</v>
      </c>
      <c r="N132" s="1" t="s">
        <v>1888</v>
      </c>
      <c r="O132" s="2" t="s">
        <v>359</v>
      </c>
      <c r="Q132" s="2" t="s">
        <v>68</v>
      </c>
      <c r="R132" s="2" t="s">
        <v>106</v>
      </c>
      <c r="T132" s="2" t="s">
        <v>71</v>
      </c>
      <c r="U132" s="3">
        <v>7</v>
      </c>
      <c r="V132" s="3">
        <v>7</v>
      </c>
      <c r="W132" s="4" t="s">
        <v>1819</v>
      </c>
      <c r="X132" s="4" t="s">
        <v>1819</v>
      </c>
      <c r="Y132" s="4" t="s">
        <v>333</v>
      </c>
      <c r="Z132" s="4" t="s">
        <v>333</v>
      </c>
      <c r="AA132" s="3">
        <v>519</v>
      </c>
      <c r="AB132" s="3">
        <v>402</v>
      </c>
      <c r="AC132" s="3">
        <v>593</v>
      </c>
      <c r="AD132" s="3">
        <v>3</v>
      </c>
      <c r="AE132" s="3">
        <v>3</v>
      </c>
      <c r="AF132" s="3">
        <v>10</v>
      </c>
      <c r="AG132" s="3">
        <v>22</v>
      </c>
      <c r="AH132" s="3">
        <v>2</v>
      </c>
      <c r="AI132" s="3">
        <v>9</v>
      </c>
      <c r="AJ132" s="3">
        <v>3</v>
      </c>
      <c r="AK132" s="3">
        <v>7</v>
      </c>
      <c r="AL132" s="3">
        <v>5</v>
      </c>
      <c r="AM132" s="3">
        <v>11</v>
      </c>
      <c r="AN132" s="3">
        <v>2</v>
      </c>
      <c r="AO132" s="3">
        <v>2</v>
      </c>
      <c r="AP132" s="3">
        <v>0</v>
      </c>
      <c r="AQ132" s="3">
        <v>0</v>
      </c>
      <c r="AR132" s="2" t="s">
        <v>63</v>
      </c>
      <c r="AS132" s="2" t="s">
        <v>74</v>
      </c>
      <c r="AT132" s="5" t="str">
        <f>HYPERLINK("http://catalog.hathitrust.org/Record/001558821","HathiTrust Record")</f>
        <v>HathiTrust Record</v>
      </c>
      <c r="AU132" s="5" t="str">
        <f>HYPERLINK("https://creighton-primo.hosted.exlibrisgroup.com/primo-explore/search?tab=default_tab&amp;search_scope=EVERYTHING&amp;vid=01CRU&amp;lang=en_US&amp;offset=0&amp;query=any,contains,991000114349702656","Catalog Record")</f>
        <v>Catalog Record</v>
      </c>
      <c r="AV132" s="5" t="str">
        <f>HYPERLINK("http://www.worldcat.org/oclc/48680","WorldCat Record")</f>
        <v>WorldCat Record</v>
      </c>
      <c r="AW132" s="2" t="s">
        <v>1889</v>
      </c>
      <c r="AX132" s="2" t="s">
        <v>1890</v>
      </c>
      <c r="AY132" s="2" t="s">
        <v>1891</v>
      </c>
      <c r="AZ132" s="2" t="s">
        <v>1891</v>
      </c>
      <c r="BA132" s="2" t="s">
        <v>1892</v>
      </c>
      <c r="BB132" s="2" t="s">
        <v>79</v>
      </c>
      <c r="BD132" s="2" t="s">
        <v>1893</v>
      </c>
      <c r="BE132" s="2" t="s">
        <v>1894</v>
      </c>
      <c r="BF132" s="2" t="s">
        <v>1895</v>
      </c>
    </row>
    <row r="133" spans="1:58" ht="39.75" customHeight="1">
      <c r="A133" s="1"/>
      <c r="B133" s="1" t="s">
        <v>58</v>
      </c>
      <c r="C133" s="1" t="s">
        <v>59</v>
      </c>
      <c r="D133" s="1" t="s">
        <v>1896</v>
      </c>
      <c r="E133" s="1" t="s">
        <v>1897</v>
      </c>
      <c r="F133" s="1" t="s">
        <v>1898</v>
      </c>
      <c r="H133" s="2" t="s">
        <v>63</v>
      </c>
      <c r="I133" s="2" t="s">
        <v>64</v>
      </c>
      <c r="J133" s="2" t="s">
        <v>63</v>
      </c>
      <c r="K133" s="2" t="s">
        <v>63</v>
      </c>
      <c r="L133" s="2" t="s">
        <v>65</v>
      </c>
      <c r="M133" s="1" t="s">
        <v>1899</v>
      </c>
      <c r="N133" s="1" t="s">
        <v>1900</v>
      </c>
      <c r="O133" s="2" t="s">
        <v>740</v>
      </c>
      <c r="Q133" s="2" t="s">
        <v>68</v>
      </c>
      <c r="R133" s="2" t="s">
        <v>106</v>
      </c>
      <c r="T133" s="2" t="s">
        <v>71</v>
      </c>
      <c r="U133" s="3">
        <v>7</v>
      </c>
      <c r="V133" s="3">
        <v>7</v>
      </c>
      <c r="W133" s="4" t="s">
        <v>1901</v>
      </c>
      <c r="X133" s="4" t="s">
        <v>1901</v>
      </c>
      <c r="Y133" s="4" t="s">
        <v>1206</v>
      </c>
      <c r="Z133" s="4" t="s">
        <v>1206</v>
      </c>
      <c r="AA133" s="3">
        <v>663</v>
      </c>
      <c r="AB133" s="3">
        <v>578</v>
      </c>
      <c r="AC133" s="3">
        <v>584</v>
      </c>
      <c r="AD133" s="3">
        <v>3</v>
      </c>
      <c r="AE133" s="3">
        <v>3</v>
      </c>
      <c r="AF133" s="3">
        <v>15</v>
      </c>
      <c r="AG133" s="3">
        <v>15</v>
      </c>
      <c r="AH133" s="3">
        <v>2</v>
      </c>
      <c r="AI133" s="3">
        <v>2</v>
      </c>
      <c r="AJ133" s="3">
        <v>2</v>
      </c>
      <c r="AK133" s="3">
        <v>2</v>
      </c>
      <c r="AL133" s="3">
        <v>10</v>
      </c>
      <c r="AM133" s="3">
        <v>10</v>
      </c>
      <c r="AN133" s="3">
        <v>2</v>
      </c>
      <c r="AO133" s="3">
        <v>2</v>
      </c>
      <c r="AP133" s="3">
        <v>1</v>
      </c>
      <c r="AQ133" s="3">
        <v>1</v>
      </c>
      <c r="AR133" s="2" t="s">
        <v>63</v>
      </c>
      <c r="AS133" s="2" t="s">
        <v>74</v>
      </c>
      <c r="AT133" s="5" t="str">
        <f>HYPERLINK("http://catalog.hathitrust.org/Record/000882924","HathiTrust Record")</f>
        <v>HathiTrust Record</v>
      </c>
      <c r="AU133" s="5" t="str">
        <f>HYPERLINK("https://creighton-primo.hosted.exlibrisgroup.com/primo-explore/search?tab=default_tab&amp;search_scope=EVERYTHING&amp;vid=01CRU&amp;lang=en_US&amp;offset=0&amp;query=any,contains,991001137019702656","Catalog Record")</f>
        <v>Catalog Record</v>
      </c>
      <c r="AV133" s="5" t="str">
        <f>HYPERLINK("http://www.worldcat.org/oclc/16717092","WorldCat Record")</f>
        <v>WorldCat Record</v>
      </c>
      <c r="AW133" s="2" t="s">
        <v>1902</v>
      </c>
      <c r="AX133" s="2" t="s">
        <v>1903</v>
      </c>
      <c r="AY133" s="2" t="s">
        <v>1904</v>
      </c>
      <c r="AZ133" s="2" t="s">
        <v>1904</v>
      </c>
      <c r="BA133" s="2" t="s">
        <v>1905</v>
      </c>
      <c r="BB133" s="2" t="s">
        <v>79</v>
      </c>
      <c r="BD133" s="2" t="s">
        <v>1906</v>
      </c>
      <c r="BE133" s="2" t="s">
        <v>1907</v>
      </c>
      <c r="BF133" s="2" t="s">
        <v>1908</v>
      </c>
    </row>
    <row r="134" spans="1:58" ht="39.75" customHeight="1">
      <c r="A134" s="1"/>
      <c r="B134" s="1" t="s">
        <v>58</v>
      </c>
      <c r="C134" s="1" t="s">
        <v>59</v>
      </c>
      <c r="D134" s="1" t="s">
        <v>1909</v>
      </c>
      <c r="E134" s="1" t="s">
        <v>1910</v>
      </c>
      <c r="F134" s="1" t="s">
        <v>1911</v>
      </c>
      <c r="H134" s="2" t="s">
        <v>63</v>
      </c>
      <c r="I134" s="2" t="s">
        <v>64</v>
      </c>
      <c r="J134" s="2" t="s">
        <v>63</v>
      </c>
      <c r="K134" s="2" t="s">
        <v>63</v>
      </c>
      <c r="L134" s="2" t="s">
        <v>65</v>
      </c>
      <c r="N134" s="1" t="s">
        <v>1912</v>
      </c>
      <c r="O134" s="2" t="s">
        <v>670</v>
      </c>
      <c r="Q134" s="2" t="s">
        <v>68</v>
      </c>
      <c r="R134" s="2" t="s">
        <v>500</v>
      </c>
      <c r="S134" s="1" t="s">
        <v>1913</v>
      </c>
      <c r="T134" s="2" t="s">
        <v>71</v>
      </c>
      <c r="U134" s="3">
        <v>2</v>
      </c>
      <c r="V134" s="3">
        <v>2</v>
      </c>
      <c r="W134" s="4" t="s">
        <v>1914</v>
      </c>
      <c r="X134" s="4" t="s">
        <v>1914</v>
      </c>
      <c r="Y134" s="4" t="s">
        <v>1915</v>
      </c>
      <c r="Z134" s="4" t="s">
        <v>1915</v>
      </c>
      <c r="AA134" s="3">
        <v>187</v>
      </c>
      <c r="AB134" s="3">
        <v>153</v>
      </c>
      <c r="AC134" s="3">
        <v>153</v>
      </c>
      <c r="AD134" s="3">
        <v>2</v>
      </c>
      <c r="AE134" s="3">
        <v>2</v>
      </c>
      <c r="AF134" s="3">
        <v>9</v>
      </c>
      <c r="AG134" s="3">
        <v>9</v>
      </c>
      <c r="AH134" s="3">
        <v>3</v>
      </c>
      <c r="AI134" s="3">
        <v>3</v>
      </c>
      <c r="AJ134" s="3">
        <v>1</v>
      </c>
      <c r="AK134" s="3">
        <v>1</v>
      </c>
      <c r="AL134" s="3">
        <v>4</v>
      </c>
      <c r="AM134" s="3">
        <v>4</v>
      </c>
      <c r="AN134" s="3">
        <v>1</v>
      </c>
      <c r="AO134" s="3">
        <v>1</v>
      </c>
      <c r="AP134" s="3">
        <v>1</v>
      </c>
      <c r="AQ134" s="3">
        <v>1</v>
      </c>
      <c r="AR134" s="2" t="s">
        <v>63</v>
      </c>
      <c r="AS134" s="2" t="s">
        <v>63</v>
      </c>
      <c r="AU134" s="5" t="str">
        <f>HYPERLINK("https://creighton-primo.hosted.exlibrisgroup.com/primo-explore/search?tab=default_tab&amp;search_scope=EVERYTHING&amp;vid=01CRU&amp;lang=en_US&amp;offset=0&amp;query=any,contains,991003320169702656","Catalog Record")</f>
        <v>Catalog Record</v>
      </c>
      <c r="AV134" s="5" t="str">
        <f>HYPERLINK("http://www.worldcat.org/oclc/37011358","WorldCat Record")</f>
        <v>WorldCat Record</v>
      </c>
      <c r="AW134" s="2" t="s">
        <v>1916</v>
      </c>
      <c r="AX134" s="2" t="s">
        <v>1917</v>
      </c>
      <c r="AY134" s="2" t="s">
        <v>1918</v>
      </c>
      <c r="AZ134" s="2" t="s">
        <v>1918</v>
      </c>
      <c r="BA134" s="2" t="s">
        <v>1919</v>
      </c>
      <c r="BB134" s="2" t="s">
        <v>79</v>
      </c>
      <c r="BD134" s="2" t="s">
        <v>1920</v>
      </c>
      <c r="BE134" s="2" t="s">
        <v>1921</v>
      </c>
      <c r="BF134" s="2" t="s">
        <v>1922</v>
      </c>
    </row>
    <row r="135" spans="1:58" ht="39.75" customHeight="1">
      <c r="A135" s="1"/>
      <c r="B135" s="1" t="s">
        <v>58</v>
      </c>
      <c r="C135" s="1" t="s">
        <v>59</v>
      </c>
      <c r="D135" s="1" t="s">
        <v>1923</v>
      </c>
      <c r="E135" s="1" t="s">
        <v>1924</v>
      </c>
      <c r="F135" s="1" t="s">
        <v>1925</v>
      </c>
      <c r="H135" s="2" t="s">
        <v>63</v>
      </c>
      <c r="I135" s="2" t="s">
        <v>64</v>
      </c>
      <c r="J135" s="2" t="s">
        <v>63</v>
      </c>
      <c r="K135" s="2" t="s">
        <v>63</v>
      </c>
      <c r="L135" s="2" t="s">
        <v>65</v>
      </c>
      <c r="M135" s="1" t="s">
        <v>1926</v>
      </c>
      <c r="N135" s="1" t="s">
        <v>1927</v>
      </c>
      <c r="O135" s="2" t="s">
        <v>121</v>
      </c>
      <c r="Q135" s="2" t="s">
        <v>68</v>
      </c>
      <c r="R135" s="2" t="s">
        <v>195</v>
      </c>
      <c r="S135" s="1" t="s">
        <v>1928</v>
      </c>
      <c r="T135" s="2" t="s">
        <v>71</v>
      </c>
      <c r="U135" s="3">
        <v>3</v>
      </c>
      <c r="V135" s="3">
        <v>3</v>
      </c>
      <c r="W135" s="4" t="s">
        <v>1929</v>
      </c>
      <c r="X135" s="4" t="s">
        <v>1929</v>
      </c>
      <c r="Y135" s="4" t="s">
        <v>1766</v>
      </c>
      <c r="Z135" s="4" t="s">
        <v>1766</v>
      </c>
      <c r="AA135" s="3">
        <v>191</v>
      </c>
      <c r="AB135" s="3">
        <v>153</v>
      </c>
      <c r="AC135" s="3">
        <v>154</v>
      </c>
      <c r="AD135" s="3">
        <v>1</v>
      </c>
      <c r="AE135" s="3">
        <v>1</v>
      </c>
      <c r="AF135" s="3">
        <v>5</v>
      </c>
      <c r="AG135" s="3">
        <v>5</v>
      </c>
      <c r="AH135" s="3">
        <v>0</v>
      </c>
      <c r="AI135" s="3">
        <v>0</v>
      </c>
      <c r="AJ135" s="3">
        <v>3</v>
      </c>
      <c r="AK135" s="3">
        <v>3</v>
      </c>
      <c r="AL135" s="3">
        <v>4</v>
      </c>
      <c r="AM135" s="3">
        <v>4</v>
      </c>
      <c r="AN135" s="3">
        <v>0</v>
      </c>
      <c r="AO135" s="3">
        <v>0</v>
      </c>
      <c r="AP135" s="3">
        <v>0</v>
      </c>
      <c r="AQ135" s="3">
        <v>0</v>
      </c>
      <c r="AR135" s="2" t="s">
        <v>63</v>
      </c>
      <c r="AS135" s="2" t="s">
        <v>63</v>
      </c>
      <c r="AU135" s="5" t="str">
        <f>HYPERLINK("https://creighton-primo.hosted.exlibrisgroup.com/primo-explore/search?tab=default_tab&amp;search_scope=EVERYTHING&amp;vid=01CRU&amp;lang=en_US&amp;offset=0&amp;query=any,contains,991004451829702656","Catalog Record")</f>
        <v>Catalog Record</v>
      </c>
      <c r="AV135" s="5" t="str">
        <f>HYPERLINK("http://www.worldcat.org/oclc/3516361","WorldCat Record")</f>
        <v>WorldCat Record</v>
      </c>
      <c r="AW135" s="2" t="s">
        <v>1930</v>
      </c>
      <c r="AX135" s="2" t="s">
        <v>1931</v>
      </c>
      <c r="AY135" s="2" t="s">
        <v>1932</v>
      </c>
      <c r="AZ135" s="2" t="s">
        <v>1932</v>
      </c>
      <c r="BA135" s="2" t="s">
        <v>1933</v>
      </c>
      <c r="BB135" s="2" t="s">
        <v>79</v>
      </c>
      <c r="BD135" s="2" t="s">
        <v>1934</v>
      </c>
      <c r="BE135" s="2" t="s">
        <v>1935</v>
      </c>
      <c r="BF135" s="2" t="s">
        <v>1936</v>
      </c>
    </row>
    <row r="136" spans="1:58" ht="39.75" customHeight="1">
      <c r="A136" s="1"/>
      <c r="B136" s="1" t="s">
        <v>58</v>
      </c>
      <c r="C136" s="1" t="s">
        <v>59</v>
      </c>
      <c r="D136" s="1" t="s">
        <v>1937</v>
      </c>
      <c r="E136" s="1" t="s">
        <v>1938</v>
      </c>
      <c r="F136" s="1" t="s">
        <v>1939</v>
      </c>
      <c r="H136" s="2" t="s">
        <v>63</v>
      </c>
      <c r="I136" s="2" t="s">
        <v>64</v>
      </c>
      <c r="J136" s="2" t="s">
        <v>74</v>
      </c>
      <c r="K136" s="2" t="s">
        <v>63</v>
      </c>
      <c r="L136" s="2" t="s">
        <v>65</v>
      </c>
      <c r="M136" s="1" t="s">
        <v>1940</v>
      </c>
      <c r="N136" s="1" t="s">
        <v>1941</v>
      </c>
      <c r="O136" s="2" t="s">
        <v>105</v>
      </c>
      <c r="Q136" s="2" t="s">
        <v>68</v>
      </c>
      <c r="R136" s="2" t="s">
        <v>181</v>
      </c>
      <c r="S136" s="1" t="s">
        <v>1832</v>
      </c>
      <c r="T136" s="2" t="s">
        <v>71</v>
      </c>
      <c r="U136" s="3">
        <v>4</v>
      </c>
      <c r="V136" s="3">
        <v>7</v>
      </c>
      <c r="W136" s="4" t="s">
        <v>1942</v>
      </c>
      <c r="X136" s="4" t="s">
        <v>1942</v>
      </c>
      <c r="Y136" s="4" t="s">
        <v>1766</v>
      </c>
      <c r="Z136" s="4" t="s">
        <v>1766</v>
      </c>
      <c r="AA136" s="3">
        <v>724</v>
      </c>
      <c r="AB136" s="3">
        <v>618</v>
      </c>
      <c r="AC136" s="3">
        <v>624</v>
      </c>
      <c r="AD136" s="3">
        <v>4</v>
      </c>
      <c r="AE136" s="3">
        <v>4</v>
      </c>
      <c r="AF136" s="3">
        <v>25</v>
      </c>
      <c r="AG136" s="3">
        <v>25</v>
      </c>
      <c r="AH136" s="3">
        <v>7</v>
      </c>
      <c r="AI136" s="3">
        <v>7</v>
      </c>
      <c r="AJ136" s="3">
        <v>7</v>
      </c>
      <c r="AK136" s="3">
        <v>7</v>
      </c>
      <c r="AL136" s="3">
        <v>16</v>
      </c>
      <c r="AM136" s="3">
        <v>16</v>
      </c>
      <c r="AN136" s="3">
        <v>2</v>
      </c>
      <c r="AO136" s="3">
        <v>2</v>
      </c>
      <c r="AP136" s="3">
        <v>2</v>
      </c>
      <c r="AQ136" s="3">
        <v>2</v>
      </c>
      <c r="AR136" s="2" t="s">
        <v>63</v>
      </c>
      <c r="AS136" s="2" t="s">
        <v>74</v>
      </c>
      <c r="AT136" s="5" t="str">
        <f>HYPERLINK("http://catalog.hathitrust.org/Record/000583360","HathiTrust Record")</f>
        <v>HathiTrust Record</v>
      </c>
      <c r="AU136" s="5" t="str">
        <f>HYPERLINK("https://creighton-primo.hosted.exlibrisgroup.com/primo-explore/search?tab=default_tab&amp;search_scope=EVERYTHING&amp;vid=01CRU&amp;lang=en_US&amp;offset=0&amp;query=any,contains,991001758299702656","Catalog Record")</f>
        <v>Catalog Record</v>
      </c>
      <c r="AV136" s="5" t="str">
        <f>HYPERLINK("http://www.worldcat.org/oclc/12557363","WorldCat Record")</f>
        <v>WorldCat Record</v>
      </c>
      <c r="AW136" s="2" t="s">
        <v>1943</v>
      </c>
      <c r="AX136" s="2" t="s">
        <v>1944</v>
      </c>
      <c r="AY136" s="2" t="s">
        <v>1945</v>
      </c>
      <c r="AZ136" s="2" t="s">
        <v>1945</v>
      </c>
      <c r="BA136" s="2" t="s">
        <v>1946</v>
      </c>
      <c r="BB136" s="2" t="s">
        <v>79</v>
      </c>
      <c r="BD136" s="2" t="s">
        <v>1947</v>
      </c>
      <c r="BE136" s="2" t="s">
        <v>1948</v>
      </c>
      <c r="BF136" s="2" t="s">
        <v>1949</v>
      </c>
    </row>
    <row r="137" spans="1:58" ht="39.75" customHeight="1">
      <c r="A137" s="1"/>
      <c r="B137" s="1" t="s">
        <v>58</v>
      </c>
      <c r="C137" s="1" t="s">
        <v>59</v>
      </c>
      <c r="D137" s="1" t="s">
        <v>1950</v>
      </c>
      <c r="E137" s="1" t="s">
        <v>1951</v>
      </c>
      <c r="F137" s="1" t="s">
        <v>1952</v>
      </c>
      <c r="H137" s="2" t="s">
        <v>63</v>
      </c>
      <c r="I137" s="2" t="s">
        <v>64</v>
      </c>
      <c r="J137" s="2" t="s">
        <v>74</v>
      </c>
      <c r="K137" s="2" t="s">
        <v>63</v>
      </c>
      <c r="L137" s="2" t="s">
        <v>65</v>
      </c>
      <c r="N137" s="1" t="s">
        <v>1953</v>
      </c>
      <c r="O137" s="2" t="s">
        <v>598</v>
      </c>
      <c r="Q137" s="2" t="s">
        <v>68</v>
      </c>
      <c r="R137" s="2" t="s">
        <v>106</v>
      </c>
      <c r="S137" s="1" t="s">
        <v>898</v>
      </c>
      <c r="T137" s="2" t="s">
        <v>71</v>
      </c>
      <c r="U137" s="3">
        <v>8</v>
      </c>
      <c r="V137" s="3">
        <v>15</v>
      </c>
      <c r="W137" s="4" t="s">
        <v>1954</v>
      </c>
      <c r="X137" s="4" t="s">
        <v>1955</v>
      </c>
      <c r="Y137" s="4" t="s">
        <v>1956</v>
      </c>
      <c r="Z137" s="4" t="s">
        <v>1956</v>
      </c>
      <c r="AA137" s="3">
        <v>684</v>
      </c>
      <c r="AB137" s="3">
        <v>514</v>
      </c>
      <c r="AC137" s="3">
        <v>542</v>
      </c>
      <c r="AD137" s="3">
        <v>6</v>
      </c>
      <c r="AE137" s="3">
        <v>6</v>
      </c>
      <c r="AF137" s="3">
        <v>28</v>
      </c>
      <c r="AG137" s="3">
        <v>28</v>
      </c>
      <c r="AH137" s="3">
        <v>9</v>
      </c>
      <c r="AI137" s="3">
        <v>9</v>
      </c>
      <c r="AJ137" s="3">
        <v>6</v>
      </c>
      <c r="AK137" s="3">
        <v>6</v>
      </c>
      <c r="AL137" s="3">
        <v>15</v>
      </c>
      <c r="AM137" s="3">
        <v>15</v>
      </c>
      <c r="AN137" s="3">
        <v>4</v>
      </c>
      <c r="AO137" s="3">
        <v>4</v>
      </c>
      <c r="AP137" s="3">
        <v>0</v>
      </c>
      <c r="AQ137" s="3">
        <v>0</v>
      </c>
      <c r="AR137" s="2" t="s">
        <v>63</v>
      </c>
      <c r="AS137" s="2" t="s">
        <v>63</v>
      </c>
      <c r="AU137" s="5" t="str">
        <f>HYPERLINK("https://creighton-primo.hosted.exlibrisgroup.com/primo-explore/search?tab=default_tab&amp;search_scope=EVERYTHING&amp;vid=01CRU&amp;lang=en_US&amp;offset=0&amp;query=any,contains,991001795719702656","Catalog Record")</f>
        <v>Catalog Record</v>
      </c>
      <c r="AV137" s="5" t="str">
        <f>HYPERLINK("http://www.worldcat.org/oclc/30319256","WorldCat Record")</f>
        <v>WorldCat Record</v>
      </c>
      <c r="AW137" s="2" t="s">
        <v>1957</v>
      </c>
      <c r="AX137" s="2" t="s">
        <v>1958</v>
      </c>
      <c r="AY137" s="2" t="s">
        <v>1959</v>
      </c>
      <c r="AZ137" s="2" t="s">
        <v>1959</v>
      </c>
      <c r="BA137" s="2" t="s">
        <v>1960</v>
      </c>
      <c r="BB137" s="2" t="s">
        <v>79</v>
      </c>
      <c r="BD137" s="2" t="s">
        <v>1961</v>
      </c>
      <c r="BE137" s="2" t="s">
        <v>1962</v>
      </c>
      <c r="BF137" s="2" t="s">
        <v>1963</v>
      </c>
    </row>
    <row r="138" spans="1:58" ht="39.75" customHeight="1">
      <c r="A138" s="1"/>
      <c r="B138" s="1" t="s">
        <v>58</v>
      </c>
      <c r="C138" s="1" t="s">
        <v>59</v>
      </c>
      <c r="D138" s="1" t="s">
        <v>1964</v>
      </c>
      <c r="E138" s="1" t="s">
        <v>1965</v>
      </c>
      <c r="F138" s="1" t="s">
        <v>1966</v>
      </c>
      <c r="H138" s="2" t="s">
        <v>63</v>
      </c>
      <c r="I138" s="2" t="s">
        <v>64</v>
      </c>
      <c r="J138" s="2" t="s">
        <v>63</v>
      </c>
      <c r="K138" s="2" t="s">
        <v>63</v>
      </c>
      <c r="L138" s="2" t="s">
        <v>65</v>
      </c>
      <c r="N138" s="1" t="s">
        <v>1967</v>
      </c>
      <c r="O138" s="2" t="s">
        <v>67</v>
      </c>
      <c r="Q138" s="2" t="s">
        <v>68</v>
      </c>
      <c r="R138" s="2" t="s">
        <v>583</v>
      </c>
      <c r="T138" s="2" t="s">
        <v>71</v>
      </c>
      <c r="U138" s="3">
        <v>4</v>
      </c>
      <c r="V138" s="3">
        <v>4</v>
      </c>
      <c r="W138" s="4" t="s">
        <v>1968</v>
      </c>
      <c r="X138" s="4" t="s">
        <v>1968</v>
      </c>
      <c r="Y138" s="4" t="s">
        <v>1969</v>
      </c>
      <c r="Z138" s="4" t="s">
        <v>1969</v>
      </c>
      <c r="AA138" s="3">
        <v>157</v>
      </c>
      <c r="AB138" s="3">
        <v>142</v>
      </c>
      <c r="AC138" s="3">
        <v>142</v>
      </c>
      <c r="AD138" s="3">
        <v>2</v>
      </c>
      <c r="AE138" s="3">
        <v>2</v>
      </c>
      <c r="AF138" s="3">
        <v>8</v>
      </c>
      <c r="AG138" s="3">
        <v>8</v>
      </c>
      <c r="AH138" s="3">
        <v>0</v>
      </c>
      <c r="AI138" s="3">
        <v>0</v>
      </c>
      <c r="AJ138" s="3">
        <v>1</v>
      </c>
      <c r="AK138" s="3">
        <v>1</v>
      </c>
      <c r="AL138" s="3">
        <v>2</v>
      </c>
      <c r="AM138" s="3">
        <v>2</v>
      </c>
      <c r="AN138" s="3">
        <v>0</v>
      </c>
      <c r="AO138" s="3">
        <v>0</v>
      </c>
      <c r="AP138" s="3">
        <v>6</v>
      </c>
      <c r="AQ138" s="3">
        <v>6</v>
      </c>
      <c r="AR138" s="2" t="s">
        <v>63</v>
      </c>
      <c r="AS138" s="2" t="s">
        <v>63</v>
      </c>
      <c r="AU138" s="5" t="str">
        <f>HYPERLINK("https://creighton-primo.hosted.exlibrisgroup.com/primo-explore/search?tab=default_tab&amp;search_scope=EVERYTHING&amp;vid=01CRU&amp;lang=en_US&amp;offset=0&amp;query=any,contains,991002176779702656","Catalog Record")</f>
        <v>Catalog Record</v>
      </c>
      <c r="AV138" s="5" t="str">
        <f>HYPERLINK("http://www.worldcat.org/oclc/28023746","WorldCat Record")</f>
        <v>WorldCat Record</v>
      </c>
      <c r="AW138" s="2" t="s">
        <v>1970</v>
      </c>
      <c r="AX138" s="2" t="s">
        <v>1971</v>
      </c>
      <c r="AY138" s="2" t="s">
        <v>1972</v>
      </c>
      <c r="AZ138" s="2" t="s">
        <v>1972</v>
      </c>
      <c r="BA138" s="2" t="s">
        <v>1973</v>
      </c>
      <c r="BB138" s="2" t="s">
        <v>79</v>
      </c>
      <c r="BD138" s="2" t="s">
        <v>1974</v>
      </c>
      <c r="BE138" s="2" t="s">
        <v>1975</v>
      </c>
      <c r="BF138" s="2" t="s">
        <v>1976</v>
      </c>
    </row>
    <row r="139" spans="1:58" ht="39.75" customHeight="1">
      <c r="A139" s="1"/>
      <c r="B139" s="1" t="s">
        <v>58</v>
      </c>
      <c r="C139" s="1" t="s">
        <v>59</v>
      </c>
      <c r="D139" s="1" t="s">
        <v>1977</v>
      </c>
      <c r="E139" s="1" t="s">
        <v>1978</v>
      </c>
      <c r="F139" s="1" t="s">
        <v>1979</v>
      </c>
      <c r="H139" s="2" t="s">
        <v>63</v>
      </c>
      <c r="I139" s="2" t="s">
        <v>64</v>
      </c>
      <c r="J139" s="2" t="s">
        <v>63</v>
      </c>
      <c r="K139" s="2" t="s">
        <v>63</v>
      </c>
      <c r="L139" s="2" t="s">
        <v>65</v>
      </c>
      <c r="M139" s="1" t="s">
        <v>1980</v>
      </c>
      <c r="N139" s="1" t="s">
        <v>1981</v>
      </c>
      <c r="O139" s="2" t="s">
        <v>978</v>
      </c>
      <c r="Q139" s="2" t="s">
        <v>68</v>
      </c>
      <c r="R139" s="2" t="s">
        <v>628</v>
      </c>
      <c r="T139" s="2" t="s">
        <v>71</v>
      </c>
      <c r="U139" s="3">
        <v>3</v>
      </c>
      <c r="V139" s="3">
        <v>3</v>
      </c>
      <c r="W139" s="4" t="s">
        <v>1942</v>
      </c>
      <c r="X139" s="4" t="s">
        <v>1942</v>
      </c>
      <c r="Y139" s="4" t="s">
        <v>1982</v>
      </c>
      <c r="Z139" s="4" t="s">
        <v>1982</v>
      </c>
      <c r="AA139" s="3">
        <v>266</v>
      </c>
      <c r="AB139" s="3">
        <v>223</v>
      </c>
      <c r="AC139" s="3">
        <v>237</v>
      </c>
      <c r="AD139" s="3">
        <v>3</v>
      </c>
      <c r="AE139" s="3">
        <v>3</v>
      </c>
      <c r="AF139" s="3">
        <v>12</v>
      </c>
      <c r="AG139" s="3">
        <v>13</v>
      </c>
      <c r="AH139" s="3">
        <v>3</v>
      </c>
      <c r="AI139" s="3">
        <v>4</v>
      </c>
      <c r="AJ139" s="3">
        <v>4</v>
      </c>
      <c r="AK139" s="3">
        <v>4</v>
      </c>
      <c r="AL139" s="3">
        <v>7</v>
      </c>
      <c r="AM139" s="3">
        <v>7</v>
      </c>
      <c r="AN139" s="3">
        <v>2</v>
      </c>
      <c r="AO139" s="3">
        <v>2</v>
      </c>
      <c r="AP139" s="3">
        <v>0</v>
      </c>
      <c r="AQ139" s="3">
        <v>0</v>
      </c>
      <c r="AR139" s="2" t="s">
        <v>63</v>
      </c>
      <c r="AS139" s="2" t="s">
        <v>74</v>
      </c>
      <c r="AT139" s="5" t="str">
        <f>HYPERLINK("http://catalog.hathitrust.org/Record/004538282","HathiTrust Record")</f>
        <v>HathiTrust Record</v>
      </c>
      <c r="AU139" s="5" t="str">
        <f>HYPERLINK("https://creighton-primo.hosted.exlibrisgroup.com/primo-explore/search?tab=default_tab&amp;search_scope=EVERYTHING&amp;vid=01CRU&amp;lang=en_US&amp;offset=0&amp;query=any,contains,991003850799702656","Catalog Record")</f>
        <v>Catalog Record</v>
      </c>
      <c r="AV139" s="5" t="str">
        <f>HYPERLINK("http://www.worldcat.org/oclc/35925014","WorldCat Record")</f>
        <v>WorldCat Record</v>
      </c>
      <c r="AW139" s="2" t="s">
        <v>1983</v>
      </c>
      <c r="AX139" s="2" t="s">
        <v>1984</v>
      </c>
      <c r="AY139" s="2" t="s">
        <v>1985</v>
      </c>
      <c r="AZ139" s="2" t="s">
        <v>1985</v>
      </c>
      <c r="BA139" s="2" t="s">
        <v>1986</v>
      </c>
      <c r="BB139" s="2" t="s">
        <v>79</v>
      </c>
      <c r="BD139" s="2" t="s">
        <v>1987</v>
      </c>
      <c r="BE139" s="2" t="s">
        <v>1988</v>
      </c>
      <c r="BF139" s="2" t="s">
        <v>1989</v>
      </c>
    </row>
    <row r="140" spans="1:58" ht="39.75" customHeight="1">
      <c r="A140" s="1"/>
      <c r="B140" s="1" t="s">
        <v>58</v>
      </c>
      <c r="C140" s="1" t="s">
        <v>59</v>
      </c>
      <c r="D140" s="1" t="s">
        <v>1990</v>
      </c>
      <c r="E140" s="1" t="s">
        <v>1991</v>
      </c>
      <c r="F140" s="1" t="s">
        <v>1992</v>
      </c>
      <c r="H140" s="2" t="s">
        <v>63</v>
      </c>
      <c r="I140" s="2" t="s">
        <v>64</v>
      </c>
      <c r="J140" s="2" t="s">
        <v>74</v>
      </c>
      <c r="K140" s="2" t="s">
        <v>63</v>
      </c>
      <c r="L140" s="2" t="s">
        <v>65</v>
      </c>
      <c r="N140" s="1" t="s">
        <v>1993</v>
      </c>
      <c r="O140" s="2" t="s">
        <v>441</v>
      </c>
      <c r="Q140" s="2" t="s">
        <v>68</v>
      </c>
      <c r="R140" s="2" t="s">
        <v>500</v>
      </c>
      <c r="S140" s="1" t="s">
        <v>1994</v>
      </c>
      <c r="T140" s="2" t="s">
        <v>71</v>
      </c>
      <c r="U140" s="3">
        <v>10</v>
      </c>
      <c r="V140" s="3">
        <v>29</v>
      </c>
      <c r="W140" s="4" t="s">
        <v>1995</v>
      </c>
      <c r="X140" s="4" t="s">
        <v>1996</v>
      </c>
      <c r="Y140" s="4" t="s">
        <v>1997</v>
      </c>
      <c r="Z140" s="4" t="s">
        <v>1997</v>
      </c>
      <c r="AA140" s="3">
        <v>384</v>
      </c>
      <c r="AB140" s="3">
        <v>256</v>
      </c>
      <c r="AC140" s="3">
        <v>263</v>
      </c>
      <c r="AD140" s="3">
        <v>4</v>
      </c>
      <c r="AE140" s="3">
        <v>4</v>
      </c>
      <c r="AF140" s="3">
        <v>12</v>
      </c>
      <c r="AG140" s="3">
        <v>12</v>
      </c>
      <c r="AH140" s="3">
        <v>5</v>
      </c>
      <c r="AI140" s="3">
        <v>5</v>
      </c>
      <c r="AJ140" s="3">
        <v>4</v>
      </c>
      <c r="AK140" s="3">
        <v>4</v>
      </c>
      <c r="AL140" s="3">
        <v>6</v>
      </c>
      <c r="AM140" s="3">
        <v>6</v>
      </c>
      <c r="AN140" s="3">
        <v>2</v>
      </c>
      <c r="AO140" s="3">
        <v>2</v>
      </c>
      <c r="AP140" s="3">
        <v>0</v>
      </c>
      <c r="AQ140" s="3">
        <v>0</v>
      </c>
      <c r="AR140" s="2" t="s">
        <v>63</v>
      </c>
      <c r="AS140" s="2" t="s">
        <v>74</v>
      </c>
      <c r="AT140" s="5" t="str">
        <f>HYPERLINK("http://catalog.hathitrust.org/Record/002238424","HathiTrust Record")</f>
        <v>HathiTrust Record</v>
      </c>
      <c r="AU140" s="5" t="str">
        <f>HYPERLINK("https://creighton-primo.hosted.exlibrisgroup.com/primo-explore/search?tab=default_tab&amp;search_scope=EVERYTHING&amp;vid=01CRU&amp;lang=en_US&amp;offset=0&amp;query=any,contains,991001796059702656","Catalog Record")</f>
        <v>Catalog Record</v>
      </c>
      <c r="AV140" s="5" t="str">
        <f>HYPERLINK("http://www.worldcat.org/oclc/21763176","WorldCat Record")</f>
        <v>WorldCat Record</v>
      </c>
      <c r="AW140" s="2" t="s">
        <v>1998</v>
      </c>
      <c r="AX140" s="2" t="s">
        <v>1999</v>
      </c>
      <c r="AY140" s="2" t="s">
        <v>2000</v>
      </c>
      <c r="AZ140" s="2" t="s">
        <v>2000</v>
      </c>
      <c r="BA140" s="2" t="s">
        <v>2001</v>
      </c>
      <c r="BB140" s="2" t="s">
        <v>79</v>
      </c>
      <c r="BD140" s="2" t="s">
        <v>2002</v>
      </c>
      <c r="BE140" s="2" t="s">
        <v>2003</v>
      </c>
      <c r="BF140" s="2" t="s">
        <v>2004</v>
      </c>
    </row>
    <row r="141" spans="1:58" ht="39.75" customHeight="1">
      <c r="A141" s="1"/>
      <c r="B141" s="1" t="s">
        <v>58</v>
      </c>
      <c r="C141" s="1" t="s">
        <v>59</v>
      </c>
      <c r="D141" s="1" t="s">
        <v>2005</v>
      </c>
      <c r="E141" s="1" t="s">
        <v>2006</v>
      </c>
      <c r="F141" s="1" t="s">
        <v>2007</v>
      </c>
      <c r="H141" s="2" t="s">
        <v>63</v>
      </c>
      <c r="I141" s="2" t="s">
        <v>64</v>
      </c>
      <c r="J141" s="2" t="s">
        <v>63</v>
      </c>
      <c r="K141" s="2" t="s">
        <v>63</v>
      </c>
      <c r="L141" s="2" t="s">
        <v>65</v>
      </c>
      <c r="N141" s="1" t="s">
        <v>2008</v>
      </c>
      <c r="O141" s="2" t="s">
        <v>105</v>
      </c>
      <c r="Q141" s="2" t="s">
        <v>68</v>
      </c>
      <c r="R141" s="2" t="s">
        <v>500</v>
      </c>
      <c r="T141" s="2" t="s">
        <v>71</v>
      </c>
      <c r="U141" s="3">
        <v>9</v>
      </c>
      <c r="V141" s="3">
        <v>9</v>
      </c>
      <c r="W141" s="4" t="s">
        <v>1995</v>
      </c>
      <c r="X141" s="4" t="s">
        <v>1995</v>
      </c>
      <c r="Y141" s="4" t="s">
        <v>2009</v>
      </c>
      <c r="Z141" s="4" t="s">
        <v>2009</v>
      </c>
      <c r="AA141" s="3">
        <v>438</v>
      </c>
      <c r="AB141" s="3">
        <v>350</v>
      </c>
      <c r="AC141" s="3">
        <v>359</v>
      </c>
      <c r="AD141" s="3">
        <v>3</v>
      </c>
      <c r="AE141" s="3">
        <v>3</v>
      </c>
      <c r="AF141" s="3">
        <v>6</v>
      </c>
      <c r="AG141" s="3">
        <v>6</v>
      </c>
      <c r="AH141" s="3">
        <v>2</v>
      </c>
      <c r="AI141" s="3">
        <v>2</v>
      </c>
      <c r="AJ141" s="3">
        <v>1</v>
      </c>
      <c r="AK141" s="3">
        <v>1</v>
      </c>
      <c r="AL141" s="3">
        <v>2</v>
      </c>
      <c r="AM141" s="3">
        <v>2</v>
      </c>
      <c r="AN141" s="3">
        <v>2</v>
      </c>
      <c r="AO141" s="3">
        <v>2</v>
      </c>
      <c r="AP141" s="3">
        <v>0</v>
      </c>
      <c r="AQ141" s="3">
        <v>0</v>
      </c>
      <c r="AR141" s="2" t="s">
        <v>63</v>
      </c>
      <c r="AS141" s="2" t="s">
        <v>74</v>
      </c>
      <c r="AT141" s="5" t="str">
        <f>HYPERLINK("http://catalog.hathitrust.org/Record/000487399","HathiTrust Record")</f>
        <v>HathiTrust Record</v>
      </c>
      <c r="AU141" s="5" t="str">
        <f>HYPERLINK("https://creighton-primo.hosted.exlibrisgroup.com/primo-explore/search?tab=default_tab&amp;search_scope=EVERYTHING&amp;vid=01CRU&amp;lang=en_US&amp;offset=0&amp;query=any,contains,991000629049702656","Catalog Record")</f>
        <v>Catalog Record</v>
      </c>
      <c r="AV141" s="5" t="str">
        <f>HYPERLINK("http://www.worldcat.org/oclc/12051177","WorldCat Record")</f>
        <v>WorldCat Record</v>
      </c>
      <c r="AW141" s="2" t="s">
        <v>2010</v>
      </c>
      <c r="AX141" s="2" t="s">
        <v>2011</v>
      </c>
      <c r="AY141" s="2" t="s">
        <v>2012</v>
      </c>
      <c r="AZ141" s="2" t="s">
        <v>2012</v>
      </c>
      <c r="BA141" s="2" t="s">
        <v>2013</v>
      </c>
      <c r="BB141" s="2" t="s">
        <v>79</v>
      </c>
      <c r="BD141" s="2" t="s">
        <v>2014</v>
      </c>
      <c r="BE141" s="2" t="s">
        <v>2015</v>
      </c>
      <c r="BF141" s="2" t="s">
        <v>2016</v>
      </c>
    </row>
    <row r="142" spans="1:58" ht="39.75" customHeight="1">
      <c r="A142" s="1"/>
      <c r="B142" s="1" t="s">
        <v>58</v>
      </c>
      <c r="C142" s="1" t="s">
        <v>59</v>
      </c>
      <c r="D142" s="1" t="s">
        <v>2017</v>
      </c>
      <c r="E142" s="1" t="s">
        <v>2018</v>
      </c>
      <c r="F142" s="1" t="s">
        <v>2019</v>
      </c>
      <c r="H142" s="2" t="s">
        <v>63</v>
      </c>
      <c r="I142" s="2" t="s">
        <v>64</v>
      </c>
      <c r="J142" s="2" t="s">
        <v>63</v>
      </c>
      <c r="K142" s="2" t="s">
        <v>63</v>
      </c>
      <c r="L142" s="2" t="s">
        <v>65</v>
      </c>
      <c r="M142" s="1" t="s">
        <v>2020</v>
      </c>
      <c r="N142" s="1" t="s">
        <v>2021</v>
      </c>
      <c r="O142" s="2" t="s">
        <v>740</v>
      </c>
      <c r="Q142" s="2" t="s">
        <v>68</v>
      </c>
      <c r="R142" s="2" t="s">
        <v>399</v>
      </c>
      <c r="T142" s="2" t="s">
        <v>71</v>
      </c>
      <c r="U142" s="3">
        <v>7</v>
      </c>
      <c r="V142" s="3">
        <v>7</v>
      </c>
      <c r="W142" s="4" t="s">
        <v>1995</v>
      </c>
      <c r="X142" s="4" t="s">
        <v>1995</v>
      </c>
      <c r="Y142" s="4" t="s">
        <v>2022</v>
      </c>
      <c r="Z142" s="4" t="s">
        <v>2022</v>
      </c>
      <c r="AA142" s="3">
        <v>274</v>
      </c>
      <c r="AB142" s="3">
        <v>214</v>
      </c>
      <c r="AC142" s="3">
        <v>335</v>
      </c>
      <c r="AD142" s="3">
        <v>3</v>
      </c>
      <c r="AE142" s="3">
        <v>4</v>
      </c>
      <c r="AF142" s="3">
        <v>7</v>
      </c>
      <c r="AG142" s="3">
        <v>9</v>
      </c>
      <c r="AH142" s="3">
        <v>1</v>
      </c>
      <c r="AI142" s="3">
        <v>2</v>
      </c>
      <c r="AJ142" s="3">
        <v>2</v>
      </c>
      <c r="AK142" s="3">
        <v>2</v>
      </c>
      <c r="AL142" s="3">
        <v>4</v>
      </c>
      <c r="AM142" s="3">
        <v>4</v>
      </c>
      <c r="AN142" s="3">
        <v>2</v>
      </c>
      <c r="AO142" s="3">
        <v>3</v>
      </c>
      <c r="AP142" s="3">
        <v>0</v>
      </c>
      <c r="AQ142" s="3">
        <v>0</v>
      </c>
      <c r="AR142" s="2" t="s">
        <v>63</v>
      </c>
      <c r="AS142" s="2" t="s">
        <v>74</v>
      </c>
      <c r="AT142" s="5" t="str">
        <f>HYPERLINK("http://catalog.hathitrust.org/Record/000833711","HathiTrust Record")</f>
        <v>HathiTrust Record</v>
      </c>
      <c r="AU142" s="5" t="str">
        <f>HYPERLINK("https://creighton-primo.hosted.exlibrisgroup.com/primo-explore/search?tab=default_tab&amp;search_scope=EVERYTHING&amp;vid=01CRU&amp;lang=en_US&amp;offset=0&amp;query=any,contains,991001010869702656","Catalog Record")</f>
        <v>Catalog Record</v>
      </c>
      <c r="AV142" s="5" t="str">
        <f>HYPERLINK("http://www.worldcat.org/oclc/15283194","WorldCat Record")</f>
        <v>WorldCat Record</v>
      </c>
      <c r="AW142" s="2" t="s">
        <v>2023</v>
      </c>
      <c r="AX142" s="2" t="s">
        <v>2024</v>
      </c>
      <c r="AY142" s="2" t="s">
        <v>2025</v>
      </c>
      <c r="AZ142" s="2" t="s">
        <v>2025</v>
      </c>
      <c r="BA142" s="2" t="s">
        <v>2026</v>
      </c>
      <c r="BB142" s="2" t="s">
        <v>79</v>
      </c>
      <c r="BD142" s="2" t="s">
        <v>2027</v>
      </c>
      <c r="BE142" s="2" t="s">
        <v>2028</v>
      </c>
      <c r="BF142" s="2" t="s">
        <v>2029</v>
      </c>
    </row>
    <row r="143" spans="1:58" ht="39.75" customHeight="1">
      <c r="A143" s="1"/>
      <c r="B143" s="1" t="s">
        <v>58</v>
      </c>
      <c r="C143" s="1" t="s">
        <v>59</v>
      </c>
      <c r="D143" s="1" t="s">
        <v>2030</v>
      </c>
      <c r="E143" s="1" t="s">
        <v>2031</v>
      </c>
      <c r="F143" s="1" t="s">
        <v>2032</v>
      </c>
      <c r="H143" s="2" t="s">
        <v>63</v>
      </c>
      <c r="I143" s="2" t="s">
        <v>64</v>
      </c>
      <c r="J143" s="2" t="s">
        <v>63</v>
      </c>
      <c r="K143" s="2" t="s">
        <v>63</v>
      </c>
      <c r="L143" s="2" t="s">
        <v>65</v>
      </c>
      <c r="N143" s="1" t="s">
        <v>2033</v>
      </c>
      <c r="O143" s="2" t="s">
        <v>441</v>
      </c>
      <c r="Q143" s="2" t="s">
        <v>68</v>
      </c>
      <c r="R143" s="2" t="s">
        <v>2034</v>
      </c>
      <c r="T143" s="2" t="s">
        <v>71</v>
      </c>
      <c r="U143" s="3">
        <v>2</v>
      </c>
      <c r="V143" s="3">
        <v>2</v>
      </c>
      <c r="W143" s="4" t="s">
        <v>926</v>
      </c>
      <c r="X143" s="4" t="s">
        <v>926</v>
      </c>
      <c r="Y143" s="4" t="s">
        <v>2035</v>
      </c>
      <c r="Z143" s="4" t="s">
        <v>2035</v>
      </c>
      <c r="AA143" s="3">
        <v>235</v>
      </c>
      <c r="AB143" s="3">
        <v>173</v>
      </c>
      <c r="AC143" s="3">
        <v>192</v>
      </c>
      <c r="AD143" s="3">
        <v>1</v>
      </c>
      <c r="AE143" s="3">
        <v>1</v>
      </c>
      <c r="AF143" s="3">
        <v>7</v>
      </c>
      <c r="AG143" s="3">
        <v>7</v>
      </c>
      <c r="AH143" s="3">
        <v>0</v>
      </c>
      <c r="AI143" s="3">
        <v>0</v>
      </c>
      <c r="AJ143" s="3">
        <v>3</v>
      </c>
      <c r="AK143" s="3">
        <v>3</v>
      </c>
      <c r="AL143" s="3">
        <v>4</v>
      </c>
      <c r="AM143" s="3">
        <v>4</v>
      </c>
      <c r="AN143" s="3">
        <v>0</v>
      </c>
      <c r="AO143" s="3">
        <v>0</v>
      </c>
      <c r="AP143" s="3">
        <v>1</v>
      </c>
      <c r="AQ143" s="3">
        <v>1</v>
      </c>
      <c r="AR143" s="2" t="s">
        <v>63</v>
      </c>
      <c r="AS143" s="2" t="s">
        <v>63</v>
      </c>
      <c r="AU143" s="5" t="str">
        <f>HYPERLINK("https://creighton-primo.hosted.exlibrisgroup.com/primo-explore/search?tab=default_tab&amp;search_scope=EVERYTHING&amp;vid=01CRU&amp;lang=en_US&amp;offset=0&amp;query=any,contains,991005054789702656","Catalog Record")</f>
        <v>Catalog Record</v>
      </c>
      <c r="AV143" s="5" t="str">
        <f>HYPERLINK("http://www.worldcat.org/oclc/22206704","WorldCat Record")</f>
        <v>WorldCat Record</v>
      </c>
      <c r="AW143" s="2" t="s">
        <v>2036</v>
      </c>
      <c r="AX143" s="2" t="s">
        <v>2037</v>
      </c>
      <c r="AY143" s="2" t="s">
        <v>2038</v>
      </c>
      <c r="AZ143" s="2" t="s">
        <v>2038</v>
      </c>
      <c r="BA143" s="2" t="s">
        <v>2039</v>
      </c>
      <c r="BB143" s="2" t="s">
        <v>79</v>
      </c>
      <c r="BD143" s="2" t="s">
        <v>2040</v>
      </c>
      <c r="BE143" s="2" t="s">
        <v>2041</v>
      </c>
      <c r="BF143" s="2" t="s">
        <v>2042</v>
      </c>
    </row>
    <row r="144" spans="1:58" ht="39.75" customHeight="1">
      <c r="A144" s="1"/>
      <c r="B144" s="1" t="s">
        <v>58</v>
      </c>
      <c r="C144" s="1" t="s">
        <v>59</v>
      </c>
      <c r="D144" s="1" t="s">
        <v>2043</v>
      </c>
      <c r="E144" s="1" t="s">
        <v>2044</v>
      </c>
      <c r="F144" s="1" t="s">
        <v>2045</v>
      </c>
      <c r="H144" s="2" t="s">
        <v>63</v>
      </c>
      <c r="I144" s="2" t="s">
        <v>64</v>
      </c>
      <c r="J144" s="2" t="s">
        <v>63</v>
      </c>
      <c r="K144" s="2" t="s">
        <v>63</v>
      </c>
      <c r="L144" s="2" t="s">
        <v>65</v>
      </c>
      <c r="N144" s="1" t="s">
        <v>2046</v>
      </c>
      <c r="O144" s="2" t="s">
        <v>209</v>
      </c>
      <c r="Q144" s="2" t="s">
        <v>68</v>
      </c>
      <c r="R144" s="2" t="s">
        <v>1190</v>
      </c>
      <c r="T144" s="2" t="s">
        <v>71</v>
      </c>
      <c r="U144" s="3">
        <v>13</v>
      </c>
      <c r="V144" s="3">
        <v>13</v>
      </c>
      <c r="W144" s="4" t="s">
        <v>2047</v>
      </c>
      <c r="X144" s="4" t="s">
        <v>2047</v>
      </c>
      <c r="Y144" s="4" t="s">
        <v>2048</v>
      </c>
      <c r="Z144" s="4" t="s">
        <v>2048</v>
      </c>
      <c r="AA144" s="3">
        <v>306</v>
      </c>
      <c r="AB144" s="3">
        <v>252</v>
      </c>
      <c r="AC144" s="3">
        <v>264</v>
      </c>
      <c r="AD144" s="3">
        <v>1</v>
      </c>
      <c r="AE144" s="3">
        <v>1</v>
      </c>
      <c r="AF144" s="3">
        <v>6</v>
      </c>
      <c r="AG144" s="3">
        <v>6</v>
      </c>
      <c r="AH144" s="3">
        <v>3</v>
      </c>
      <c r="AI144" s="3">
        <v>3</v>
      </c>
      <c r="AJ144" s="3">
        <v>2</v>
      </c>
      <c r="AK144" s="3">
        <v>2</v>
      </c>
      <c r="AL144" s="3">
        <v>4</v>
      </c>
      <c r="AM144" s="3">
        <v>4</v>
      </c>
      <c r="AN144" s="3">
        <v>0</v>
      </c>
      <c r="AO144" s="3">
        <v>0</v>
      </c>
      <c r="AP144" s="3">
        <v>0</v>
      </c>
      <c r="AQ144" s="3">
        <v>0</v>
      </c>
      <c r="AR144" s="2" t="s">
        <v>63</v>
      </c>
      <c r="AS144" s="2" t="s">
        <v>74</v>
      </c>
      <c r="AT144" s="5" t="str">
        <f>HYPERLINK("http://catalog.hathitrust.org/Record/000339621","HathiTrust Record")</f>
        <v>HathiTrust Record</v>
      </c>
      <c r="AU144" s="5" t="str">
        <f>HYPERLINK("https://creighton-primo.hosted.exlibrisgroup.com/primo-explore/search?tab=default_tab&amp;search_scope=EVERYTHING&amp;vid=01CRU&amp;lang=en_US&amp;offset=0&amp;query=any,contains,991000503339702656","Catalog Record")</f>
        <v>Catalog Record</v>
      </c>
      <c r="AV144" s="5" t="str">
        <f>HYPERLINK("http://www.worldcat.org/oclc/11187809","WorldCat Record")</f>
        <v>WorldCat Record</v>
      </c>
      <c r="AW144" s="2" t="s">
        <v>2049</v>
      </c>
      <c r="AX144" s="2" t="s">
        <v>2050</v>
      </c>
      <c r="AY144" s="2" t="s">
        <v>2051</v>
      </c>
      <c r="AZ144" s="2" t="s">
        <v>2051</v>
      </c>
      <c r="BA144" s="2" t="s">
        <v>2052</v>
      </c>
      <c r="BB144" s="2" t="s">
        <v>79</v>
      </c>
      <c r="BD144" s="2" t="s">
        <v>2053</v>
      </c>
      <c r="BE144" s="2" t="s">
        <v>2054</v>
      </c>
      <c r="BF144" s="2" t="s">
        <v>2055</v>
      </c>
    </row>
    <row r="145" spans="1:58" ht="39.75" customHeight="1">
      <c r="A145" s="1"/>
      <c r="B145" s="1" t="s">
        <v>58</v>
      </c>
      <c r="C145" s="1" t="s">
        <v>59</v>
      </c>
      <c r="D145" s="1" t="s">
        <v>2056</v>
      </c>
      <c r="E145" s="1" t="s">
        <v>2057</v>
      </c>
      <c r="F145" s="1" t="s">
        <v>2058</v>
      </c>
      <c r="H145" s="2" t="s">
        <v>63</v>
      </c>
      <c r="I145" s="2" t="s">
        <v>64</v>
      </c>
      <c r="J145" s="2" t="s">
        <v>63</v>
      </c>
      <c r="K145" s="2" t="s">
        <v>63</v>
      </c>
      <c r="L145" s="2" t="s">
        <v>65</v>
      </c>
      <c r="N145" s="1" t="s">
        <v>2059</v>
      </c>
      <c r="O145" s="2" t="s">
        <v>166</v>
      </c>
      <c r="Q145" s="2" t="s">
        <v>68</v>
      </c>
      <c r="R145" s="2" t="s">
        <v>1541</v>
      </c>
      <c r="T145" s="2" t="s">
        <v>71</v>
      </c>
      <c r="U145" s="3">
        <v>3</v>
      </c>
      <c r="V145" s="3">
        <v>3</v>
      </c>
      <c r="W145" s="4" t="s">
        <v>2060</v>
      </c>
      <c r="X145" s="4" t="s">
        <v>2060</v>
      </c>
      <c r="Y145" s="4" t="s">
        <v>2061</v>
      </c>
      <c r="Z145" s="4" t="s">
        <v>2061</v>
      </c>
      <c r="AA145" s="3">
        <v>363</v>
      </c>
      <c r="AB145" s="3">
        <v>300</v>
      </c>
      <c r="AC145" s="3">
        <v>308</v>
      </c>
      <c r="AD145" s="3">
        <v>1</v>
      </c>
      <c r="AE145" s="3">
        <v>1</v>
      </c>
      <c r="AF145" s="3">
        <v>7</v>
      </c>
      <c r="AG145" s="3">
        <v>7</v>
      </c>
      <c r="AH145" s="3">
        <v>3</v>
      </c>
      <c r="AI145" s="3">
        <v>3</v>
      </c>
      <c r="AJ145" s="3">
        <v>1</v>
      </c>
      <c r="AK145" s="3">
        <v>1</v>
      </c>
      <c r="AL145" s="3">
        <v>6</v>
      </c>
      <c r="AM145" s="3">
        <v>6</v>
      </c>
      <c r="AN145" s="3">
        <v>0</v>
      </c>
      <c r="AO145" s="3">
        <v>0</v>
      </c>
      <c r="AP145" s="3">
        <v>0</v>
      </c>
      <c r="AQ145" s="3">
        <v>0</v>
      </c>
      <c r="AR145" s="2" t="s">
        <v>63</v>
      </c>
      <c r="AS145" s="2" t="s">
        <v>63</v>
      </c>
      <c r="AU145" s="5" t="str">
        <f>HYPERLINK("https://creighton-primo.hosted.exlibrisgroup.com/primo-explore/search?tab=default_tab&amp;search_scope=EVERYTHING&amp;vid=01CRU&amp;lang=en_US&amp;offset=0&amp;query=any,contains,991001165869702656","Catalog Record")</f>
        <v>Catalog Record</v>
      </c>
      <c r="AV145" s="5" t="str">
        <f>HYPERLINK("http://www.worldcat.org/oclc/16923191","WorldCat Record")</f>
        <v>WorldCat Record</v>
      </c>
      <c r="AW145" s="2" t="s">
        <v>2062</v>
      </c>
      <c r="AX145" s="2" t="s">
        <v>2063</v>
      </c>
      <c r="AY145" s="2" t="s">
        <v>2064</v>
      </c>
      <c r="AZ145" s="2" t="s">
        <v>2064</v>
      </c>
      <c r="BA145" s="2" t="s">
        <v>2065</v>
      </c>
      <c r="BB145" s="2" t="s">
        <v>79</v>
      </c>
      <c r="BD145" s="2" t="s">
        <v>2066</v>
      </c>
      <c r="BE145" s="2" t="s">
        <v>2067</v>
      </c>
      <c r="BF145" s="2" t="s">
        <v>2068</v>
      </c>
    </row>
    <row r="146" spans="1:58" ht="39.75" customHeight="1">
      <c r="A146" s="1"/>
      <c r="B146" s="1" t="s">
        <v>58</v>
      </c>
      <c r="C146" s="1" t="s">
        <v>59</v>
      </c>
      <c r="D146" s="1" t="s">
        <v>2069</v>
      </c>
      <c r="E146" s="1" t="s">
        <v>2070</v>
      </c>
      <c r="F146" s="1" t="s">
        <v>2071</v>
      </c>
      <c r="H146" s="2" t="s">
        <v>63</v>
      </c>
      <c r="I146" s="2" t="s">
        <v>64</v>
      </c>
      <c r="J146" s="2" t="s">
        <v>63</v>
      </c>
      <c r="K146" s="2" t="s">
        <v>63</v>
      </c>
      <c r="L146" s="2" t="s">
        <v>65</v>
      </c>
      <c r="M146" s="1" t="s">
        <v>2072</v>
      </c>
      <c r="N146" s="1" t="s">
        <v>1273</v>
      </c>
      <c r="O146" s="2" t="s">
        <v>151</v>
      </c>
      <c r="Q146" s="2" t="s">
        <v>68</v>
      </c>
      <c r="R146" s="2" t="s">
        <v>1190</v>
      </c>
      <c r="S146" s="1" t="s">
        <v>2073</v>
      </c>
      <c r="T146" s="2" t="s">
        <v>71</v>
      </c>
      <c r="U146" s="3">
        <v>4</v>
      </c>
      <c r="V146" s="3">
        <v>4</v>
      </c>
      <c r="W146" s="4" t="s">
        <v>1274</v>
      </c>
      <c r="X146" s="4" t="s">
        <v>1274</v>
      </c>
      <c r="Y146" s="4" t="s">
        <v>429</v>
      </c>
      <c r="Z146" s="4" t="s">
        <v>429</v>
      </c>
      <c r="AA146" s="3">
        <v>295</v>
      </c>
      <c r="AB146" s="3">
        <v>265</v>
      </c>
      <c r="AC146" s="3">
        <v>272</v>
      </c>
      <c r="AD146" s="3">
        <v>1</v>
      </c>
      <c r="AE146" s="3">
        <v>1</v>
      </c>
      <c r="AF146" s="3">
        <v>10</v>
      </c>
      <c r="AG146" s="3">
        <v>10</v>
      </c>
      <c r="AH146" s="3">
        <v>3</v>
      </c>
      <c r="AI146" s="3">
        <v>3</v>
      </c>
      <c r="AJ146" s="3">
        <v>4</v>
      </c>
      <c r="AK146" s="3">
        <v>4</v>
      </c>
      <c r="AL146" s="3">
        <v>6</v>
      </c>
      <c r="AM146" s="3">
        <v>6</v>
      </c>
      <c r="AN146" s="3">
        <v>0</v>
      </c>
      <c r="AO146" s="3">
        <v>0</v>
      </c>
      <c r="AP146" s="3">
        <v>0</v>
      </c>
      <c r="AQ146" s="3">
        <v>0</v>
      </c>
      <c r="AR146" s="2" t="s">
        <v>63</v>
      </c>
      <c r="AS146" s="2" t="s">
        <v>74</v>
      </c>
      <c r="AT146" s="5" t="str">
        <f>HYPERLINK("http://catalog.hathitrust.org/Record/000667920","HathiTrust Record")</f>
        <v>HathiTrust Record</v>
      </c>
      <c r="AU146" s="5" t="str">
        <f>HYPERLINK("https://creighton-primo.hosted.exlibrisgroup.com/primo-explore/search?tab=default_tab&amp;search_scope=EVERYTHING&amp;vid=01CRU&amp;lang=en_US&amp;offset=0&amp;query=any,contains,991000683319702656","Catalog Record")</f>
        <v>Catalog Record</v>
      </c>
      <c r="AV146" s="5" t="str">
        <f>HYPERLINK("http://www.worldcat.org/oclc/12418985","WorldCat Record")</f>
        <v>WorldCat Record</v>
      </c>
      <c r="AW146" s="2" t="s">
        <v>2074</v>
      </c>
      <c r="AX146" s="2" t="s">
        <v>2075</v>
      </c>
      <c r="AY146" s="2" t="s">
        <v>2076</v>
      </c>
      <c r="AZ146" s="2" t="s">
        <v>2076</v>
      </c>
      <c r="BA146" s="2" t="s">
        <v>2077</v>
      </c>
      <c r="BB146" s="2" t="s">
        <v>79</v>
      </c>
      <c r="BD146" s="2" t="s">
        <v>2078</v>
      </c>
      <c r="BE146" s="2" t="s">
        <v>2079</v>
      </c>
      <c r="BF146" s="2" t="s">
        <v>2080</v>
      </c>
    </row>
    <row r="147" spans="1:58" ht="39.75" customHeight="1">
      <c r="A147" s="1"/>
      <c r="B147" s="1" t="s">
        <v>58</v>
      </c>
      <c r="C147" s="1" t="s">
        <v>59</v>
      </c>
      <c r="D147" s="1" t="s">
        <v>2081</v>
      </c>
      <c r="E147" s="1" t="s">
        <v>2082</v>
      </c>
      <c r="F147" s="1" t="s">
        <v>2083</v>
      </c>
      <c r="H147" s="2" t="s">
        <v>63</v>
      </c>
      <c r="I147" s="2" t="s">
        <v>64</v>
      </c>
      <c r="J147" s="2" t="s">
        <v>74</v>
      </c>
      <c r="K147" s="2" t="s">
        <v>63</v>
      </c>
      <c r="L147" s="2" t="s">
        <v>65</v>
      </c>
      <c r="N147" s="1" t="s">
        <v>2084</v>
      </c>
      <c r="O147" s="2" t="s">
        <v>528</v>
      </c>
      <c r="Q147" s="2" t="s">
        <v>68</v>
      </c>
      <c r="R147" s="2" t="s">
        <v>500</v>
      </c>
      <c r="T147" s="2" t="s">
        <v>71</v>
      </c>
      <c r="U147" s="3">
        <v>10</v>
      </c>
      <c r="V147" s="3">
        <v>15</v>
      </c>
      <c r="W147" s="4" t="s">
        <v>1620</v>
      </c>
      <c r="X147" s="4" t="s">
        <v>1620</v>
      </c>
      <c r="Y147" s="4" t="s">
        <v>2085</v>
      </c>
      <c r="Z147" s="4" t="s">
        <v>2086</v>
      </c>
      <c r="AA147" s="3">
        <v>457</v>
      </c>
      <c r="AB147" s="3">
        <v>417</v>
      </c>
      <c r="AC147" s="3">
        <v>677</v>
      </c>
      <c r="AD147" s="3">
        <v>4</v>
      </c>
      <c r="AE147" s="3">
        <v>4</v>
      </c>
      <c r="AF147" s="3">
        <v>20</v>
      </c>
      <c r="AG147" s="3">
        <v>29</v>
      </c>
      <c r="AH147" s="3">
        <v>10</v>
      </c>
      <c r="AI147" s="3">
        <v>13</v>
      </c>
      <c r="AJ147" s="3">
        <v>5</v>
      </c>
      <c r="AK147" s="3">
        <v>7</v>
      </c>
      <c r="AL147" s="3">
        <v>6</v>
      </c>
      <c r="AM147" s="3">
        <v>12</v>
      </c>
      <c r="AN147" s="3">
        <v>2</v>
      </c>
      <c r="AO147" s="3">
        <v>2</v>
      </c>
      <c r="AP147" s="3">
        <v>0</v>
      </c>
      <c r="AQ147" s="3">
        <v>0</v>
      </c>
      <c r="AR147" s="2" t="s">
        <v>63</v>
      </c>
      <c r="AS147" s="2" t="s">
        <v>74</v>
      </c>
      <c r="AT147" s="5" t="str">
        <f>HYPERLINK("http://catalog.hathitrust.org/Record/003513176","HathiTrust Record")</f>
        <v>HathiTrust Record</v>
      </c>
      <c r="AU147" s="5" t="str">
        <f>HYPERLINK("https://creighton-primo.hosted.exlibrisgroup.com/primo-explore/search?tab=default_tab&amp;search_scope=EVERYTHING&amp;vid=01CRU&amp;lang=en_US&amp;offset=0&amp;query=any,contains,991001702479702656","Catalog Record")</f>
        <v>Catalog Record</v>
      </c>
      <c r="AV147" s="5" t="str">
        <f>HYPERLINK("http://www.worldcat.org/oclc/42980220","WorldCat Record")</f>
        <v>WorldCat Record</v>
      </c>
      <c r="AW147" s="2" t="s">
        <v>2087</v>
      </c>
      <c r="AX147" s="2" t="s">
        <v>2088</v>
      </c>
      <c r="AY147" s="2" t="s">
        <v>2089</v>
      </c>
      <c r="AZ147" s="2" t="s">
        <v>2089</v>
      </c>
      <c r="BA147" s="2" t="s">
        <v>2090</v>
      </c>
      <c r="BB147" s="2" t="s">
        <v>79</v>
      </c>
      <c r="BD147" s="2" t="s">
        <v>2091</v>
      </c>
      <c r="BE147" s="2" t="s">
        <v>2092</v>
      </c>
      <c r="BF147" s="2" t="s">
        <v>2093</v>
      </c>
    </row>
    <row r="148" spans="1:58" ht="39.75" customHeight="1">
      <c r="A148" s="1"/>
      <c r="B148" s="1" t="s">
        <v>58</v>
      </c>
      <c r="C148" s="1" t="s">
        <v>59</v>
      </c>
      <c r="D148" s="1" t="s">
        <v>2094</v>
      </c>
      <c r="E148" s="1" t="s">
        <v>2095</v>
      </c>
      <c r="F148" s="1" t="s">
        <v>2096</v>
      </c>
      <c r="H148" s="2" t="s">
        <v>63</v>
      </c>
      <c r="I148" s="2" t="s">
        <v>64</v>
      </c>
      <c r="J148" s="2" t="s">
        <v>63</v>
      </c>
      <c r="K148" s="2" t="s">
        <v>63</v>
      </c>
      <c r="L148" s="2" t="s">
        <v>65</v>
      </c>
      <c r="M148" s="1" t="s">
        <v>2097</v>
      </c>
      <c r="N148" s="1" t="s">
        <v>2098</v>
      </c>
      <c r="O148" s="2" t="s">
        <v>528</v>
      </c>
      <c r="Q148" s="2" t="s">
        <v>68</v>
      </c>
      <c r="R148" s="2" t="s">
        <v>181</v>
      </c>
      <c r="T148" s="2" t="s">
        <v>71</v>
      </c>
      <c r="U148" s="3">
        <v>1</v>
      </c>
      <c r="V148" s="3">
        <v>1</v>
      </c>
      <c r="W148" s="4" t="s">
        <v>2099</v>
      </c>
      <c r="X148" s="4" t="s">
        <v>2099</v>
      </c>
      <c r="Y148" s="4" t="s">
        <v>2099</v>
      </c>
      <c r="Z148" s="4" t="s">
        <v>2099</v>
      </c>
      <c r="AA148" s="3">
        <v>196</v>
      </c>
      <c r="AB148" s="3">
        <v>183</v>
      </c>
      <c r="AC148" s="3">
        <v>186</v>
      </c>
      <c r="AD148" s="3">
        <v>1</v>
      </c>
      <c r="AE148" s="3">
        <v>1</v>
      </c>
      <c r="AF148" s="3">
        <v>8</v>
      </c>
      <c r="AG148" s="3">
        <v>8</v>
      </c>
      <c r="AH148" s="3">
        <v>1</v>
      </c>
      <c r="AI148" s="3">
        <v>1</v>
      </c>
      <c r="AJ148" s="3">
        <v>3</v>
      </c>
      <c r="AK148" s="3">
        <v>3</v>
      </c>
      <c r="AL148" s="3">
        <v>5</v>
      </c>
      <c r="AM148" s="3">
        <v>5</v>
      </c>
      <c r="AN148" s="3">
        <v>0</v>
      </c>
      <c r="AO148" s="3">
        <v>0</v>
      </c>
      <c r="AP148" s="3">
        <v>0</v>
      </c>
      <c r="AQ148" s="3">
        <v>0</v>
      </c>
      <c r="AR148" s="2" t="s">
        <v>63</v>
      </c>
      <c r="AS148" s="2" t="s">
        <v>74</v>
      </c>
      <c r="AT148" s="5" t="str">
        <f>HYPERLINK("http://catalog.hathitrust.org/Record/004576182","HathiTrust Record")</f>
        <v>HathiTrust Record</v>
      </c>
      <c r="AU148" s="5" t="str">
        <f>HYPERLINK("https://creighton-primo.hosted.exlibrisgroup.com/primo-explore/search?tab=default_tab&amp;search_scope=EVERYTHING&amp;vid=01CRU&amp;lang=en_US&amp;offset=0&amp;query=any,contains,991003540429702656","Catalog Record")</f>
        <v>Catalog Record</v>
      </c>
      <c r="AV148" s="5" t="str">
        <f>HYPERLINK("http://www.worldcat.org/oclc/44078978","WorldCat Record")</f>
        <v>WorldCat Record</v>
      </c>
      <c r="AW148" s="2" t="s">
        <v>2100</v>
      </c>
      <c r="AX148" s="2" t="s">
        <v>2101</v>
      </c>
      <c r="AY148" s="2" t="s">
        <v>2102</v>
      </c>
      <c r="AZ148" s="2" t="s">
        <v>2102</v>
      </c>
      <c r="BA148" s="2" t="s">
        <v>2103</v>
      </c>
      <c r="BB148" s="2" t="s">
        <v>79</v>
      </c>
      <c r="BD148" s="2" t="s">
        <v>2104</v>
      </c>
      <c r="BE148" s="2" t="s">
        <v>2105</v>
      </c>
      <c r="BF148" s="2" t="s">
        <v>2106</v>
      </c>
    </row>
    <row r="149" spans="1:58" ht="39.75" customHeight="1">
      <c r="A149" s="1"/>
      <c r="B149" s="1" t="s">
        <v>58</v>
      </c>
      <c r="C149" s="1" t="s">
        <v>59</v>
      </c>
      <c r="D149" s="1" t="s">
        <v>2107</v>
      </c>
      <c r="E149" s="1" t="s">
        <v>2108</v>
      </c>
      <c r="F149" s="1" t="s">
        <v>2109</v>
      </c>
      <c r="H149" s="2" t="s">
        <v>63</v>
      </c>
      <c r="I149" s="2" t="s">
        <v>64</v>
      </c>
      <c r="J149" s="2" t="s">
        <v>63</v>
      </c>
      <c r="K149" s="2" t="s">
        <v>63</v>
      </c>
      <c r="L149" s="2" t="s">
        <v>65</v>
      </c>
      <c r="M149" s="1" t="s">
        <v>2110</v>
      </c>
      <c r="N149" s="1" t="s">
        <v>2111</v>
      </c>
      <c r="O149" s="2" t="s">
        <v>1301</v>
      </c>
      <c r="Q149" s="2" t="s">
        <v>68</v>
      </c>
      <c r="R149" s="2" t="s">
        <v>1190</v>
      </c>
      <c r="T149" s="2" t="s">
        <v>71</v>
      </c>
      <c r="U149" s="3">
        <v>2</v>
      </c>
      <c r="V149" s="3">
        <v>2</v>
      </c>
      <c r="W149" s="4" t="s">
        <v>2112</v>
      </c>
      <c r="X149" s="4" t="s">
        <v>2112</v>
      </c>
      <c r="Y149" s="4" t="s">
        <v>2113</v>
      </c>
      <c r="Z149" s="4" t="s">
        <v>2113</v>
      </c>
      <c r="AA149" s="3">
        <v>322</v>
      </c>
      <c r="AB149" s="3">
        <v>267</v>
      </c>
      <c r="AC149" s="3">
        <v>267</v>
      </c>
      <c r="AD149" s="3">
        <v>1</v>
      </c>
      <c r="AE149" s="3">
        <v>1</v>
      </c>
      <c r="AF149" s="3">
        <v>11</v>
      </c>
      <c r="AG149" s="3">
        <v>11</v>
      </c>
      <c r="AH149" s="3">
        <v>4</v>
      </c>
      <c r="AI149" s="3">
        <v>4</v>
      </c>
      <c r="AJ149" s="3">
        <v>5</v>
      </c>
      <c r="AK149" s="3">
        <v>5</v>
      </c>
      <c r="AL149" s="3">
        <v>7</v>
      </c>
      <c r="AM149" s="3">
        <v>7</v>
      </c>
      <c r="AN149" s="3">
        <v>0</v>
      </c>
      <c r="AO149" s="3">
        <v>0</v>
      </c>
      <c r="AP149" s="3">
        <v>0</v>
      </c>
      <c r="AQ149" s="3">
        <v>0</v>
      </c>
      <c r="AR149" s="2" t="s">
        <v>63</v>
      </c>
      <c r="AS149" s="2" t="s">
        <v>63</v>
      </c>
      <c r="AU149" s="5" t="str">
        <f>HYPERLINK("https://creighton-primo.hosted.exlibrisgroup.com/primo-explore/search?tab=default_tab&amp;search_scope=EVERYTHING&amp;vid=01CRU&amp;lang=en_US&amp;offset=0&amp;query=any,contains,991001335819702656","Catalog Record")</f>
        <v>Catalog Record</v>
      </c>
      <c r="AV149" s="5" t="str">
        <f>HYPERLINK("http://www.worldcat.org/oclc/18351540","WorldCat Record")</f>
        <v>WorldCat Record</v>
      </c>
      <c r="AW149" s="2" t="s">
        <v>2114</v>
      </c>
      <c r="AX149" s="2" t="s">
        <v>2115</v>
      </c>
      <c r="AY149" s="2" t="s">
        <v>2116</v>
      </c>
      <c r="AZ149" s="2" t="s">
        <v>2116</v>
      </c>
      <c r="BA149" s="2" t="s">
        <v>2117</v>
      </c>
      <c r="BB149" s="2" t="s">
        <v>79</v>
      </c>
      <c r="BD149" s="2" t="s">
        <v>2118</v>
      </c>
      <c r="BE149" s="2" t="s">
        <v>2119</v>
      </c>
      <c r="BF149" s="2" t="s">
        <v>2120</v>
      </c>
    </row>
    <row r="150" spans="1:58" ht="39.75" customHeight="1">
      <c r="A150" s="1"/>
      <c r="B150" s="1" t="s">
        <v>58</v>
      </c>
      <c r="C150" s="1" t="s">
        <v>59</v>
      </c>
      <c r="D150" s="1" t="s">
        <v>2121</v>
      </c>
      <c r="E150" s="1" t="s">
        <v>2122</v>
      </c>
      <c r="F150" s="1" t="s">
        <v>2123</v>
      </c>
      <c r="H150" s="2" t="s">
        <v>63</v>
      </c>
      <c r="I150" s="2" t="s">
        <v>64</v>
      </c>
      <c r="J150" s="2" t="s">
        <v>63</v>
      </c>
      <c r="K150" s="2" t="s">
        <v>74</v>
      </c>
      <c r="L150" s="2" t="s">
        <v>65</v>
      </c>
      <c r="N150" s="1" t="s">
        <v>2124</v>
      </c>
      <c r="O150" s="2" t="s">
        <v>598</v>
      </c>
      <c r="P150" s="1" t="s">
        <v>529</v>
      </c>
      <c r="Q150" s="2" t="s">
        <v>68</v>
      </c>
      <c r="R150" s="2" t="s">
        <v>167</v>
      </c>
      <c r="S150" s="1" t="s">
        <v>2125</v>
      </c>
      <c r="T150" s="2" t="s">
        <v>71</v>
      </c>
      <c r="U150" s="3">
        <v>44</v>
      </c>
      <c r="V150" s="3">
        <v>44</v>
      </c>
      <c r="W150" s="4" t="s">
        <v>815</v>
      </c>
      <c r="X150" s="4" t="s">
        <v>815</v>
      </c>
      <c r="Y150" s="4" t="s">
        <v>2126</v>
      </c>
      <c r="Z150" s="4" t="s">
        <v>2126</v>
      </c>
      <c r="AA150" s="3">
        <v>315</v>
      </c>
      <c r="AB150" s="3">
        <v>291</v>
      </c>
      <c r="AC150" s="3">
        <v>1279</v>
      </c>
      <c r="AD150" s="3">
        <v>2</v>
      </c>
      <c r="AE150" s="3">
        <v>12</v>
      </c>
      <c r="AF150" s="3">
        <v>7</v>
      </c>
      <c r="AG150" s="3">
        <v>40</v>
      </c>
      <c r="AH150" s="3">
        <v>2</v>
      </c>
      <c r="AI150" s="3">
        <v>15</v>
      </c>
      <c r="AJ150" s="3">
        <v>2</v>
      </c>
      <c r="AK150" s="3">
        <v>9</v>
      </c>
      <c r="AL150" s="3">
        <v>4</v>
      </c>
      <c r="AM150" s="3">
        <v>15</v>
      </c>
      <c r="AN150" s="3">
        <v>0</v>
      </c>
      <c r="AO150" s="3">
        <v>8</v>
      </c>
      <c r="AP150" s="3">
        <v>1</v>
      </c>
      <c r="AQ150" s="3">
        <v>1</v>
      </c>
      <c r="AR150" s="2" t="s">
        <v>63</v>
      </c>
      <c r="AS150" s="2" t="s">
        <v>74</v>
      </c>
      <c r="AT150" s="5" t="str">
        <f>HYPERLINK("http://catalog.hathitrust.org/Record/002893466","HathiTrust Record")</f>
        <v>HathiTrust Record</v>
      </c>
      <c r="AU150" s="5" t="str">
        <f>HYPERLINK("https://creighton-primo.hosted.exlibrisgroup.com/primo-explore/search?tab=default_tab&amp;search_scope=EVERYTHING&amp;vid=01CRU&amp;lang=en_US&amp;offset=0&amp;query=any,contains,991002255229702656","Catalog Record")</f>
        <v>Catalog Record</v>
      </c>
      <c r="AV150" s="5" t="str">
        <f>HYPERLINK("http://www.worldcat.org/oclc/29220656","WorldCat Record")</f>
        <v>WorldCat Record</v>
      </c>
      <c r="AW150" s="2" t="s">
        <v>2127</v>
      </c>
      <c r="AX150" s="2" t="s">
        <v>2128</v>
      </c>
      <c r="AY150" s="2" t="s">
        <v>2129</v>
      </c>
      <c r="AZ150" s="2" t="s">
        <v>2129</v>
      </c>
      <c r="BA150" s="2" t="s">
        <v>2130</v>
      </c>
      <c r="BB150" s="2" t="s">
        <v>79</v>
      </c>
      <c r="BD150" s="2" t="s">
        <v>2131</v>
      </c>
      <c r="BE150" s="2" t="s">
        <v>2132</v>
      </c>
      <c r="BF150" s="2" t="s">
        <v>2133</v>
      </c>
    </row>
    <row r="151" spans="1:58" ht="39.75" customHeight="1">
      <c r="A151" s="1"/>
      <c r="B151" s="1" t="s">
        <v>58</v>
      </c>
      <c r="C151" s="1" t="s">
        <v>59</v>
      </c>
      <c r="D151" s="1" t="s">
        <v>2134</v>
      </c>
      <c r="E151" s="1" t="s">
        <v>2135</v>
      </c>
      <c r="F151" s="1" t="s">
        <v>2136</v>
      </c>
      <c r="H151" s="2" t="s">
        <v>63</v>
      </c>
      <c r="I151" s="2" t="s">
        <v>64</v>
      </c>
      <c r="J151" s="2" t="s">
        <v>63</v>
      </c>
      <c r="K151" s="2" t="s">
        <v>63</v>
      </c>
      <c r="L151" s="2" t="s">
        <v>65</v>
      </c>
      <c r="M151" s="1" t="s">
        <v>2137</v>
      </c>
      <c r="N151" s="1" t="s">
        <v>2138</v>
      </c>
      <c r="O151" s="2" t="s">
        <v>254</v>
      </c>
      <c r="Q151" s="2" t="s">
        <v>68</v>
      </c>
      <c r="R151" s="2" t="s">
        <v>181</v>
      </c>
      <c r="S151" s="1" t="s">
        <v>2139</v>
      </c>
      <c r="T151" s="2" t="s">
        <v>71</v>
      </c>
      <c r="U151" s="3">
        <v>7</v>
      </c>
      <c r="V151" s="3">
        <v>7</v>
      </c>
      <c r="W151" s="4" t="s">
        <v>2140</v>
      </c>
      <c r="X151" s="4" t="s">
        <v>2140</v>
      </c>
      <c r="Y151" s="4" t="s">
        <v>2141</v>
      </c>
      <c r="Z151" s="4" t="s">
        <v>2141</v>
      </c>
      <c r="AA151" s="3">
        <v>166</v>
      </c>
      <c r="AB151" s="3">
        <v>157</v>
      </c>
      <c r="AC151" s="3">
        <v>157</v>
      </c>
      <c r="AD151" s="3">
        <v>1</v>
      </c>
      <c r="AE151" s="3">
        <v>1</v>
      </c>
      <c r="AF151" s="3">
        <v>5</v>
      </c>
      <c r="AG151" s="3">
        <v>5</v>
      </c>
      <c r="AH151" s="3">
        <v>0</v>
      </c>
      <c r="AI151" s="3">
        <v>0</v>
      </c>
      <c r="AJ151" s="3">
        <v>2</v>
      </c>
      <c r="AK151" s="3">
        <v>2</v>
      </c>
      <c r="AL151" s="3">
        <v>4</v>
      </c>
      <c r="AM151" s="3">
        <v>4</v>
      </c>
      <c r="AN151" s="3">
        <v>0</v>
      </c>
      <c r="AO151" s="3">
        <v>0</v>
      </c>
      <c r="AP151" s="3">
        <v>0</v>
      </c>
      <c r="AQ151" s="3">
        <v>0</v>
      </c>
      <c r="AR151" s="2" t="s">
        <v>63</v>
      </c>
      <c r="AS151" s="2" t="s">
        <v>63</v>
      </c>
      <c r="AU151" s="5" t="str">
        <f>HYPERLINK("https://creighton-primo.hosted.exlibrisgroup.com/primo-explore/search?tab=default_tab&amp;search_scope=EVERYTHING&amp;vid=01CRU&amp;lang=en_US&amp;offset=0&amp;query=any,contains,991001932729702656","Catalog Record")</f>
        <v>Catalog Record</v>
      </c>
      <c r="AV151" s="5" t="str">
        <f>HYPERLINK("http://www.worldcat.org/oclc/24394803","WorldCat Record")</f>
        <v>WorldCat Record</v>
      </c>
      <c r="AW151" s="2" t="s">
        <v>2142</v>
      </c>
      <c r="AX151" s="2" t="s">
        <v>2143</v>
      </c>
      <c r="AY151" s="2" t="s">
        <v>2144</v>
      </c>
      <c r="AZ151" s="2" t="s">
        <v>2144</v>
      </c>
      <c r="BA151" s="2" t="s">
        <v>2145</v>
      </c>
      <c r="BB151" s="2" t="s">
        <v>79</v>
      </c>
      <c r="BD151" s="2" t="s">
        <v>2146</v>
      </c>
      <c r="BE151" s="2" t="s">
        <v>2147</v>
      </c>
      <c r="BF151" s="2" t="s">
        <v>2148</v>
      </c>
    </row>
    <row r="152" spans="1:58" ht="39.75" customHeight="1">
      <c r="A152" s="1"/>
      <c r="B152" s="1" t="s">
        <v>58</v>
      </c>
      <c r="C152" s="1" t="s">
        <v>59</v>
      </c>
      <c r="D152" s="1" t="s">
        <v>2149</v>
      </c>
      <c r="E152" s="1" t="s">
        <v>2150</v>
      </c>
      <c r="F152" s="1" t="s">
        <v>2151</v>
      </c>
      <c r="H152" s="2" t="s">
        <v>63</v>
      </c>
      <c r="I152" s="2" t="s">
        <v>64</v>
      </c>
      <c r="J152" s="2" t="s">
        <v>63</v>
      </c>
      <c r="K152" s="2" t="s">
        <v>63</v>
      </c>
      <c r="L152" s="2" t="s">
        <v>65</v>
      </c>
      <c r="N152" s="1" t="s">
        <v>2152</v>
      </c>
      <c r="O152" s="2" t="s">
        <v>655</v>
      </c>
      <c r="Q152" s="2" t="s">
        <v>68</v>
      </c>
      <c r="R152" s="2" t="s">
        <v>628</v>
      </c>
      <c r="T152" s="2" t="s">
        <v>71</v>
      </c>
      <c r="U152" s="3">
        <v>2</v>
      </c>
      <c r="V152" s="3">
        <v>2</v>
      </c>
      <c r="W152" s="4" t="s">
        <v>2153</v>
      </c>
      <c r="X152" s="4" t="s">
        <v>2153</v>
      </c>
      <c r="Y152" s="4" t="s">
        <v>2154</v>
      </c>
      <c r="Z152" s="4" t="s">
        <v>2154</v>
      </c>
      <c r="AA152" s="3">
        <v>258</v>
      </c>
      <c r="AB152" s="3">
        <v>243</v>
      </c>
      <c r="AC152" s="3">
        <v>248</v>
      </c>
      <c r="AD152" s="3">
        <v>2</v>
      </c>
      <c r="AE152" s="3">
        <v>2</v>
      </c>
      <c r="AF152" s="3">
        <v>10</v>
      </c>
      <c r="AG152" s="3">
        <v>10</v>
      </c>
      <c r="AH152" s="3">
        <v>4</v>
      </c>
      <c r="AI152" s="3">
        <v>4</v>
      </c>
      <c r="AJ152" s="3">
        <v>0</v>
      </c>
      <c r="AK152" s="3">
        <v>0</v>
      </c>
      <c r="AL152" s="3">
        <v>6</v>
      </c>
      <c r="AM152" s="3">
        <v>6</v>
      </c>
      <c r="AN152" s="3">
        <v>1</v>
      </c>
      <c r="AO152" s="3">
        <v>1</v>
      </c>
      <c r="AP152" s="3">
        <v>0</v>
      </c>
      <c r="AQ152" s="3">
        <v>0</v>
      </c>
      <c r="AR152" s="2" t="s">
        <v>63</v>
      </c>
      <c r="AS152" s="2" t="s">
        <v>63</v>
      </c>
      <c r="AU152" s="5" t="str">
        <f>HYPERLINK("https://creighton-primo.hosted.exlibrisgroup.com/primo-explore/search?tab=default_tab&amp;search_scope=EVERYTHING&amp;vid=01CRU&amp;lang=en_US&amp;offset=0&amp;query=any,contains,991003239079702656","Catalog Record")</f>
        <v>Catalog Record</v>
      </c>
      <c r="AV152" s="5" t="str">
        <f>HYPERLINK("http://www.worldcat.org/oclc/41319959","WorldCat Record")</f>
        <v>WorldCat Record</v>
      </c>
      <c r="AW152" s="2" t="s">
        <v>2155</v>
      </c>
      <c r="AX152" s="2" t="s">
        <v>2156</v>
      </c>
      <c r="AY152" s="2" t="s">
        <v>2157</v>
      </c>
      <c r="AZ152" s="2" t="s">
        <v>2157</v>
      </c>
      <c r="BA152" s="2" t="s">
        <v>2158</v>
      </c>
      <c r="BB152" s="2" t="s">
        <v>79</v>
      </c>
      <c r="BD152" s="2" t="s">
        <v>2159</v>
      </c>
      <c r="BE152" s="2" t="s">
        <v>2160</v>
      </c>
      <c r="BF152" s="2" t="s">
        <v>2161</v>
      </c>
    </row>
    <row r="153" spans="1:58" ht="39.75" customHeight="1">
      <c r="A153" s="1"/>
      <c r="B153" s="1" t="s">
        <v>58</v>
      </c>
      <c r="C153" s="1" t="s">
        <v>59</v>
      </c>
      <c r="D153" s="1" t="s">
        <v>2162</v>
      </c>
      <c r="E153" s="1" t="s">
        <v>2163</v>
      </c>
      <c r="F153" s="1" t="s">
        <v>2164</v>
      </c>
      <c r="H153" s="2" t="s">
        <v>63</v>
      </c>
      <c r="I153" s="2" t="s">
        <v>64</v>
      </c>
      <c r="J153" s="2" t="s">
        <v>63</v>
      </c>
      <c r="K153" s="2" t="s">
        <v>63</v>
      </c>
      <c r="L153" s="2" t="s">
        <v>65</v>
      </c>
      <c r="N153" s="1" t="s">
        <v>2165</v>
      </c>
      <c r="O153" s="2" t="s">
        <v>740</v>
      </c>
      <c r="Q153" s="2" t="s">
        <v>68</v>
      </c>
      <c r="R153" s="2" t="s">
        <v>181</v>
      </c>
      <c r="S153" s="1" t="s">
        <v>2166</v>
      </c>
      <c r="T153" s="2" t="s">
        <v>71</v>
      </c>
      <c r="U153" s="3">
        <v>2</v>
      </c>
      <c r="V153" s="3">
        <v>2</v>
      </c>
      <c r="W153" s="4" t="s">
        <v>2167</v>
      </c>
      <c r="X153" s="4" t="s">
        <v>2167</v>
      </c>
      <c r="Y153" s="4" t="s">
        <v>2061</v>
      </c>
      <c r="Z153" s="4" t="s">
        <v>2061</v>
      </c>
      <c r="AA153" s="3">
        <v>331</v>
      </c>
      <c r="AB153" s="3">
        <v>291</v>
      </c>
      <c r="AC153" s="3">
        <v>292</v>
      </c>
      <c r="AD153" s="3">
        <v>2</v>
      </c>
      <c r="AE153" s="3">
        <v>2</v>
      </c>
      <c r="AF153" s="3">
        <v>10</v>
      </c>
      <c r="AG153" s="3">
        <v>10</v>
      </c>
      <c r="AH153" s="3">
        <v>2</v>
      </c>
      <c r="AI153" s="3">
        <v>2</v>
      </c>
      <c r="AJ153" s="3">
        <v>2</v>
      </c>
      <c r="AK153" s="3">
        <v>2</v>
      </c>
      <c r="AL153" s="3">
        <v>5</v>
      </c>
      <c r="AM153" s="3">
        <v>5</v>
      </c>
      <c r="AN153" s="3">
        <v>1</v>
      </c>
      <c r="AO153" s="3">
        <v>1</v>
      </c>
      <c r="AP153" s="3">
        <v>3</v>
      </c>
      <c r="AQ153" s="3">
        <v>3</v>
      </c>
      <c r="AR153" s="2" t="s">
        <v>63</v>
      </c>
      <c r="AS153" s="2" t="s">
        <v>74</v>
      </c>
      <c r="AT153" s="5" t="str">
        <f>HYPERLINK("http://catalog.hathitrust.org/Record/000824833","HathiTrust Record")</f>
        <v>HathiTrust Record</v>
      </c>
      <c r="AU153" s="5" t="str">
        <f>HYPERLINK("https://creighton-primo.hosted.exlibrisgroup.com/primo-explore/search?tab=default_tab&amp;search_scope=EVERYTHING&amp;vid=01CRU&amp;lang=en_US&amp;offset=0&amp;query=any,contains,991001012589702656","Catalog Record")</f>
        <v>Catalog Record</v>
      </c>
      <c r="AV153" s="5" t="str">
        <f>HYPERLINK("http://www.worldcat.org/oclc/15288369","WorldCat Record")</f>
        <v>WorldCat Record</v>
      </c>
      <c r="AW153" s="2" t="s">
        <v>2168</v>
      </c>
      <c r="AX153" s="2" t="s">
        <v>2169</v>
      </c>
      <c r="AY153" s="2" t="s">
        <v>2170</v>
      </c>
      <c r="AZ153" s="2" t="s">
        <v>2170</v>
      </c>
      <c r="BA153" s="2" t="s">
        <v>2171</v>
      </c>
      <c r="BB153" s="2" t="s">
        <v>79</v>
      </c>
      <c r="BD153" s="2" t="s">
        <v>2172</v>
      </c>
      <c r="BE153" s="2" t="s">
        <v>2173</v>
      </c>
      <c r="BF153" s="2" t="s">
        <v>2174</v>
      </c>
    </row>
    <row r="154" spans="1:58" ht="39.75" customHeight="1">
      <c r="A154" s="1"/>
      <c r="B154" s="1" t="s">
        <v>58</v>
      </c>
      <c r="C154" s="1" t="s">
        <v>59</v>
      </c>
      <c r="D154" s="1" t="s">
        <v>2175</v>
      </c>
      <c r="E154" s="1" t="s">
        <v>2176</v>
      </c>
      <c r="F154" s="1" t="s">
        <v>2177</v>
      </c>
      <c r="H154" s="2" t="s">
        <v>63</v>
      </c>
      <c r="I154" s="2" t="s">
        <v>64</v>
      </c>
      <c r="J154" s="2" t="s">
        <v>63</v>
      </c>
      <c r="K154" s="2" t="s">
        <v>63</v>
      </c>
      <c r="L154" s="2" t="s">
        <v>65</v>
      </c>
      <c r="M154" s="1" t="s">
        <v>2178</v>
      </c>
      <c r="N154" s="1" t="s">
        <v>2179</v>
      </c>
      <c r="O154" s="2" t="s">
        <v>67</v>
      </c>
      <c r="Q154" s="2" t="s">
        <v>68</v>
      </c>
      <c r="R154" s="2" t="s">
        <v>2180</v>
      </c>
      <c r="T154" s="2" t="s">
        <v>71</v>
      </c>
      <c r="U154" s="3">
        <v>2</v>
      </c>
      <c r="V154" s="3">
        <v>2</v>
      </c>
      <c r="W154" s="4" t="s">
        <v>2181</v>
      </c>
      <c r="X154" s="4" t="s">
        <v>2181</v>
      </c>
      <c r="Y154" s="4" t="s">
        <v>2182</v>
      </c>
      <c r="Z154" s="4" t="s">
        <v>2182</v>
      </c>
      <c r="AA154" s="3">
        <v>275</v>
      </c>
      <c r="AB154" s="3">
        <v>216</v>
      </c>
      <c r="AC154" s="3">
        <v>542</v>
      </c>
      <c r="AD154" s="3">
        <v>1</v>
      </c>
      <c r="AE154" s="3">
        <v>2</v>
      </c>
      <c r="AF154" s="3">
        <v>8</v>
      </c>
      <c r="AG154" s="3">
        <v>10</v>
      </c>
      <c r="AH154" s="3">
        <v>0</v>
      </c>
      <c r="AI154" s="3">
        <v>1</v>
      </c>
      <c r="AJ154" s="3">
        <v>4</v>
      </c>
      <c r="AK154" s="3">
        <v>4</v>
      </c>
      <c r="AL154" s="3">
        <v>5</v>
      </c>
      <c r="AM154" s="3">
        <v>6</v>
      </c>
      <c r="AN154" s="3">
        <v>0</v>
      </c>
      <c r="AO154" s="3">
        <v>1</v>
      </c>
      <c r="AP154" s="3">
        <v>1</v>
      </c>
      <c r="AQ154" s="3">
        <v>1</v>
      </c>
      <c r="AR154" s="2" t="s">
        <v>63</v>
      </c>
      <c r="AS154" s="2" t="s">
        <v>63</v>
      </c>
      <c r="AU154" s="5" t="str">
        <f>HYPERLINK("https://creighton-primo.hosted.exlibrisgroup.com/primo-explore/search?tab=default_tab&amp;search_scope=EVERYTHING&amp;vid=01CRU&amp;lang=en_US&amp;offset=0&amp;query=any,contains,991002130399702656","Catalog Record")</f>
        <v>Catalog Record</v>
      </c>
      <c r="AV154" s="5" t="str">
        <f>HYPERLINK("http://www.worldcat.org/oclc/27267250","WorldCat Record")</f>
        <v>WorldCat Record</v>
      </c>
      <c r="AW154" s="2" t="s">
        <v>2183</v>
      </c>
      <c r="AX154" s="2" t="s">
        <v>2184</v>
      </c>
      <c r="AY154" s="2" t="s">
        <v>2185</v>
      </c>
      <c r="AZ154" s="2" t="s">
        <v>2185</v>
      </c>
      <c r="BA154" s="2" t="s">
        <v>2186</v>
      </c>
      <c r="BB154" s="2" t="s">
        <v>79</v>
      </c>
      <c r="BD154" s="2" t="s">
        <v>2187</v>
      </c>
      <c r="BE154" s="2" t="s">
        <v>2188</v>
      </c>
      <c r="BF154" s="2" t="s">
        <v>2189</v>
      </c>
    </row>
    <row r="155" spans="1:58" ht="39.75" customHeight="1">
      <c r="A155" s="1"/>
      <c r="B155" s="1" t="s">
        <v>58</v>
      </c>
      <c r="C155" s="1" t="s">
        <v>59</v>
      </c>
      <c r="D155" s="1" t="s">
        <v>2190</v>
      </c>
      <c r="E155" s="1" t="s">
        <v>2191</v>
      </c>
      <c r="F155" s="1" t="s">
        <v>2192</v>
      </c>
      <c r="H155" s="2" t="s">
        <v>63</v>
      </c>
      <c r="I155" s="2" t="s">
        <v>64</v>
      </c>
      <c r="J155" s="2" t="s">
        <v>63</v>
      </c>
      <c r="K155" s="2" t="s">
        <v>63</v>
      </c>
      <c r="L155" s="2" t="s">
        <v>65</v>
      </c>
      <c r="M155" s="1" t="s">
        <v>2193</v>
      </c>
      <c r="N155" s="1" t="s">
        <v>2194</v>
      </c>
      <c r="O155" s="2" t="s">
        <v>1048</v>
      </c>
      <c r="Q155" s="2" t="s">
        <v>68</v>
      </c>
      <c r="R155" s="2" t="s">
        <v>2195</v>
      </c>
      <c r="T155" s="2" t="s">
        <v>71</v>
      </c>
      <c r="U155" s="3">
        <v>5</v>
      </c>
      <c r="V155" s="3">
        <v>5</v>
      </c>
      <c r="W155" s="4" t="s">
        <v>2196</v>
      </c>
      <c r="X155" s="4" t="s">
        <v>2196</v>
      </c>
      <c r="Y155" s="4" t="s">
        <v>769</v>
      </c>
      <c r="Z155" s="4" t="s">
        <v>769</v>
      </c>
      <c r="AA155" s="3">
        <v>360</v>
      </c>
      <c r="AB155" s="3">
        <v>242</v>
      </c>
      <c r="AC155" s="3">
        <v>265</v>
      </c>
      <c r="AD155" s="3">
        <v>2</v>
      </c>
      <c r="AE155" s="3">
        <v>2</v>
      </c>
      <c r="AF155" s="3">
        <v>12</v>
      </c>
      <c r="AG155" s="3">
        <v>12</v>
      </c>
      <c r="AH155" s="3">
        <v>4</v>
      </c>
      <c r="AI155" s="3">
        <v>4</v>
      </c>
      <c r="AJ155" s="3">
        <v>5</v>
      </c>
      <c r="AK155" s="3">
        <v>5</v>
      </c>
      <c r="AL155" s="3">
        <v>4</v>
      </c>
      <c r="AM155" s="3">
        <v>4</v>
      </c>
      <c r="AN155" s="3">
        <v>1</v>
      </c>
      <c r="AO155" s="3">
        <v>1</v>
      </c>
      <c r="AP155" s="3">
        <v>1</v>
      </c>
      <c r="AQ155" s="3">
        <v>1</v>
      </c>
      <c r="AR155" s="2" t="s">
        <v>63</v>
      </c>
      <c r="AS155" s="2" t="s">
        <v>63</v>
      </c>
      <c r="AU155" s="5" t="str">
        <f>HYPERLINK("https://creighton-primo.hosted.exlibrisgroup.com/primo-explore/search?tab=default_tab&amp;search_scope=EVERYTHING&amp;vid=01CRU&amp;lang=en_US&amp;offset=0&amp;query=any,contains,991003893349702656","Catalog Record")</f>
        <v>Catalog Record</v>
      </c>
      <c r="AV155" s="5" t="str">
        <f>HYPERLINK("http://www.worldcat.org/oclc/46616036","WorldCat Record")</f>
        <v>WorldCat Record</v>
      </c>
      <c r="AW155" s="2" t="s">
        <v>2197</v>
      </c>
      <c r="AX155" s="2" t="s">
        <v>2198</v>
      </c>
      <c r="AY155" s="2" t="s">
        <v>2199</v>
      </c>
      <c r="AZ155" s="2" t="s">
        <v>2199</v>
      </c>
      <c r="BA155" s="2" t="s">
        <v>2200</v>
      </c>
      <c r="BB155" s="2" t="s">
        <v>79</v>
      </c>
      <c r="BD155" s="2" t="s">
        <v>2201</v>
      </c>
      <c r="BE155" s="2" t="s">
        <v>2202</v>
      </c>
      <c r="BF155" s="2" t="s">
        <v>2203</v>
      </c>
    </row>
    <row r="156" spans="1:58" ht="39.75" customHeight="1">
      <c r="A156" s="1"/>
      <c r="B156" s="1" t="s">
        <v>58</v>
      </c>
      <c r="C156" s="1" t="s">
        <v>59</v>
      </c>
      <c r="D156" s="1" t="s">
        <v>2204</v>
      </c>
      <c r="E156" s="1" t="s">
        <v>2205</v>
      </c>
      <c r="F156" s="1" t="s">
        <v>2206</v>
      </c>
      <c r="H156" s="2" t="s">
        <v>63</v>
      </c>
      <c r="I156" s="2" t="s">
        <v>64</v>
      </c>
      <c r="J156" s="2" t="s">
        <v>63</v>
      </c>
      <c r="K156" s="2" t="s">
        <v>63</v>
      </c>
      <c r="L156" s="2" t="s">
        <v>65</v>
      </c>
      <c r="M156" s="1" t="s">
        <v>2207</v>
      </c>
      <c r="N156" s="1" t="s">
        <v>2208</v>
      </c>
      <c r="O156" s="2" t="s">
        <v>121</v>
      </c>
      <c r="Q156" s="2" t="s">
        <v>68</v>
      </c>
      <c r="R156" s="2" t="s">
        <v>500</v>
      </c>
      <c r="T156" s="2" t="s">
        <v>71</v>
      </c>
      <c r="U156" s="3">
        <v>2</v>
      </c>
      <c r="V156" s="3">
        <v>2</v>
      </c>
      <c r="W156" s="4" t="s">
        <v>2209</v>
      </c>
      <c r="X156" s="4" t="s">
        <v>2209</v>
      </c>
      <c r="Y156" s="4" t="s">
        <v>2061</v>
      </c>
      <c r="Z156" s="4" t="s">
        <v>2061</v>
      </c>
      <c r="AA156" s="3">
        <v>184</v>
      </c>
      <c r="AB156" s="3">
        <v>174</v>
      </c>
      <c r="AC156" s="3">
        <v>177</v>
      </c>
      <c r="AD156" s="3">
        <v>2</v>
      </c>
      <c r="AE156" s="3">
        <v>2</v>
      </c>
      <c r="AF156" s="3">
        <v>4</v>
      </c>
      <c r="AG156" s="3">
        <v>4</v>
      </c>
      <c r="AH156" s="3">
        <v>1</v>
      </c>
      <c r="AI156" s="3">
        <v>1</v>
      </c>
      <c r="AJ156" s="3">
        <v>0</v>
      </c>
      <c r="AK156" s="3">
        <v>0</v>
      </c>
      <c r="AL156" s="3">
        <v>2</v>
      </c>
      <c r="AM156" s="3">
        <v>2</v>
      </c>
      <c r="AN156" s="3">
        <v>1</v>
      </c>
      <c r="AO156" s="3">
        <v>1</v>
      </c>
      <c r="AP156" s="3">
        <v>0</v>
      </c>
      <c r="AQ156" s="3">
        <v>0</v>
      </c>
      <c r="AR156" s="2" t="s">
        <v>63</v>
      </c>
      <c r="AS156" s="2" t="s">
        <v>74</v>
      </c>
      <c r="AT156" s="5" t="str">
        <f>HYPERLINK("http://catalog.hathitrust.org/Record/000297012","HathiTrust Record")</f>
        <v>HathiTrust Record</v>
      </c>
      <c r="AU156" s="5" t="str">
        <f>HYPERLINK("https://creighton-primo.hosted.exlibrisgroup.com/primo-explore/search?tab=default_tab&amp;search_scope=EVERYTHING&amp;vid=01CRU&amp;lang=en_US&amp;offset=0&amp;query=any,contains,991004708289702656","Catalog Record")</f>
        <v>Catalog Record</v>
      </c>
      <c r="AV156" s="5" t="str">
        <f>HYPERLINK("http://www.worldcat.org/oclc/4732406","WorldCat Record")</f>
        <v>WorldCat Record</v>
      </c>
      <c r="AW156" s="2" t="s">
        <v>2210</v>
      </c>
      <c r="AX156" s="2" t="s">
        <v>2211</v>
      </c>
      <c r="AY156" s="2" t="s">
        <v>2212</v>
      </c>
      <c r="AZ156" s="2" t="s">
        <v>2212</v>
      </c>
      <c r="BA156" s="2" t="s">
        <v>2213</v>
      </c>
      <c r="BB156" s="2" t="s">
        <v>79</v>
      </c>
      <c r="BD156" s="2" t="s">
        <v>2214</v>
      </c>
      <c r="BE156" s="2" t="s">
        <v>2215</v>
      </c>
      <c r="BF156" s="2" t="s">
        <v>2216</v>
      </c>
    </row>
    <row r="157" spans="1:58" ht="39.75" customHeight="1">
      <c r="A157" s="1"/>
      <c r="B157" s="1" t="s">
        <v>58</v>
      </c>
      <c r="C157" s="1" t="s">
        <v>59</v>
      </c>
      <c r="D157" s="1" t="s">
        <v>2217</v>
      </c>
      <c r="E157" s="1" t="s">
        <v>2218</v>
      </c>
      <c r="F157" s="1" t="s">
        <v>2219</v>
      </c>
      <c r="H157" s="2" t="s">
        <v>63</v>
      </c>
      <c r="I157" s="2" t="s">
        <v>64</v>
      </c>
      <c r="J157" s="2" t="s">
        <v>74</v>
      </c>
      <c r="K157" s="2" t="s">
        <v>63</v>
      </c>
      <c r="L157" s="2" t="s">
        <v>65</v>
      </c>
      <c r="N157" s="1" t="s">
        <v>2220</v>
      </c>
      <c r="O157" s="2" t="s">
        <v>166</v>
      </c>
      <c r="Q157" s="2" t="s">
        <v>68</v>
      </c>
      <c r="R157" s="2" t="s">
        <v>106</v>
      </c>
      <c r="T157" s="2" t="s">
        <v>71</v>
      </c>
      <c r="U157" s="3">
        <v>8</v>
      </c>
      <c r="V157" s="3">
        <v>8</v>
      </c>
      <c r="W157" s="4" t="s">
        <v>2221</v>
      </c>
      <c r="X157" s="4" t="s">
        <v>2221</v>
      </c>
      <c r="Y157" s="4" t="s">
        <v>2222</v>
      </c>
      <c r="Z157" s="4" t="s">
        <v>2222</v>
      </c>
      <c r="AA157" s="3">
        <v>422</v>
      </c>
      <c r="AB157" s="3">
        <v>404</v>
      </c>
      <c r="AC157" s="3">
        <v>411</v>
      </c>
      <c r="AD157" s="3">
        <v>5</v>
      </c>
      <c r="AE157" s="3">
        <v>5</v>
      </c>
      <c r="AF157" s="3">
        <v>14</v>
      </c>
      <c r="AG157" s="3">
        <v>14</v>
      </c>
      <c r="AH157" s="3">
        <v>2</v>
      </c>
      <c r="AI157" s="3">
        <v>2</v>
      </c>
      <c r="AJ157" s="3">
        <v>3</v>
      </c>
      <c r="AK157" s="3">
        <v>3</v>
      </c>
      <c r="AL157" s="3">
        <v>8</v>
      </c>
      <c r="AM157" s="3">
        <v>8</v>
      </c>
      <c r="AN157" s="3">
        <v>3</v>
      </c>
      <c r="AO157" s="3">
        <v>3</v>
      </c>
      <c r="AP157" s="3">
        <v>0</v>
      </c>
      <c r="AQ157" s="3">
        <v>0</v>
      </c>
      <c r="AR157" s="2" t="s">
        <v>63</v>
      </c>
      <c r="AS157" s="2" t="s">
        <v>74</v>
      </c>
      <c r="AT157" s="5" t="str">
        <f>HYPERLINK("http://catalog.hathitrust.org/Record/000937747","HathiTrust Record")</f>
        <v>HathiTrust Record</v>
      </c>
      <c r="AU157" s="5" t="str">
        <f>HYPERLINK("https://creighton-primo.hosted.exlibrisgroup.com/primo-explore/search?tab=default_tab&amp;search_scope=EVERYTHING&amp;vid=01CRU&amp;lang=en_US&amp;offset=0&amp;query=any,contains,991001262319702656","Catalog Record")</f>
        <v>Catalog Record</v>
      </c>
      <c r="AV157" s="5" t="str">
        <f>HYPERLINK("http://www.worldcat.org/oclc/17774299","WorldCat Record")</f>
        <v>WorldCat Record</v>
      </c>
      <c r="AW157" s="2" t="s">
        <v>2223</v>
      </c>
      <c r="AX157" s="2" t="s">
        <v>2224</v>
      </c>
      <c r="AY157" s="2" t="s">
        <v>2225</v>
      </c>
      <c r="AZ157" s="2" t="s">
        <v>2225</v>
      </c>
      <c r="BA157" s="2" t="s">
        <v>2226</v>
      </c>
      <c r="BB157" s="2" t="s">
        <v>79</v>
      </c>
      <c r="BD157" s="2" t="s">
        <v>2227</v>
      </c>
      <c r="BE157" s="2" t="s">
        <v>2228</v>
      </c>
      <c r="BF157" s="2" t="s">
        <v>2229</v>
      </c>
    </row>
    <row r="158" spans="1:58" ht="39.75" customHeight="1">
      <c r="A158" s="1"/>
      <c r="B158" s="1" t="s">
        <v>58</v>
      </c>
      <c r="C158" s="1" t="s">
        <v>59</v>
      </c>
      <c r="D158" s="1" t="s">
        <v>2230</v>
      </c>
      <c r="E158" s="1" t="s">
        <v>2231</v>
      </c>
      <c r="F158" s="1" t="s">
        <v>2232</v>
      </c>
      <c r="H158" s="2" t="s">
        <v>63</v>
      </c>
      <c r="I158" s="2" t="s">
        <v>64</v>
      </c>
      <c r="J158" s="2" t="s">
        <v>63</v>
      </c>
      <c r="K158" s="2" t="s">
        <v>63</v>
      </c>
      <c r="L158" s="2" t="s">
        <v>65</v>
      </c>
      <c r="M158" s="1" t="s">
        <v>2233</v>
      </c>
      <c r="N158" s="1" t="s">
        <v>2234</v>
      </c>
      <c r="O158" s="2" t="s">
        <v>726</v>
      </c>
      <c r="Q158" s="2" t="s">
        <v>68</v>
      </c>
      <c r="R158" s="2" t="s">
        <v>799</v>
      </c>
      <c r="T158" s="2" t="s">
        <v>71</v>
      </c>
      <c r="U158" s="3">
        <v>4</v>
      </c>
      <c r="V158" s="3">
        <v>4</v>
      </c>
      <c r="W158" s="4" t="s">
        <v>2235</v>
      </c>
      <c r="X158" s="4" t="s">
        <v>2235</v>
      </c>
      <c r="Y158" s="4" t="s">
        <v>2061</v>
      </c>
      <c r="Z158" s="4" t="s">
        <v>2061</v>
      </c>
      <c r="AA158" s="3">
        <v>68</v>
      </c>
      <c r="AB158" s="3">
        <v>57</v>
      </c>
      <c r="AC158" s="3">
        <v>57</v>
      </c>
      <c r="AD158" s="3">
        <v>2</v>
      </c>
      <c r="AE158" s="3">
        <v>2</v>
      </c>
      <c r="AF158" s="3">
        <v>2</v>
      </c>
      <c r="AG158" s="3">
        <v>2</v>
      </c>
      <c r="AH158" s="3">
        <v>0</v>
      </c>
      <c r="AI158" s="3">
        <v>0</v>
      </c>
      <c r="AJ158" s="3">
        <v>1</v>
      </c>
      <c r="AK158" s="3">
        <v>1</v>
      </c>
      <c r="AL158" s="3">
        <v>1</v>
      </c>
      <c r="AM158" s="3">
        <v>1</v>
      </c>
      <c r="AN158" s="3">
        <v>1</v>
      </c>
      <c r="AO158" s="3">
        <v>1</v>
      </c>
      <c r="AP158" s="3">
        <v>0</v>
      </c>
      <c r="AQ158" s="3">
        <v>0</v>
      </c>
      <c r="AR158" s="2" t="s">
        <v>63</v>
      </c>
      <c r="AS158" s="2" t="s">
        <v>63</v>
      </c>
      <c r="AU158" s="5" t="str">
        <f>HYPERLINK("https://creighton-primo.hosted.exlibrisgroup.com/primo-explore/search?tab=default_tab&amp;search_scope=EVERYTHING&amp;vid=01CRU&amp;lang=en_US&amp;offset=0&amp;query=any,contains,991004091639702656","Catalog Record")</f>
        <v>Catalog Record</v>
      </c>
      <c r="AV158" s="5" t="str">
        <f>HYPERLINK("http://www.worldcat.org/oclc/2345878","WorldCat Record")</f>
        <v>WorldCat Record</v>
      </c>
      <c r="AW158" s="2" t="s">
        <v>2236</v>
      </c>
      <c r="AX158" s="2" t="s">
        <v>2237</v>
      </c>
      <c r="AY158" s="2" t="s">
        <v>2238</v>
      </c>
      <c r="AZ158" s="2" t="s">
        <v>2238</v>
      </c>
      <c r="BA158" s="2" t="s">
        <v>2239</v>
      </c>
      <c r="BB158" s="2" t="s">
        <v>79</v>
      </c>
      <c r="BD158" s="2" t="s">
        <v>2240</v>
      </c>
      <c r="BE158" s="2" t="s">
        <v>2241</v>
      </c>
      <c r="BF158" s="2" t="s">
        <v>2242</v>
      </c>
    </row>
    <row r="159" spans="1:58" ht="39.75" customHeight="1">
      <c r="A159" s="1"/>
      <c r="B159" s="1" t="s">
        <v>58</v>
      </c>
      <c r="C159" s="1" t="s">
        <v>59</v>
      </c>
      <c r="D159" s="1" t="s">
        <v>2243</v>
      </c>
      <c r="E159" s="1" t="s">
        <v>2244</v>
      </c>
      <c r="F159" s="1" t="s">
        <v>2245</v>
      </c>
      <c r="H159" s="2" t="s">
        <v>63</v>
      </c>
      <c r="I159" s="2" t="s">
        <v>64</v>
      </c>
      <c r="J159" s="2" t="s">
        <v>63</v>
      </c>
      <c r="K159" s="2" t="s">
        <v>63</v>
      </c>
      <c r="L159" s="2" t="s">
        <v>65</v>
      </c>
      <c r="M159" s="1" t="s">
        <v>2246</v>
      </c>
      <c r="N159" s="1" t="s">
        <v>2247</v>
      </c>
      <c r="O159" s="2" t="s">
        <v>67</v>
      </c>
      <c r="Q159" s="2" t="s">
        <v>2248</v>
      </c>
      <c r="R159" s="2" t="s">
        <v>2249</v>
      </c>
      <c r="T159" s="2" t="s">
        <v>71</v>
      </c>
      <c r="U159" s="3">
        <v>0</v>
      </c>
      <c r="V159" s="3">
        <v>0</v>
      </c>
      <c r="W159" s="4" t="s">
        <v>2250</v>
      </c>
      <c r="X159" s="4" t="s">
        <v>2250</v>
      </c>
      <c r="Y159" s="4" t="s">
        <v>2251</v>
      </c>
      <c r="Z159" s="4" t="s">
        <v>2251</v>
      </c>
      <c r="AA159" s="3">
        <v>22</v>
      </c>
      <c r="AB159" s="3">
        <v>20</v>
      </c>
      <c r="AC159" s="3">
        <v>24</v>
      </c>
      <c r="AD159" s="3">
        <v>1</v>
      </c>
      <c r="AE159" s="3">
        <v>1</v>
      </c>
      <c r="AF159" s="3">
        <v>1</v>
      </c>
      <c r="AG159" s="3">
        <v>1</v>
      </c>
      <c r="AH159" s="3">
        <v>0</v>
      </c>
      <c r="AI159" s="3">
        <v>0</v>
      </c>
      <c r="AJ159" s="3">
        <v>1</v>
      </c>
      <c r="AK159" s="3">
        <v>1</v>
      </c>
      <c r="AL159" s="3">
        <v>0</v>
      </c>
      <c r="AM159" s="3">
        <v>0</v>
      </c>
      <c r="AN159" s="3">
        <v>0</v>
      </c>
      <c r="AO159" s="3">
        <v>0</v>
      </c>
      <c r="AP159" s="3">
        <v>0</v>
      </c>
      <c r="AQ159" s="3">
        <v>0</v>
      </c>
      <c r="AR159" s="2" t="s">
        <v>63</v>
      </c>
      <c r="AS159" s="2" t="s">
        <v>74</v>
      </c>
      <c r="AT159" s="5" t="str">
        <f>HYPERLINK("http://catalog.hathitrust.org/Record/006930217","HathiTrust Record")</f>
        <v>HathiTrust Record</v>
      </c>
      <c r="AU159" s="5" t="str">
        <f>HYPERLINK("https://creighton-primo.hosted.exlibrisgroup.com/primo-explore/search?tab=default_tab&amp;search_scope=EVERYTHING&amp;vid=01CRU&amp;lang=en_US&amp;offset=0&amp;query=any,contains,991002358849702656","Catalog Record")</f>
        <v>Catalog Record</v>
      </c>
      <c r="AV159" s="5" t="str">
        <f>HYPERLINK("http://www.worldcat.org/oclc/30674061","WorldCat Record")</f>
        <v>WorldCat Record</v>
      </c>
      <c r="AW159" s="2" t="s">
        <v>2252</v>
      </c>
      <c r="AX159" s="2" t="s">
        <v>2253</v>
      </c>
      <c r="AY159" s="2" t="s">
        <v>2254</v>
      </c>
      <c r="AZ159" s="2" t="s">
        <v>2254</v>
      </c>
      <c r="BA159" s="2" t="s">
        <v>2255</v>
      </c>
      <c r="BB159" s="2" t="s">
        <v>79</v>
      </c>
      <c r="BE159" s="2" t="s">
        <v>2256</v>
      </c>
      <c r="BF159" s="2" t="s">
        <v>2257</v>
      </c>
    </row>
    <row r="160" spans="1:58" ht="39.75" customHeight="1">
      <c r="A160" s="1"/>
      <c r="B160" s="1" t="s">
        <v>58</v>
      </c>
      <c r="C160" s="1" t="s">
        <v>59</v>
      </c>
      <c r="D160" s="1" t="s">
        <v>2258</v>
      </c>
      <c r="E160" s="1" t="s">
        <v>2259</v>
      </c>
      <c r="F160" s="1" t="s">
        <v>2260</v>
      </c>
      <c r="H160" s="2" t="s">
        <v>63</v>
      </c>
      <c r="I160" s="2" t="s">
        <v>64</v>
      </c>
      <c r="J160" s="2" t="s">
        <v>63</v>
      </c>
      <c r="K160" s="2" t="s">
        <v>63</v>
      </c>
      <c r="L160" s="2" t="s">
        <v>65</v>
      </c>
      <c r="N160" s="1" t="s">
        <v>2261</v>
      </c>
      <c r="O160" s="2" t="s">
        <v>627</v>
      </c>
      <c r="Q160" s="2" t="s">
        <v>2248</v>
      </c>
      <c r="R160" s="2" t="s">
        <v>2249</v>
      </c>
      <c r="T160" s="2" t="s">
        <v>71</v>
      </c>
      <c r="U160" s="3">
        <v>1</v>
      </c>
      <c r="V160" s="3">
        <v>1</v>
      </c>
      <c r="W160" s="4" t="s">
        <v>2262</v>
      </c>
      <c r="X160" s="4" t="s">
        <v>2262</v>
      </c>
      <c r="Y160" s="4" t="s">
        <v>2263</v>
      </c>
      <c r="Z160" s="4" t="s">
        <v>2263</v>
      </c>
      <c r="AA160" s="3">
        <v>17</v>
      </c>
      <c r="AB160" s="3">
        <v>16</v>
      </c>
      <c r="AC160" s="3">
        <v>16</v>
      </c>
      <c r="AD160" s="3">
        <v>1</v>
      </c>
      <c r="AE160" s="3">
        <v>1</v>
      </c>
      <c r="AF160" s="3">
        <v>1</v>
      </c>
      <c r="AG160" s="3">
        <v>1</v>
      </c>
      <c r="AH160" s="3">
        <v>0</v>
      </c>
      <c r="AI160" s="3">
        <v>0</v>
      </c>
      <c r="AJ160" s="3">
        <v>1</v>
      </c>
      <c r="AK160" s="3">
        <v>1</v>
      </c>
      <c r="AL160" s="3">
        <v>0</v>
      </c>
      <c r="AM160" s="3">
        <v>0</v>
      </c>
      <c r="AN160" s="3">
        <v>0</v>
      </c>
      <c r="AO160" s="3">
        <v>0</v>
      </c>
      <c r="AP160" s="3">
        <v>0</v>
      </c>
      <c r="AQ160" s="3">
        <v>0</v>
      </c>
      <c r="AR160" s="2" t="s">
        <v>63</v>
      </c>
      <c r="AS160" s="2" t="s">
        <v>63</v>
      </c>
      <c r="AU160" s="5" t="str">
        <f>HYPERLINK("https://creighton-primo.hosted.exlibrisgroup.com/primo-explore/search?tab=default_tab&amp;search_scope=EVERYTHING&amp;vid=01CRU&amp;lang=en_US&amp;offset=0&amp;query=any,contains,991002712769702656","Catalog Record")</f>
        <v>Catalog Record</v>
      </c>
      <c r="AV160" s="5" t="str">
        <f>HYPERLINK("http://www.worldcat.org/oclc/35573046","WorldCat Record")</f>
        <v>WorldCat Record</v>
      </c>
      <c r="AW160" s="2" t="s">
        <v>2264</v>
      </c>
      <c r="AX160" s="2" t="s">
        <v>2265</v>
      </c>
      <c r="AY160" s="2" t="s">
        <v>2266</v>
      </c>
      <c r="AZ160" s="2" t="s">
        <v>2266</v>
      </c>
      <c r="BA160" s="2" t="s">
        <v>2267</v>
      </c>
      <c r="BB160" s="2" t="s">
        <v>79</v>
      </c>
      <c r="BD160" s="2" t="s">
        <v>2268</v>
      </c>
      <c r="BE160" s="2" t="s">
        <v>2269</v>
      </c>
      <c r="BF160" s="2" t="s">
        <v>2270</v>
      </c>
    </row>
    <row r="161" spans="1:58" ht="39.75" customHeight="1">
      <c r="A161" s="1"/>
      <c r="B161" s="1" t="s">
        <v>58</v>
      </c>
      <c r="C161" s="1" t="s">
        <v>59</v>
      </c>
      <c r="D161" s="1" t="s">
        <v>2271</v>
      </c>
      <c r="E161" s="1" t="s">
        <v>2272</v>
      </c>
      <c r="F161" s="1" t="s">
        <v>2273</v>
      </c>
      <c r="H161" s="2" t="s">
        <v>63</v>
      </c>
      <c r="I161" s="2" t="s">
        <v>64</v>
      </c>
      <c r="J161" s="2" t="s">
        <v>63</v>
      </c>
      <c r="K161" s="2" t="s">
        <v>63</v>
      </c>
      <c r="L161" s="2" t="s">
        <v>65</v>
      </c>
      <c r="M161" s="1" t="s">
        <v>2274</v>
      </c>
      <c r="N161" s="1" t="s">
        <v>2275</v>
      </c>
      <c r="O161" s="2" t="s">
        <v>209</v>
      </c>
      <c r="Q161" s="2" t="s">
        <v>68</v>
      </c>
      <c r="R161" s="2" t="s">
        <v>979</v>
      </c>
      <c r="S161" s="1" t="s">
        <v>2276</v>
      </c>
      <c r="T161" s="2" t="s">
        <v>71</v>
      </c>
      <c r="U161" s="3">
        <v>4</v>
      </c>
      <c r="V161" s="3">
        <v>4</v>
      </c>
      <c r="W161" s="4" t="s">
        <v>2209</v>
      </c>
      <c r="X161" s="4" t="s">
        <v>2209</v>
      </c>
      <c r="Y161" s="4" t="s">
        <v>1022</v>
      </c>
      <c r="Z161" s="4" t="s">
        <v>1022</v>
      </c>
      <c r="AA161" s="3">
        <v>456</v>
      </c>
      <c r="AB161" s="3">
        <v>360</v>
      </c>
      <c r="AC161" s="3">
        <v>394</v>
      </c>
      <c r="AD161" s="3">
        <v>3</v>
      </c>
      <c r="AE161" s="3">
        <v>3</v>
      </c>
      <c r="AF161" s="3">
        <v>11</v>
      </c>
      <c r="AG161" s="3">
        <v>12</v>
      </c>
      <c r="AH161" s="3">
        <v>1</v>
      </c>
      <c r="AI161" s="3">
        <v>1</v>
      </c>
      <c r="AJ161" s="3">
        <v>4</v>
      </c>
      <c r="AK161" s="3">
        <v>4</v>
      </c>
      <c r="AL161" s="3">
        <v>8</v>
      </c>
      <c r="AM161" s="3">
        <v>9</v>
      </c>
      <c r="AN161" s="3">
        <v>2</v>
      </c>
      <c r="AO161" s="3">
        <v>2</v>
      </c>
      <c r="AP161" s="3">
        <v>0</v>
      </c>
      <c r="AQ161" s="3">
        <v>0</v>
      </c>
      <c r="AR161" s="2" t="s">
        <v>63</v>
      </c>
      <c r="AS161" s="2" t="s">
        <v>63</v>
      </c>
      <c r="AU161" s="5" t="str">
        <f>HYPERLINK("https://creighton-primo.hosted.exlibrisgroup.com/primo-explore/search?tab=default_tab&amp;search_scope=EVERYTHING&amp;vid=01CRU&amp;lang=en_US&amp;offset=0&amp;query=any,contains,991000492189702656","Catalog Record")</f>
        <v>Catalog Record</v>
      </c>
      <c r="AV161" s="5" t="str">
        <f>HYPERLINK("http://www.worldcat.org/oclc/11113612","WorldCat Record")</f>
        <v>WorldCat Record</v>
      </c>
      <c r="AW161" s="2" t="s">
        <v>2277</v>
      </c>
      <c r="AX161" s="2" t="s">
        <v>2278</v>
      </c>
      <c r="AY161" s="2" t="s">
        <v>2279</v>
      </c>
      <c r="AZ161" s="2" t="s">
        <v>2279</v>
      </c>
      <c r="BA161" s="2" t="s">
        <v>2280</v>
      </c>
      <c r="BB161" s="2" t="s">
        <v>79</v>
      </c>
      <c r="BD161" s="2" t="s">
        <v>2281</v>
      </c>
      <c r="BE161" s="2" t="s">
        <v>2282</v>
      </c>
      <c r="BF161" s="2" t="s">
        <v>2283</v>
      </c>
    </row>
    <row r="162" spans="1:58" ht="39.75" customHeight="1">
      <c r="A162" s="1"/>
      <c r="B162" s="1" t="s">
        <v>58</v>
      </c>
      <c r="C162" s="1" t="s">
        <v>59</v>
      </c>
      <c r="D162" s="1" t="s">
        <v>2284</v>
      </c>
      <c r="E162" s="1" t="s">
        <v>2285</v>
      </c>
      <c r="F162" s="1" t="s">
        <v>2286</v>
      </c>
      <c r="H162" s="2" t="s">
        <v>63</v>
      </c>
      <c r="I162" s="2" t="s">
        <v>64</v>
      </c>
      <c r="J162" s="2" t="s">
        <v>63</v>
      </c>
      <c r="K162" s="2" t="s">
        <v>63</v>
      </c>
      <c r="L162" s="2" t="s">
        <v>65</v>
      </c>
      <c r="M162" s="1" t="s">
        <v>2287</v>
      </c>
      <c r="N162" s="1" t="s">
        <v>2288</v>
      </c>
      <c r="O162" s="2" t="s">
        <v>209</v>
      </c>
      <c r="Q162" s="2" t="s">
        <v>2248</v>
      </c>
      <c r="R162" s="2" t="s">
        <v>2249</v>
      </c>
      <c r="T162" s="2" t="s">
        <v>71</v>
      </c>
      <c r="U162" s="3">
        <v>1</v>
      </c>
      <c r="V162" s="3">
        <v>1</v>
      </c>
      <c r="W162" s="4" t="s">
        <v>2289</v>
      </c>
      <c r="X162" s="4" t="s">
        <v>2289</v>
      </c>
      <c r="Y162" s="4" t="s">
        <v>2290</v>
      </c>
      <c r="Z162" s="4" t="s">
        <v>2290</v>
      </c>
      <c r="AA162" s="3">
        <v>2</v>
      </c>
      <c r="AB162" s="3">
        <v>1</v>
      </c>
      <c r="AC162" s="3">
        <v>1</v>
      </c>
      <c r="AD162" s="3">
        <v>1</v>
      </c>
      <c r="AE162" s="3">
        <v>1</v>
      </c>
      <c r="AF162" s="3">
        <v>0</v>
      </c>
      <c r="AG162" s="3">
        <v>0</v>
      </c>
      <c r="AH162" s="3">
        <v>0</v>
      </c>
      <c r="AI162" s="3">
        <v>0</v>
      </c>
      <c r="AJ162" s="3">
        <v>0</v>
      </c>
      <c r="AK162" s="3">
        <v>0</v>
      </c>
      <c r="AL162" s="3">
        <v>0</v>
      </c>
      <c r="AM162" s="3">
        <v>0</v>
      </c>
      <c r="AN162" s="3">
        <v>0</v>
      </c>
      <c r="AO162" s="3">
        <v>0</v>
      </c>
      <c r="AP162" s="3">
        <v>0</v>
      </c>
      <c r="AQ162" s="3">
        <v>0</v>
      </c>
      <c r="AR162" s="2" t="s">
        <v>63</v>
      </c>
      <c r="AS162" s="2" t="s">
        <v>63</v>
      </c>
      <c r="AU162" s="5" t="str">
        <f>HYPERLINK("https://creighton-primo.hosted.exlibrisgroup.com/primo-explore/search?tab=default_tab&amp;search_scope=EVERYTHING&amp;vid=01CRU&amp;lang=en_US&amp;offset=0&amp;query=any,contains,991003336049702656","Catalog Record")</f>
        <v>Catalog Record</v>
      </c>
      <c r="AV162" s="5" t="str">
        <f>HYPERLINK("http://www.worldcat.org/oclc/45055452","WorldCat Record")</f>
        <v>WorldCat Record</v>
      </c>
      <c r="AW162" s="2" t="s">
        <v>2291</v>
      </c>
      <c r="AX162" s="2" t="s">
        <v>2292</v>
      </c>
      <c r="AY162" s="2" t="s">
        <v>2293</v>
      </c>
      <c r="AZ162" s="2" t="s">
        <v>2293</v>
      </c>
      <c r="BA162" s="2" t="s">
        <v>2294</v>
      </c>
      <c r="BB162" s="2" t="s">
        <v>79</v>
      </c>
      <c r="BE162" s="2" t="s">
        <v>2295</v>
      </c>
      <c r="BF162" s="2" t="s">
        <v>2296</v>
      </c>
    </row>
    <row r="163" spans="1:58" ht="39.75" customHeight="1">
      <c r="A163" s="1"/>
      <c r="B163" s="1" t="s">
        <v>58</v>
      </c>
      <c r="C163" s="1" t="s">
        <v>59</v>
      </c>
      <c r="D163" s="1" t="s">
        <v>2297</v>
      </c>
      <c r="E163" s="1" t="s">
        <v>2298</v>
      </c>
      <c r="F163" s="1" t="s">
        <v>2299</v>
      </c>
      <c r="H163" s="2" t="s">
        <v>63</v>
      </c>
      <c r="I163" s="2" t="s">
        <v>64</v>
      </c>
      <c r="J163" s="2" t="s">
        <v>63</v>
      </c>
      <c r="K163" s="2" t="s">
        <v>63</v>
      </c>
      <c r="L163" s="2" t="s">
        <v>65</v>
      </c>
      <c r="N163" s="1" t="s">
        <v>2300</v>
      </c>
      <c r="O163" s="2" t="s">
        <v>2301</v>
      </c>
      <c r="Q163" s="2" t="s">
        <v>68</v>
      </c>
      <c r="R163" s="2" t="s">
        <v>2302</v>
      </c>
      <c r="T163" s="2" t="s">
        <v>71</v>
      </c>
      <c r="U163" s="3">
        <v>7</v>
      </c>
      <c r="V163" s="3">
        <v>7</v>
      </c>
      <c r="W163" s="4" t="s">
        <v>2303</v>
      </c>
      <c r="X163" s="4" t="s">
        <v>2303</v>
      </c>
      <c r="Y163" s="4" t="s">
        <v>2304</v>
      </c>
      <c r="Z163" s="4" t="s">
        <v>2304</v>
      </c>
      <c r="AA163" s="3">
        <v>356</v>
      </c>
      <c r="AB163" s="3">
        <v>288</v>
      </c>
      <c r="AC163" s="3">
        <v>293</v>
      </c>
      <c r="AD163" s="3">
        <v>2</v>
      </c>
      <c r="AE163" s="3">
        <v>2</v>
      </c>
      <c r="AF163" s="3">
        <v>8</v>
      </c>
      <c r="AG163" s="3">
        <v>8</v>
      </c>
      <c r="AH163" s="3">
        <v>3</v>
      </c>
      <c r="AI163" s="3">
        <v>3</v>
      </c>
      <c r="AJ163" s="3">
        <v>3</v>
      </c>
      <c r="AK163" s="3">
        <v>3</v>
      </c>
      <c r="AL163" s="3">
        <v>4</v>
      </c>
      <c r="AM163" s="3">
        <v>4</v>
      </c>
      <c r="AN163" s="3">
        <v>1</v>
      </c>
      <c r="AO163" s="3">
        <v>1</v>
      </c>
      <c r="AP163" s="3">
        <v>0</v>
      </c>
      <c r="AQ163" s="3">
        <v>0</v>
      </c>
      <c r="AR163" s="2" t="s">
        <v>63</v>
      </c>
      <c r="AS163" s="2" t="s">
        <v>63</v>
      </c>
      <c r="AU163" s="5" t="str">
        <f>HYPERLINK("https://creighton-primo.hosted.exlibrisgroup.com/primo-explore/search?tab=default_tab&amp;search_scope=EVERYTHING&amp;vid=01CRU&amp;lang=en_US&amp;offset=0&amp;query=any,contains,991003013109702656","Catalog Record")</f>
        <v>Catalog Record</v>
      </c>
      <c r="AV163" s="5" t="str">
        <f>HYPERLINK("http://www.worldcat.org/oclc/579203","WorldCat Record")</f>
        <v>WorldCat Record</v>
      </c>
      <c r="AW163" s="2" t="s">
        <v>2305</v>
      </c>
      <c r="AX163" s="2" t="s">
        <v>2306</v>
      </c>
      <c r="AY163" s="2" t="s">
        <v>2307</v>
      </c>
      <c r="AZ163" s="2" t="s">
        <v>2307</v>
      </c>
      <c r="BA163" s="2" t="s">
        <v>2308</v>
      </c>
      <c r="BB163" s="2" t="s">
        <v>79</v>
      </c>
      <c r="BD163" s="2" t="s">
        <v>2309</v>
      </c>
      <c r="BE163" s="2" t="s">
        <v>2310</v>
      </c>
      <c r="BF163" s="2" t="s">
        <v>2311</v>
      </c>
    </row>
    <row r="164" spans="1:58" ht="39.75" customHeight="1">
      <c r="A164" s="1"/>
      <c r="B164" s="1" t="s">
        <v>58</v>
      </c>
      <c r="C164" s="1" t="s">
        <v>59</v>
      </c>
      <c r="D164" s="1" t="s">
        <v>2312</v>
      </c>
      <c r="E164" s="1" t="s">
        <v>2313</v>
      </c>
      <c r="F164" s="1" t="s">
        <v>2314</v>
      </c>
      <c r="H164" s="2" t="s">
        <v>63</v>
      </c>
      <c r="I164" s="2" t="s">
        <v>64</v>
      </c>
      <c r="J164" s="2" t="s">
        <v>63</v>
      </c>
      <c r="K164" s="2" t="s">
        <v>63</v>
      </c>
      <c r="L164" s="2" t="s">
        <v>65</v>
      </c>
      <c r="M164" s="1" t="s">
        <v>2315</v>
      </c>
      <c r="N164" s="1" t="s">
        <v>2316</v>
      </c>
      <c r="O164" s="2" t="s">
        <v>166</v>
      </c>
      <c r="Q164" s="2" t="s">
        <v>68</v>
      </c>
      <c r="R164" s="2" t="s">
        <v>979</v>
      </c>
      <c r="T164" s="2" t="s">
        <v>71</v>
      </c>
      <c r="U164" s="3">
        <v>3</v>
      </c>
      <c r="V164" s="3">
        <v>3</v>
      </c>
      <c r="W164" s="4" t="s">
        <v>2317</v>
      </c>
      <c r="X164" s="4" t="s">
        <v>2317</v>
      </c>
      <c r="Y164" s="4" t="s">
        <v>2318</v>
      </c>
      <c r="Z164" s="4" t="s">
        <v>2318</v>
      </c>
      <c r="AA164" s="3">
        <v>219</v>
      </c>
      <c r="AB164" s="3">
        <v>55</v>
      </c>
      <c r="AC164" s="3">
        <v>55</v>
      </c>
      <c r="AD164" s="3">
        <v>1</v>
      </c>
      <c r="AE164" s="3">
        <v>1</v>
      </c>
      <c r="AF164" s="3">
        <v>0</v>
      </c>
      <c r="AG164" s="3">
        <v>0</v>
      </c>
      <c r="AH164" s="3">
        <v>0</v>
      </c>
      <c r="AI164" s="3">
        <v>0</v>
      </c>
      <c r="AJ164" s="3">
        <v>0</v>
      </c>
      <c r="AK164" s="3">
        <v>0</v>
      </c>
      <c r="AL164" s="3">
        <v>0</v>
      </c>
      <c r="AM164" s="3">
        <v>0</v>
      </c>
      <c r="AN164" s="3">
        <v>0</v>
      </c>
      <c r="AO164" s="3">
        <v>0</v>
      </c>
      <c r="AP164" s="3">
        <v>0</v>
      </c>
      <c r="AQ164" s="3">
        <v>0</v>
      </c>
      <c r="AR164" s="2" t="s">
        <v>63</v>
      </c>
      <c r="AS164" s="2" t="s">
        <v>63</v>
      </c>
      <c r="AU164" s="5" t="str">
        <f>HYPERLINK("https://creighton-primo.hosted.exlibrisgroup.com/primo-explore/search?tab=default_tab&amp;search_scope=EVERYTHING&amp;vid=01CRU&amp;lang=en_US&amp;offset=0&amp;query=any,contains,991001288629702656","Catalog Record")</f>
        <v>Catalog Record</v>
      </c>
      <c r="AV164" s="5" t="str">
        <f>HYPERLINK("http://www.worldcat.org/oclc/17981553","WorldCat Record")</f>
        <v>WorldCat Record</v>
      </c>
      <c r="AW164" s="2" t="s">
        <v>2319</v>
      </c>
      <c r="AX164" s="2" t="s">
        <v>2320</v>
      </c>
      <c r="AY164" s="2" t="s">
        <v>2321</v>
      </c>
      <c r="AZ164" s="2" t="s">
        <v>2321</v>
      </c>
      <c r="BA164" s="2" t="s">
        <v>2322</v>
      </c>
      <c r="BB164" s="2" t="s">
        <v>79</v>
      </c>
      <c r="BD164" s="2" t="s">
        <v>2323</v>
      </c>
      <c r="BE164" s="2" t="s">
        <v>2324</v>
      </c>
      <c r="BF164" s="2" t="s">
        <v>2325</v>
      </c>
    </row>
    <row r="165" spans="1:58" ht="39.75" customHeight="1">
      <c r="A165" s="1"/>
      <c r="B165" s="1" t="s">
        <v>58</v>
      </c>
      <c r="C165" s="1" t="s">
        <v>59</v>
      </c>
      <c r="D165" s="1" t="s">
        <v>2326</v>
      </c>
      <c r="E165" s="1" t="s">
        <v>2327</v>
      </c>
      <c r="F165" s="1" t="s">
        <v>2328</v>
      </c>
      <c r="H165" s="2" t="s">
        <v>63</v>
      </c>
      <c r="I165" s="2" t="s">
        <v>64</v>
      </c>
      <c r="J165" s="2" t="s">
        <v>63</v>
      </c>
      <c r="K165" s="2" t="s">
        <v>63</v>
      </c>
      <c r="L165" s="2" t="s">
        <v>65</v>
      </c>
      <c r="M165" s="1" t="s">
        <v>2329</v>
      </c>
      <c r="N165" s="1" t="s">
        <v>2330</v>
      </c>
      <c r="O165" s="2" t="s">
        <v>136</v>
      </c>
      <c r="Q165" s="2" t="s">
        <v>68</v>
      </c>
      <c r="R165" s="2" t="s">
        <v>2302</v>
      </c>
      <c r="T165" s="2" t="s">
        <v>71</v>
      </c>
      <c r="U165" s="3">
        <v>4</v>
      </c>
      <c r="V165" s="3">
        <v>4</v>
      </c>
      <c r="W165" s="4" t="s">
        <v>2331</v>
      </c>
      <c r="X165" s="4" t="s">
        <v>2331</v>
      </c>
      <c r="Y165" s="4" t="s">
        <v>2332</v>
      </c>
      <c r="Z165" s="4" t="s">
        <v>2332</v>
      </c>
      <c r="AA165" s="3">
        <v>317</v>
      </c>
      <c r="AB165" s="3">
        <v>224</v>
      </c>
      <c r="AC165" s="3">
        <v>226</v>
      </c>
      <c r="AD165" s="3">
        <v>2</v>
      </c>
      <c r="AE165" s="3">
        <v>2</v>
      </c>
      <c r="AF165" s="3">
        <v>8</v>
      </c>
      <c r="AG165" s="3">
        <v>8</v>
      </c>
      <c r="AH165" s="3">
        <v>1</v>
      </c>
      <c r="AI165" s="3">
        <v>1</v>
      </c>
      <c r="AJ165" s="3">
        <v>2</v>
      </c>
      <c r="AK165" s="3">
        <v>2</v>
      </c>
      <c r="AL165" s="3">
        <v>6</v>
      </c>
      <c r="AM165" s="3">
        <v>6</v>
      </c>
      <c r="AN165" s="3">
        <v>1</v>
      </c>
      <c r="AO165" s="3">
        <v>1</v>
      </c>
      <c r="AP165" s="3">
        <v>0</v>
      </c>
      <c r="AQ165" s="3">
        <v>0</v>
      </c>
      <c r="AR165" s="2" t="s">
        <v>63</v>
      </c>
      <c r="AS165" s="2" t="s">
        <v>74</v>
      </c>
      <c r="AT165" s="5" t="str">
        <f>HYPERLINK("http://catalog.hathitrust.org/Record/000777773","HathiTrust Record")</f>
        <v>HathiTrust Record</v>
      </c>
      <c r="AU165" s="5" t="str">
        <f>HYPERLINK("https://creighton-primo.hosted.exlibrisgroup.com/primo-explore/search?tab=default_tab&amp;search_scope=EVERYTHING&amp;vid=01CRU&amp;lang=en_US&amp;offset=0&amp;query=any,contains,991005214619702656","Catalog Record")</f>
        <v>Catalog Record</v>
      </c>
      <c r="AV165" s="5" t="str">
        <f>HYPERLINK("http://www.worldcat.org/oclc/8176668","WorldCat Record")</f>
        <v>WorldCat Record</v>
      </c>
      <c r="AW165" s="2" t="s">
        <v>2333</v>
      </c>
      <c r="AX165" s="2" t="s">
        <v>2334</v>
      </c>
      <c r="AY165" s="2" t="s">
        <v>2335</v>
      </c>
      <c r="AZ165" s="2" t="s">
        <v>2335</v>
      </c>
      <c r="BA165" s="2" t="s">
        <v>2336</v>
      </c>
      <c r="BB165" s="2" t="s">
        <v>79</v>
      </c>
      <c r="BD165" s="2" t="s">
        <v>2337</v>
      </c>
      <c r="BE165" s="2" t="s">
        <v>2338</v>
      </c>
      <c r="BF165" s="2" t="s">
        <v>2339</v>
      </c>
    </row>
    <row r="166" spans="1:58" ht="39.75" customHeight="1">
      <c r="A166" s="1"/>
      <c r="B166" s="1" t="s">
        <v>58</v>
      </c>
      <c r="C166" s="1" t="s">
        <v>59</v>
      </c>
      <c r="D166" s="1" t="s">
        <v>2340</v>
      </c>
      <c r="E166" s="1" t="s">
        <v>2341</v>
      </c>
      <c r="F166" s="1" t="s">
        <v>2342</v>
      </c>
      <c r="H166" s="2" t="s">
        <v>63</v>
      </c>
      <c r="I166" s="2" t="s">
        <v>64</v>
      </c>
      <c r="J166" s="2" t="s">
        <v>63</v>
      </c>
      <c r="K166" s="2" t="s">
        <v>63</v>
      </c>
      <c r="L166" s="2" t="s">
        <v>65</v>
      </c>
      <c r="M166" s="1" t="s">
        <v>2343</v>
      </c>
      <c r="N166" s="1" t="s">
        <v>2344</v>
      </c>
      <c r="O166" s="2" t="s">
        <v>767</v>
      </c>
      <c r="Q166" s="2" t="s">
        <v>68</v>
      </c>
      <c r="R166" s="2" t="s">
        <v>2345</v>
      </c>
      <c r="S166" s="1" t="s">
        <v>2346</v>
      </c>
      <c r="T166" s="2" t="s">
        <v>71</v>
      </c>
      <c r="U166" s="3">
        <v>8</v>
      </c>
      <c r="V166" s="3">
        <v>8</v>
      </c>
      <c r="W166" s="4" t="s">
        <v>2347</v>
      </c>
      <c r="X166" s="4" t="s">
        <v>2347</v>
      </c>
      <c r="Y166" s="4" t="s">
        <v>2348</v>
      </c>
      <c r="Z166" s="4" t="s">
        <v>2348</v>
      </c>
      <c r="AA166" s="3">
        <v>76</v>
      </c>
      <c r="AB166" s="3">
        <v>55</v>
      </c>
      <c r="AC166" s="3">
        <v>56</v>
      </c>
      <c r="AD166" s="3">
        <v>1</v>
      </c>
      <c r="AE166" s="3">
        <v>1</v>
      </c>
      <c r="AF166" s="3">
        <v>2</v>
      </c>
      <c r="AG166" s="3">
        <v>2</v>
      </c>
      <c r="AH166" s="3">
        <v>0</v>
      </c>
      <c r="AI166" s="3">
        <v>0</v>
      </c>
      <c r="AJ166" s="3">
        <v>1</v>
      </c>
      <c r="AK166" s="3">
        <v>1</v>
      </c>
      <c r="AL166" s="3">
        <v>1</v>
      </c>
      <c r="AM166" s="3">
        <v>1</v>
      </c>
      <c r="AN166" s="3">
        <v>0</v>
      </c>
      <c r="AO166" s="3">
        <v>0</v>
      </c>
      <c r="AP166" s="3">
        <v>0</v>
      </c>
      <c r="AQ166" s="3">
        <v>0</v>
      </c>
      <c r="AR166" s="2" t="s">
        <v>63</v>
      </c>
      <c r="AS166" s="2" t="s">
        <v>63</v>
      </c>
      <c r="AU166" s="5" t="str">
        <f>HYPERLINK("https://creighton-primo.hosted.exlibrisgroup.com/primo-explore/search?tab=default_tab&amp;search_scope=EVERYTHING&amp;vid=01CRU&amp;lang=en_US&amp;offset=0&amp;query=any,contains,991000360739702656","Catalog Record")</f>
        <v>Catalog Record</v>
      </c>
      <c r="AV166" s="5" t="str">
        <f>HYPERLINK("http://www.worldcat.org/oclc/10364039","WorldCat Record")</f>
        <v>WorldCat Record</v>
      </c>
      <c r="AW166" s="2" t="s">
        <v>2349</v>
      </c>
      <c r="AX166" s="2" t="s">
        <v>2350</v>
      </c>
      <c r="AY166" s="2" t="s">
        <v>2351</v>
      </c>
      <c r="AZ166" s="2" t="s">
        <v>2351</v>
      </c>
      <c r="BA166" s="2" t="s">
        <v>2352</v>
      </c>
      <c r="BB166" s="2" t="s">
        <v>79</v>
      </c>
      <c r="BE166" s="2" t="s">
        <v>2353</v>
      </c>
      <c r="BF166" s="2" t="s">
        <v>2354</v>
      </c>
    </row>
    <row r="167" spans="1:58" ht="39.75" customHeight="1">
      <c r="A167" s="1"/>
      <c r="B167" s="1" t="s">
        <v>58</v>
      </c>
      <c r="C167" s="1" t="s">
        <v>59</v>
      </c>
      <c r="D167" s="1" t="s">
        <v>2355</v>
      </c>
      <c r="E167" s="1" t="s">
        <v>2356</v>
      </c>
      <c r="F167" s="1" t="s">
        <v>2357</v>
      </c>
      <c r="H167" s="2" t="s">
        <v>63</v>
      </c>
      <c r="I167" s="2" t="s">
        <v>64</v>
      </c>
      <c r="J167" s="2" t="s">
        <v>63</v>
      </c>
      <c r="K167" s="2" t="s">
        <v>63</v>
      </c>
      <c r="L167" s="2" t="s">
        <v>65</v>
      </c>
      <c r="M167" s="1" t="s">
        <v>2358</v>
      </c>
      <c r="N167" s="1" t="s">
        <v>2359</v>
      </c>
      <c r="O167" s="2" t="s">
        <v>641</v>
      </c>
      <c r="Q167" s="2" t="s">
        <v>68</v>
      </c>
      <c r="R167" s="2" t="s">
        <v>167</v>
      </c>
      <c r="T167" s="2" t="s">
        <v>71</v>
      </c>
      <c r="U167" s="3">
        <v>7</v>
      </c>
      <c r="V167" s="3">
        <v>7</v>
      </c>
      <c r="W167" s="4" t="s">
        <v>2360</v>
      </c>
      <c r="X167" s="4" t="s">
        <v>2360</v>
      </c>
      <c r="Y167" s="4" t="s">
        <v>2061</v>
      </c>
      <c r="Z167" s="4" t="s">
        <v>2061</v>
      </c>
      <c r="AA167" s="3">
        <v>222</v>
      </c>
      <c r="AB167" s="3">
        <v>163</v>
      </c>
      <c r="AC167" s="3">
        <v>165</v>
      </c>
      <c r="AD167" s="3">
        <v>3</v>
      </c>
      <c r="AE167" s="3">
        <v>3</v>
      </c>
      <c r="AF167" s="3">
        <v>7</v>
      </c>
      <c r="AG167" s="3">
        <v>7</v>
      </c>
      <c r="AH167" s="3">
        <v>1</v>
      </c>
      <c r="AI167" s="3">
        <v>1</v>
      </c>
      <c r="AJ167" s="3">
        <v>4</v>
      </c>
      <c r="AK167" s="3">
        <v>4</v>
      </c>
      <c r="AL167" s="3">
        <v>3</v>
      </c>
      <c r="AM167" s="3">
        <v>3</v>
      </c>
      <c r="AN167" s="3">
        <v>2</v>
      </c>
      <c r="AO167" s="3">
        <v>2</v>
      </c>
      <c r="AP167" s="3">
        <v>0</v>
      </c>
      <c r="AQ167" s="3">
        <v>0</v>
      </c>
      <c r="AR167" s="2" t="s">
        <v>63</v>
      </c>
      <c r="AS167" s="2" t="s">
        <v>74</v>
      </c>
      <c r="AT167" s="5" t="str">
        <f>HYPERLINK("http://catalog.hathitrust.org/Record/000155684","HathiTrust Record")</f>
        <v>HathiTrust Record</v>
      </c>
      <c r="AU167" s="5" t="str">
        <f>HYPERLINK("https://creighton-primo.hosted.exlibrisgroup.com/primo-explore/search?tab=default_tab&amp;search_scope=EVERYTHING&amp;vid=01CRU&amp;lang=en_US&amp;offset=0&amp;query=any,contains,991005200399702656","Catalog Record")</f>
        <v>Catalog Record</v>
      </c>
      <c r="AV167" s="5" t="str">
        <f>HYPERLINK("http://www.worldcat.org/oclc/8069799","WorldCat Record")</f>
        <v>WorldCat Record</v>
      </c>
      <c r="AW167" s="2" t="s">
        <v>2361</v>
      </c>
      <c r="AX167" s="2" t="s">
        <v>2362</v>
      </c>
      <c r="AY167" s="2" t="s">
        <v>2363</v>
      </c>
      <c r="AZ167" s="2" t="s">
        <v>2363</v>
      </c>
      <c r="BA167" s="2" t="s">
        <v>2364</v>
      </c>
      <c r="BB167" s="2" t="s">
        <v>79</v>
      </c>
      <c r="BD167" s="2" t="s">
        <v>2365</v>
      </c>
      <c r="BE167" s="2" t="s">
        <v>2366</v>
      </c>
      <c r="BF167" s="2" t="s">
        <v>2367</v>
      </c>
    </row>
    <row r="168" spans="1:58" ht="39.75" customHeight="1">
      <c r="A168" s="1"/>
      <c r="B168" s="1" t="s">
        <v>58</v>
      </c>
      <c r="C168" s="1" t="s">
        <v>59</v>
      </c>
      <c r="D168" s="1" t="s">
        <v>2368</v>
      </c>
      <c r="E168" s="1" t="s">
        <v>2369</v>
      </c>
      <c r="F168" s="1" t="s">
        <v>2370</v>
      </c>
      <c r="H168" s="2" t="s">
        <v>63</v>
      </c>
      <c r="I168" s="2" t="s">
        <v>64</v>
      </c>
      <c r="J168" s="2" t="s">
        <v>63</v>
      </c>
      <c r="K168" s="2" t="s">
        <v>63</v>
      </c>
      <c r="L168" s="2" t="s">
        <v>65</v>
      </c>
      <c r="N168" s="1" t="s">
        <v>2371</v>
      </c>
      <c r="O168" s="2" t="s">
        <v>136</v>
      </c>
      <c r="Q168" s="2" t="s">
        <v>68</v>
      </c>
      <c r="R168" s="2" t="s">
        <v>2372</v>
      </c>
      <c r="S168" s="1" t="s">
        <v>2373</v>
      </c>
      <c r="T168" s="2" t="s">
        <v>71</v>
      </c>
      <c r="U168" s="3">
        <v>8</v>
      </c>
      <c r="V168" s="3">
        <v>8</v>
      </c>
      <c r="W168" s="4" t="s">
        <v>2374</v>
      </c>
      <c r="X168" s="4" t="s">
        <v>2374</v>
      </c>
      <c r="Y168" s="4" t="s">
        <v>2375</v>
      </c>
      <c r="Z168" s="4" t="s">
        <v>2375</v>
      </c>
      <c r="AA168" s="3">
        <v>359</v>
      </c>
      <c r="AB168" s="3">
        <v>230</v>
      </c>
      <c r="AC168" s="3">
        <v>252</v>
      </c>
      <c r="AD168" s="3">
        <v>3</v>
      </c>
      <c r="AE168" s="3">
        <v>3</v>
      </c>
      <c r="AF168" s="3">
        <v>8</v>
      </c>
      <c r="AG168" s="3">
        <v>9</v>
      </c>
      <c r="AH168" s="3">
        <v>1</v>
      </c>
      <c r="AI168" s="3">
        <v>1</v>
      </c>
      <c r="AJ168" s="3">
        <v>0</v>
      </c>
      <c r="AK168" s="3">
        <v>1</v>
      </c>
      <c r="AL168" s="3">
        <v>5</v>
      </c>
      <c r="AM168" s="3">
        <v>6</v>
      </c>
      <c r="AN168" s="3">
        <v>2</v>
      </c>
      <c r="AO168" s="3">
        <v>2</v>
      </c>
      <c r="AP168" s="3">
        <v>0</v>
      </c>
      <c r="AQ168" s="3">
        <v>0</v>
      </c>
      <c r="AR168" s="2" t="s">
        <v>63</v>
      </c>
      <c r="AS168" s="2" t="s">
        <v>74</v>
      </c>
      <c r="AT168" s="5" t="str">
        <f>HYPERLINK("http://catalog.hathitrust.org/Record/000110018","HathiTrust Record")</f>
        <v>HathiTrust Record</v>
      </c>
      <c r="AU168" s="5" t="str">
        <f>HYPERLINK("https://creighton-primo.hosted.exlibrisgroup.com/primo-explore/search?tab=default_tab&amp;search_scope=EVERYTHING&amp;vid=01CRU&amp;lang=en_US&amp;offset=0&amp;query=any,contains,991005193769702656","Catalog Record")</f>
        <v>Catalog Record</v>
      </c>
      <c r="AV168" s="5" t="str">
        <f>HYPERLINK("http://www.worldcat.org/oclc/8032700","WorldCat Record")</f>
        <v>WorldCat Record</v>
      </c>
      <c r="AW168" s="2" t="s">
        <v>2376</v>
      </c>
      <c r="AX168" s="2" t="s">
        <v>2377</v>
      </c>
      <c r="AY168" s="2" t="s">
        <v>2378</v>
      </c>
      <c r="AZ168" s="2" t="s">
        <v>2378</v>
      </c>
      <c r="BA168" s="2" t="s">
        <v>2379</v>
      </c>
      <c r="BB168" s="2" t="s">
        <v>79</v>
      </c>
      <c r="BD168" s="2" t="s">
        <v>2380</v>
      </c>
      <c r="BE168" s="2" t="s">
        <v>2381</v>
      </c>
      <c r="BF168" s="2" t="s">
        <v>2382</v>
      </c>
    </row>
    <row r="169" spans="1:58" ht="39.75" customHeight="1">
      <c r="A169" s="1"/>
      <c r="B169" s="1" t="s">
        <v>58</v>
      </c>
      <c r="C169" s="1" t="s">
        <v>59</v>
      </c>
      <c r="D169" s="1" t="s">
        <v>2383</v>
      </c>
      <c r="E169" s="1" t="s">
        <v>2384</v>
      </c>
      <c r="F169" s="1" t="s">
        <v>2385</v>
      </c>
      <c r="H169" s="2" t="s">
        <v>63</v>
      </c>
      <c r="I169" s="2" t="s">
        <v>64</v>
      </c>
      <c r="J169" s="2" t="s">
        <v>74</v>
      </c>
      <c r="K169" s="2" t="s">
        <v>63</v>
      </c>
      <c r="L169" s="2" t="s">
        <v>65</v>
      </c>
      <c r="M169" s="1" t="s">
        <v>2386</v>
      </c>
      <c r="N169" s="1" t="s">
        <v>2387</v>
      </c>
      <c r="O169" s="2" t="s">
        <v>151</v>
      </c>
      <c r="Q169" s="2" t="s">
        <v>68</v>
      </c>
      <c r="R169" s="2" t="s">
        <v>106</v>
      </c>
      <c r="T169" s="2" t="s">
        <v>71</v>
      </c>
      <c r="U169" s="3">
        <v>2</v>
      </c>
      <c r="V169" s="3">
        <v>2</v>
      </c>
      <c r="W169" s="4" t="s">
        <v>2388</v>
      </c>
      <c r="X169" s="4" t="s">
        <v>2388</v>
      </c>
      <c r="Y169" s="4" t="s">
        <v>2389</v>
      </c>
      <c r="Z169" s="4" t="s">
        <v>2389</v>
      </c>
      <c r="AA169" s="3">
        <v>454</v>
      </c>
      <c r="AB169" s="3">
        <v>401</v>
      </c>
      <c r="AC169" s="3">
        <v>408</v>
      </c>
      <c r="AD169" s="3">
        <v>3</v>
      </c>
      <c r="AE169" s="3">
        <v>3</v>
      </c>
      <c r="AF169" s="3">
        <v>13</v>
      </c>
      <c r="AG169" s="3">
        <v>13</v>
      </c>
      <c r="AH169" s="3">
        <v>3</v>
      </c>
      <c r="AI169" s="3">
        <v>3</v>
      </c>
      <c r="AJ169" s="3">
        <v>4</v>
      </c>
      <c r="AK169" s="3">
        <v>4</v>
      </c>
      <c r="AL169" s="3">
        <v>10</v>
      </c>
      <c r="AM169" s="3">
        <v>10</v>
      </c>
      <c r="AN169" s="3">
        <v>1</v>
      </c>
      <c r="AO169" s="3">
        <v>1</v>
      </c>
      <c r="AP169" s="3">
        <v>0</v>
      </c>
      <c r="AQ169" s="3">
        <v>0</v>
      </c>
      <c r="AR169" s="2" t="s">
        <v>63</v>
      </c>
      <c r="AS169" s="2" t="s">
        <v>74</v>
      </c>
      <c r="AT169" s="5" t="str">
        <f>HYPERLINK("http://catalog.hathitrust.org/Record/000564294","HathiTrust Record")</f>
        <v>HathiTrust Record</v>
      </c>
      <c r="AU169" s="5" t="str">
        <f>HYPERLINK("https://creighton-primo.hosted.exlibrisgroup.com/primo-explore/search?tab=default_tab&amp;search_scope=EVERYTHING&amp;vid=01CRU&amp;lang=en_US&amp;offset=0&amp;query=any,contains,991000508599702656","Catalog Record")</f>
        <v>Catalog Record</v>
      </c>
      <c r="AV169" s="5" t="str">
        <f>HYPERLINK("http://www.worldcat.org/oclc/11233831","WorldCat Record")</f>
        <v>WorldCat Record</v>
      </c>
      <c r="AW169" s="2" t="s">
        <v>2390</v>
      </c>
      <c r="AX169" s="2" t="s">
        <v>2391</v>
      </c>
      <c r="AY169" s="2" t="s">
        <v>2392</v>
      </c>
      <c r="AZ169" s="2" t="s">
        <v>2392</v>
      </c>
      <c r="BA169" s="2" t="s">
        <v>2393</v>
      </c>
      <c r="BB169" s="2" t="s">
        <v>79</v>
      </c>
      <c r="BD169" s="2" t="s">
        <v>2394</v>
      </c>
      <c r="BE169" s="2" t="s">
        <v>2395</v>
      </c>
      <c r="BF169" s="2" t="s">
        <v>2396</v>
      </c>
    </row>
    <row r="170" spans="1:58" ht="39.75" customHeight="1">
      <c r="A170" s="1"/>
      <c r="B170" s="1" t="s">
        <v>58</v>
      </c>
      <c r="C170" s="1" t="s">
        <v>59</v>
      </c>
      <c r="D170" s="1" t="s">
        <v>2397</v>
      </c>
      <c r="E170" s="1" t="s">
        <v>2398</v>
      </c>
      <c r="F170" s="1" t="s">
        <v>2399</v>
      </c>
      <c r="H170" s="2" t="s">
        <v>63</v>
      </c>
      <c r="I170" s="2" t="s">
        <v>64</v>
      </c>
      <c r="J170" s="2" t="s">
        <v>63</v>
      </c>
      <c r="K170" s="2" t="s">
        <v>63</v>
      </c>
      <c r="L170" s="2" t="s">
        <v>65</v>
      </c>
      <c r="N170" s="1" t="s">
        <v>1900</v>
      </c>
      <c r="O170" s="2" t="s">
        <v>740</v>
      </c>
      <c r="Q170" s="2" t="s">
        <v>68</v>
      </c>
      <c r="R170" s="2" t="s">
        <v>106</v>
      </c>
      <c r="T170" s="2" t="s">
        <v>71</v>
      </c>
      <c r="U170" s="3">
        <v>4</v>
      </c>
      <c r="V170" s="3">
        <v>4</v>
      </c>
      <c r="W170" s="4" t="s">
        <v>2400</v>
      </c>
      <c r="X170" s="4" t="s">
        <v>2400</v>
      </c>
      <c r="Y170" s="4" t="s">
        <v>1275</v>
      </c>
      <c r="Z170" s="4" t="s">
        <v>1275</v>
      </c>
      <c r="AA170" s="3">
        <v>264</v>
      </c>
      <c r="AB170" s="3">
        <v>236</v>
      </c>
      <c r="AC170" s="3">
        <v>236</v>
      </c>
      <c r="AD170" s="3">
        <v>1</v>
      </c>
      <c r="AE170" s="3">
        <v>1</v>
      </c>
      <c r="AF170" s="3">
        <v>4</v>
      </c>
      <c r="AG170" s="3">
        <v>4</v>
      </c>
      <c r="AH170" s="3">
        <v>1</v>
      </c>
      <c r="AI170" s="3">
        <v>1</v>
      </c>
      <c r="AJ170" s="3">
        <v>0</v>
      </c>
      <c r="AK170" s="3">
        <v>0</v>
      </c>
      <c r="AL170" s="3">
        <v>3</v>
      </c>
      <c r="AM170" s="3">
        <v>3</v>
      </c>
      <c r="AN170" s="3">
        <v>0</v>
      </c>
      <c r="AO170" s="3">
        <v>0</v>
      </c>
      <c r="AP170" s="3">
        <v>0</v>
      </c>
      <c r="AQ170" s="3">
        <v>0</v>
      </c>
      <c r="AR170" s="2" t="s">
        <v>63</v>
      </c>
      <c r="AS170" s="2" t="s">
        <v>63</v>
      </c>
      <c r="AU170" s="5" t="str">
        <f>HYPERLINK("https://creighton-primo.hosted.exlibrisgroup.com/primo-explore/search?tab=default_tab&amp;search_scope=EVERYTHING&amp;vid=01CRU&amp;lang=en_US&amp;offset=0&amp;query=any,contains,991001137059702656","Catalog Record")</f>
        <v>Catalog Record</v>
      </c>
      <c r="AV170" s="5" t="str">
        <f>HYPERLINK("http://www.worldcat.org/oclc/16717109","WorldCat Record")</f>
        <v>WorldCat Record</v>
      </c>
      <c r="AW170" s="2" t="s">
        <v>2401</v>
      </c>
      <c r="AX170" s="2" t="s">
        <v>2402</v>
      </c>
      <c r="AY170" s="2" t="s">
        <v>2403</v>
      </c>
      <c r="AZ170" s="2" t="s">
        <v>2403</v>
      </c>
      <c r="BA170" s="2" t="s">
        <v>2404</v>
      </c>
      <c r="BB170" s="2" t="s">
        <v>79</v>
      </c>
      <c r="BD170" s="2" t="s">
        <v>2405</v>
      </c>
      <c r="BE170" s="2" t="s">
        <v>2406</v>
      </c>
      <c r="BF170" s="2" t="s">
        <v>2407</v>
      </c>
    </row>
    <row r="171" spans="1:58" ht="39.75" customHeight="1">
      <c r="A171" s="1"/>
      <c r="B171" s="1" t="s">
        <v>58</v>
      </c>
      <c r="C171" s="1" t="s">
        <v>59</v>
      </c>
      <c r="D171" s="1" t="s">
        <v>2408</v>
      </c>
      <c r="E171" s="1" t="s">
        <v>2409</v>
      </c>
      <c r="F171" s="1" t="s">
        <v>2410</v>
      </c>
      <c r="H171" s="2" t="s">
        <v>63</v>
      </c>
      <c r="I171" s="2" t="s">
        <v>64</v>
      </c>
      <c r="J171" s="2" t="s">
        <v>74</v>
      </c>
      <c r="K171" s="2" t="s">
        <v>63</v>
      </c>
      <c r="L171" s="2" t="s">
        <v>65</v>
      </c>
      <c r="M171" s="1" t="s">
        <v>2411</v>
      </c>
      <c r="N171" s="1" t="s">
        <v>2412</v>
      </c>
      <c r="O171" s="2" t="s">
        <v>88</v>
      </c>
      <c r="Q171" s="2" t="s">
        <v>68</v>
      </c>
      <c r="R171" s="2" t="s">
        <v>628</v>
      </c>
      <c r="T171" s="2" t="s">
        <v>71</v>
      </c>
      <c r="U171" s="3">
        <v>11</v>
      </c>
      <c r="V171" s="3">
        <v>11</v>
      </c>
      <c r="W171" s="4" t="s">
        <v>2413</v>
      </c>
      <c r="X171" s="4" t="s">
        <v>2413</v>
      </c>
      <c r="Y171" s="4" t="s">
        <v>1122</v>
      </c>
      <c r="Z171" s="4" t="s">
        <v>1122</v>
      </c>
      <c r="AA171" s="3">
        <v>427</v>
      </c>
      <c r="AB171" s="3">
        <v>401</v>
      </c>
      <c r="AC171" s="3">
        <v>406</v>
      </c>
      <c r="AD171" s="3">
        <v>4</v>
      </c>
      <c r="AE171" s="3">
        <v>4</v>
      </c>
      <c r="AF171" s="3">
        <v>23</v>
      </c>
      <c r="AG171" s="3">
        <v>23</v>
      </c>
      <c r="AH171" s="3">
        <v>11</v>
      </c>
      <c r="AI171" s="3">
        <v>11</v>
      </c>
      <c r="AJ171" s="3">
        <v>6</v>
      </c>
      <c r="AK171" s="3">
        <v>6</v>
      </c>
      <c r="AL171" s="3">
        <v>12</v>
      </c>
      <c r="AM171" s="3">
        <v>12</v>
      </c>
      <c r="AN171" s="3">
        <v>2</v>
      </c>
      <c r="AO171" s="3">
        <v>2</v>
      </c>
      <c r="AP171" s="3">
        <v>1</v>
      </c>
      <c r="AQ171" s="3">
        <v>1</v>
      </c>
      <c r="AR171" s="2" t="s">
        <v>63</v>
      </c>
      <c r="AS171" s="2" t="s">
        <v>74</v>
      </c>
      <c r="AT171" s="5" t="str">
        <f>HYPERLINK("http://catalog.hathitrust.org/Record/008580947","HathiTrust Record")</f>
        <v>HathiTrust Record</v>
      </c>
      <c r="AU171" s="5" t="str">
        <f>HYPERLINK("https://creighton-primo.hosted.exlibrisgroup.com/primo-explore/search?tab=default_tab&amp;search_scope=EVERYTHING&amp;vid=01CRU&amp;lang=en_US&amp;offset=0&amp;query=any,contains,991005042949702656","Catalog Record")</f>
        <v>Catalog Record</v>
      </c>
      <c r="AV171" s="5" t="str">
        <f>HYPERLINK("http://www.worldcat.org/oclc/6813054","WorldCat Record")</f>
        <v>WorldCat Record</v>
      </c>
      <c r="AW171" s="2" t="s">
        <v>2414</v>
      </c>
      <c r="AX171" s="2" t="s">
        <v>2415</v>
      </c>
      <c r="AY171" s="2" t="s">
        <v>2416</v>
      </c>
      <c r="AZ171" s="2" t="s">
        <v>2416</v>
      </c>
      <c r="BA171" s="2" t="s">
        <v>2417</v>
      </c>
      <c r="BB171" s="2" t="s">
        <v>79</v>
      </c>
      <c r="BD171" s="2" t="s">
        <v>2418</v>
      </c>
      <c r="BE171" s="2" t="s">
        <v>2419</v>
      </c>
      <c r="BF171" s="2" t="s">
        <v>2420</v>
      </c>
    </row>
    <row r="172" spans="1:58" ht="39.75" customHeight="1">
      <c r="A172" s="1"/>
      <c r="B172" s="1" t="s">
        <v>58</v>
      </c>
      <c r="C172" s="1" t="s">
        <v>59</v>
      </c>
      <c r="D172" s="1" t="s">
        <v>2421</v>
      </c>
      <c r="E172" s="1" t="s">
        <v>2422</v>
      </c>
      <c r="F172" s="1" t="s">
        <v>2423</v>
      </c>
      <c r="H172" s="2" t="s">
        <v>63</v>
      </c>
      <c r="I172" s="2" t="s">
        <v>64</v>
      </c>
      <c r="J172" s="2" t="s">
        <v>63</v>
      </c>
      <c r="K172" s="2" t="s">
        <v>63</v>
      </c>
      <c r="L172" s="2" t="s">
        <v>65</v>
      </c>
      <c r="N172" s="1" t="s">
        <v>2424</v>
      </c>
      <c r="O172" s="2" t="s">
        <v>740</v>
      </c>
      <c r="Q172" s="2" t="s">
        <v>68</v>
      </c>
      <c r="R172" s="2" t="s">
        <v>1190</v>
      </c>
      <c r="T172" s="2" t="s">
        <v>71</v>
      </c>
      <c r="U172" s="3">
        <v>3</v>
      </c>
      <c r="V172" s="3">
        <v>3</v>
      </c>
      <c r="W172" s="4" t="s">
        <v>1274</v>
      </c>
      <c r="X172" s="4" t="s">
        <v>1274</v>
      </c>
      <c r="Y172" s="4" t="s">
        <v>2425</v>
      </c>
      <c r="Z172" s="4" t="s">
        <v>2425</v>
      </c>
      <c r="AA172" s="3">
        <v>368</v>
      </c>
      <c r="AB172" s="3">
        <v>340</v>
      </c>
      <c r="AC172" s="3">
        <v>346</v>
      </c>
      <c r="AD172" s="3">
        <v>1</v>
      </c>
      <c r="AE172" s="3">
        <v>1</v>
      </c>
      <c r="AF172" s="3">
        <v>18</v>
      </c>
      <c r="AG172" s="3">
        <v>18</v>
      </c>
      <c r="AH172" s="3">
        <v>6</v>
      </c>
      <c r="AI172" s="3">
        <v>6</v>
      </c>
      <c r="AJ172" s="3">
        <v>5</v>
      </c>
      <c r="AK172" s="3">
        <v>5</v>
      </c>
      <c r="AL172" s="3">
        <v>8</v>
      </c>
      <c r="AM172" s="3">
        <v>8</v>
      </c>
      <c r="AN172" s="3">
        <v>0</v>
      </c>
      <c r="AO172" s="3">
        <v>0</v>
      </c>
      <c r="AP172" s="3">
        <v>5</v>
      </c>
      <c r="AQ172" s="3">
        <v>5</v>
      </c>
      <c r="AR172" s="2" t="s">
        <v>63</v>
      </c>
      <c r="AS172" s="2" t="s">
        <v>63</v>
      </c>
      <c r="AU172" s="5" t="str">
        <f>HYPERLINK("https://creighton-primo.hosted.exlibrisgroup.com/primo-explore/search?tab=default_tab&amp;search_scope=EVERYTHING&amp;vid=01CRU&amp;lang=en_US&amp;offset=0&amp;query=any,contains,991000871929702656","Catalog Record")</f>
        <v>Catalog Record</v>
      </c>
      <c r="AV172" s="5" t="str">
        <f>HYPERLINK("http://www.worldcat.org/oclc/13793423","WorldCat Record")</f>
        <v>WorldCat Record</v>
      </c>
      <c r="AW172" s="2" t="s">
        <v>2426</v>
      </c>
      <c r="AX172" s="2" t="s">
        <v>2427</v>
      </c>
      <c r="AY172" s="2" t="s">
        <v>2428</v>
      </c>
      <c r="AZ172" s="2" t="s">
        <v>2428</v>
      </c>
      <c r="BA172" s="2" t="s">
        <v>2429</v>
      </c>
      <c r="BB172" s="2" t="s">
        <v>79</v>
      </c>
      <c r="BD172" s="2" t="s">
        <v>2430</v>
      </c>
      <c r="BE172" s="2" t="s">
        <v>2431</v>
      </c>
      <c r="BF172" s="2" t="s">
        <v>2432</v>
      </c>
    </row>
    <row r="173" spans="1:58" ht="39.75" customHeight="1">
      <c r="A173" s="1"/>
      <c r="B173" s="1" t="s">
        <v>58</v>
      </c>
      <c r="C173" s="1" t="s">
        <v>59</v>
      </c>
      <c r="D173" s="1" t="s">
        <v>2433</v>
      </c>
      <c r="E173" s="1" t="s">
        <v>2434</v>
      </c>
      <c r="F173" s="1" t="s">
        <v>2435</v>
      </c>
      <c r="H173" s="2" t="s">
        <v>63</v>
      </c>
      <c r="I173" s="2" t="s">
        <v>64</v>
      </c>
      <c r="J173" s="2" t="s">
        <v>63</v>
      </c>
      <c r="K173" s="2" t="s">
        <v>63</v>
      </c>
      <c r="L173" s="2" t="s">
        <v>65</v>
      </c>
      <c r="M173" s="1" t="s">
        <v>2436</v>
      </c>
      <c r="N173" s="1" t="s">
        <v>2437</v>
      </c>
      <c r="O173" s="2" t="s">
        <v>740</v>
      </c>
      <c r="Q173" s="2" t="s">
        <v>68</v>
      </c>
      <c r="R173" s="2" t="s">
        <v>89</v>
      </c>
      <c r="T173" s="2" t="s">
        <v>71</v>
      </c>
      <c r="U173" s="3">
        <v>3</v>
      </c>
      <c r="V173" s="3">
        <v>3</v>
      </c>
      <c r="W173" s="4" t="s">
        <v>2400</v>
      </c>
      <c r="X173" s="4" t="s">
        <v>2400</v>
      </c>
      <c r="Y173" s="4" t="s">
        <v>2438</v>
      </c>
      <c r="Z173" s="4" t="s">
        <v>2438</v>
      </c>
      <c r="AA173" s="3">
        <v>197</v>
      </c>
      <c r="AB173" s="3">
        <v>179</v>
      </c>
      <c r="AC173" s="3">
        <v>186</v>
      </c>
      <c r="AD173" s="3">
        <v>2</v>
      </c>
      <c r="AE173" s="3">
        <v>2</v>
      </c>
      <c r="AF173" s="3">
        <v>4</v>
      </c>
      <c r="AG173" s="3">
        <v>4</v>
      </c>
      <c r="AH173" s="3">
        <v>2</v>
      </c>
      <c r="AI173" s="3">
        <v>2</v>
      </c>
      <c r="AJ173" s="3">
        <v>1</v>
      </c>
      <c r="AK173" s="3">
        <v>1</v>
      </c>
      <c r="AL173" s="3">
        <v>1</v>
      </c>
      <c r="AM173" s="3">
        <v>1</v>
      </c>
      <c r="AN173" s="3">
        <v>1</v>
      </c>
      <c r="AO173" s="3">
        <v>1</v>
      </c>
      <c r="AP173" s="3">
        <v>0</v>
      </c>
      <c r="AQ173" s="3">
        <v>0</v>
      </c>
      <c r="AR173" s="2" t="s">
        <v>63</v>
      </c>
      <c r="AS173" s="2" t="s">
        <v>74</v>
      </c>
      <c r="AT173" s="5" t="str">
        <f>HYPERLINK("http://catalog.hathitrust.org/Record/004443353","HathiTrust Record")</f>
        <v>HathiTrust Record</v>
      </c>
      <c r="AU173" s="5" t="str">
        <f>HYPERLINK("https://creighton-primo.hosted.exlibrisgroup.com/primo-explore/search?tab=default_tab&amp;search_scope=EVERYTHING&amp;vid=01CRU&amp;lang=en_US&amp;offset=0&amp;query=any,contains,991001039099702656","Catalog Record")</f>
        <v>Catalog Record</v>
      </c>
      <c r="AV173" s="5" t="str">
        <f>HYPERLINK("http://www.worldcat.org/oclc/15560525","WorldCat Record")</f>
        <v>WorldCat Record</v>
      </c>
      <c r="AW173" s="2" t="s">
        <v>2439</v>
      </c>
      <c r="AX173" s="2" t="s">
        <v>2440</v>
      </c>
      <c r="AY173" s="2" t="s">
        <v>2441</v>
      </c>
      <c r="AZ173" s="2" t="s">
        <v>2441</v>
      </c>
      <c r="BA173" s="2" t="s">
        <v>2442</v>
      </c>
      <c r="BB173" s="2" t="s">
        <v>79</v>
      </c>
      <c r="BD173" s="2" t="s">
        <v>2443</v>
      </c>
      <c r="BE173" s="2" t="s">
        <v>2444</v>
      </c>
      <c r="BF173" s="2" t="s">
        <v>2445</v>
      </c>
    </row>
    <row r="174" spans="1:58" ht="39.75" customHeight="1">
      <c r="A174" s="1"/>
      <c r="B174" s="1" t="s">
        <v>58</v>
      </c>
      <c r="C174" s="1" t="s">
        <v>59</v>
      </c>
      <c r="D174" s="1" t="s">
        <v>2446</v>
      </c>
      <c r="E174" s="1" t="s">
        <v>2447</v>
      </c>
      <c r="F174" s="1" t="s">
        <v>2448</v>
      </c>
      <c r="H174" s="2" t="s">
        <v>63</v>
      </c>
      <c r="I174" s="2" t="s">
        <v>64</v>
      </c>
      <c r="J174" s="2" t="s">
        <v>74</v>
      </c>
      <c r="K174" s="2" t="s">
        <v>63</v>
      </c>
      <c r="L174" s="2" t="s">
        <v>65</v>
      </c>
      <c r="M174" s="1" t="s">
        <v>2449</v>
      </c>
      <c r="N174" s="1" t="s">
        <v>2450</v>
      </c>
      <c r="O174" s="2" t="s">
        <v>121</v>
      </c>
      <c r="Q174" s="2" t="s">
        <v>68</v>
      </c>
      <c r="R174" s="2" t="s">
        <v>106</v>
      </c>
      <c r="S174" s="1" t="s">
        <v>2451</v>
      </c>
      <c r="T174" s="2" t="s">
        <v>71</v>
      </c>
      <c r="U174" s="3">
        <v>2</v>
      </c>
      <c r="V174" s="3">
        <v>10</v>
      </c>
      <c r="X174" s="4" t="s">
        <v>2452</v>
      </c>
      <c r="Y174" s="4" t="s">
        <v>2453</v>
      </c>
      <c r="Z174" s="4" t="s">
        <v>2453</v>
      </c>
      <c r="AA174" s="3">
        <v>483</v>
      </c>
      <c r="AB174" s="3">
        <v>424</v>
      </c>
      <c r="AC174" s="3">
        <v>428</v>
      </c>
      <c r="AD174" s="3">
        <v>5</v>
      </c>
      <c r="AE174" s="3">
        <v>5</v>
      </c>
      <c r="AF174" s="3">
        <v>14</v>
      </c>
      <c r="AG174" s="3">
        <v>14</v>
      </c>
      <c r="AH174" s="3">
        <v>3</v>
      </c>
      <c r="AI174" s="3">
        <v>3</v>
      </c>
      <c r="AJ174" s="3">
        <v>3</v>
      </c>
      <c r="AK174" s="3">
        <v>3</v>
      </c>
      <c r="AL174" s="3">
        <v>9</v>
      </c>
      <c r="AM174" s="3">
        <v>9</v>
      </c>
      <c r="AN174" s="3">
        <v>3</v>
      </c>
      <c r="AO174" s="3">
        <v>3</v>
      </c>
      <c r="AP174" s="3">
        <v>0</v>
      </c>
      <c r="AQ174" s="3">
        <v>0</v>
      </c>
      <c r="AR174" s="2" t="s">
        <v>63</v>
      </c>
      <c r="AS174" s="2" t="s">
        <v>74</v>
      </c>
      <c r="AT174" s="5" t="str">
        <f>HYPERLINK("http://catalog.hathitrust.org/Record/000751845","HathiTrust Record")</f>
        <v>HathiTrust Record</v>
      </c>
      <c r="AU174" s="5" t="str">
        <f>HYPERLINK("https://creighton-primo.hosted.exlibrisgroup.com/primo-explore/search?tab=default_tab&amp;search_scope=EVERYTHING&amp;vid=01CRU&amp;lang=en_US&amp;offset=0&amp;query=any,contains,991001782939702656","Catalog Record")</f>
        <v>Catalog Record</v>
      </c>
      <c r="AV174" s="5" t="str">
        <f>HYPERLINK("http://www.worldcat.org/oclc/3414259","WorldCat Record")</f>
        <v>WorldCat Record</v>
      </c>
      <c r="AW174" s="2" t="s">
        <v>2454</v>
      </c>
      <c r="AX174" s="2" t="s">
        <v>2455</v>
      </c>
      <c r="AY174" s="2" t="s">
        <v>2456</v>
      </c>
      <c r="AZ174" s="2" t="s">
        <v>2456</v>
      </c>
      <c r="BA174" s="2" t="s">
        <v>2457</v>
      </c>
      <c r="BB174" s="2" t="s">
        <v>79</v>
      </c>
      <c r="BD174" s="2" t="s">
        <v>2458</v>
      </c>
      <c r="BE174" s="2" t="s">
        <v>2459</v>
      </c>
      <c r="BF174" s="2" t="s">
        <v>2460</v>
      </c>
    </row>
    <row r="175" spans="1:58" ht="39.75" customHeight="1">
      <c r="A175" s="1"/>
      <c r="B175" s="1" t="s">
        <v>58</v>
      </c>
      <c r="C175" s="1" t="s">
        <v>59</v>
      </c>
      <c r="D175" s="1" t="s">
        <v>2461</v>
      </c>
      <c r="E175" s="1" t="s">
        <v>2462</v>
      </c>
      <c r="F175" s="1" t="s">
        <v>2463</v>
      </c>
      <c r="H175" s="2" t="s">
        <v>63</v>
      </c>
      <c r="I175" s="2" t="s">
        <v>64</v>
      </c>
      <c r="J175" s="2" t="s">
        <v>63</v>
      </c>
      <c r="K175" s="2" t="s">
        <v>63</v>
      </c>
      <c r="L175" s="2" t="s">
        <v>65</v>
      </c>
      <c r="N175" s="1" t="s">
        <v>2464</v>
      </c>
      <c r="O175" s="2" t="s">
        <v>166</v>
      </c>
      <c r="Q175" s="2" t="s">
        <v>68</v>
      </c>
      <c r="R175" s="2" t="s">
        <v>167</v>
      </c>
      <c r="T175" s="2" t="s">
        <v>71</v>
      </c>
      <c r="U175" s="3">
        <v>10</v>
      </c>
      <c r="V175" s="3">
        <v>10</v>
      </c>
      <c r="W175" s="4" t="s">
        <v>2465</v>
      </c>
      <c r="X175" s="4" t="s">
        <v>2465</v>
      </c>
      <c r="Y175" s="4" t="s">
        <v>2061</v>
      </c>
      <c r="Z175" s="4" t="s">
        <v>2061</v>
      </c>
      <c r="AA175" s="3">
        <v>462</v>
      </c>
      <c r="AB175" s="3">
        <v>384</v>
      </c>
      <c r="AC175" s="3">
        <v>391</v>
      </c>
      <c r="AD175" s="3">
        <v>2</v>
      </c>
      <c r="AE175" s="3">
        <v>2</v>
      </c>
      <c r="AF175" s="3">
        <v>14</v>
      </c>
      <c r="AG175" s="3">
        <v>14</v>
      </c>
      <c r="AH175" s="3">
        <v>4</v>
      </c>
      <c r="AI175" s="3">
        <v>4</v>
      </c>
      <c r="AJ175" s="3">
        <v>3</v>
      </c>
      <c r="AK175" s="3">
        <v>3</v>
      </c>
      <c r="AL175" s="3">
        <v>10</v>
      </c>
      <c r="AM175" s="3">
        <v>10</v>
      </c>
      <c r="AN175" s="3">
        <v>1</v>
      </c>
      <c r="AO175" s="3">
        <v>1</v>
      </c>
      <c r="AP175" s="3">
        <v>0</v>
      </c>
      <c r="AQ175" s="3">
        <v>0</v>
      </c>
      <c r="AR175" s="2" t="s">
        <v>63</v>
      </c>
      <c r="AS175" s="2" t="s">
        <v>74</v>
      </c>
      <c r="AT175" s="5" t="str">
        <f>HYPERLINK("http://catalog.hathitrust.org/Record/000921252","HathiTrust Record")</f>
        <v>HathiTrust Record</v>
      </c>
      <c r="AU175" s="5" t="str">
        <f>HYPERLINK("https://creighton-primo.hosted.exlibrisgroup.com/primo-explore/search?tab=default_tab&amp;search_scope=EVERYTHING&amp;vid=01CRU&amp;lang=en_US&amp;offset=0&amp;query=any,contains,991001226949702656","Catalog Record")</f>
        <v>Catalog Record</v>
      </c>
      <c r="AV175" s="5" t="str">
        <f>HYPERLINK("http://www.worldcat.org/oclc/17508716","WorldCat Record")</f>
        <v>WorldCat Record</v>
      </c>
      <c r="AW175" s="2" t="s">
        <v>2466</v>
      </c>
      <c r="AX175" s="2" t="s">
        <v>2467</v>
      </c>
      <c r="AY175" s="2" t="s">
        <v>2468</v>
      </c>
      <c r="AZ175" s="2" t="s">
        <v>2468</v>
      </c>
      <c r="BA175" s="2" t="s">
        <v>2469</v>
      </c>
      <c r="BB175" s="2" t="s">
        <v>79</v>
      </c>
      <c r="BD175" s="2" t="s">
        <v>2470</v>
      </c>
      <c r="BE175" s="2" t="s">
        <v>2471</v>
      </c>
      <c r="BF175" s="2" t="s">
        <v>2472</v>
      </c>
    </row>
    <row r="176" spans="1:58" ht="39.75" customHeight="1">
      <c r="A176" s="1"/>
      <c r="B176" s="1" t="s">
        <v>58</v>
      </c>
      <c r="C176" s="1" t="s">
        <v>59</v>
      </c>
      <c r="D176" s="1" t="s">
        <v>2473</v>
      </c>
      <c r="E176" s="1" t="s">
        <v>2474</v>
      </c>
      <c r="F176" s="1" t="s">
        <v>2475</v>
      </c>
      <c r="H176" s="2" t="s">
        <v>63</v>
      </c>
      <c r="I176" s="2" t="s">
        <v>64</v>
      </c>
      <c r="J176" s="2" t="s">
        <v>74</v>
      </c>
      <c r="K176" s="2" t="s">
        <v>63</v>
      </c>
      <c r="L176" s="2" t="s">
        <v>65</v>
      </c>
      <c r="N176" s="1" t="s">
        <v>2476</v>
      </c>
      <c r="O176" s="2" t="s">
        <v>598</v>
      </c>
      <c r="Q176" s="2" t="s">
        <v>68</v>
      </c>
      <c r="R176" s="2" t="s">
        <v>106</v>
      </c>
      <c r="S176" s="1" t="s">
        <v>1315</v>
      </c>
      <c r="T176" s="2" t="s">
        <v>71</v>
      </c>
      <c r="U176" s="3">
        <v>1</v>
      </c>
      <c r="V176" s="3">
        <v>16</v>
      </c>
      <c r="X176" s="4" t="s">
        <v>2477</v>
      </c>
      <c r="Y176" s="4" t="s">
        <v>1752</v>
      </c>
      <c r="Z176" s="4" t="s">
        <v>1752</v>
      </c>
      <c r="AA176" s="3">
        <v>367</v>
      </c>
      <c r="AB176" s="3">
        <v>273</v>
      </c>
      <c r="AC176" s="3">
        <v>292</v>
      </c>
      <c r="AD176" s="3">
        <v>3</v>
      </c>
      <c r="AE176" s="3">
        <v>3</v>
      </c>
      <c r="AF176" s="3">
        <v>9</v>
      </c>
      <c r="AG176" s="3">
        <v>9</v>
      </c>
      <c r="AH176" s="3">
        <v>2</v>
      </c>
      <c r="AI176" s="3">
        <v>2</v>
      </c>
      <c r="AJ176" s="3">
        <v>2</v>
      </c>
      <c r="AK176" s="3">
        <v>2</v>
      </c>
      <c r="AL176" s="3">
        <v>5</v>
      </c>
      <c r="AM176" s="3">
        <v>5</v>
      </c>
      <c r="AN176" s="3">
        <v>1</v>
      </c>
      <c r="AO176" s="3">
        <v>1</v>
      </c>
      <c r="AP176" s="3">
        <v>1</v>
      </c>
      <c r="AQ176" s="3">
        <v>1</v>
      </c>
      <c r="AR176" s="2" t="s">
        <v>63</v>
      </c>
      <c r="AS176" s="2" t="s">
        <v>74</v>
      </c>
      <c r="AT176" s="5" t="str">
        <f>HYPERLINK("http://catalog.hathitrust.org/Record/002858418","HathiTrust Record")</f>
        <v>HathiTrust Record</v>
      </c>
      <c r="AU176" s="5" t="str">
        <f>HYPERLINK("https://creighton-primo.hosted.exlibrisgroup.com/primo-explore/search?tab=default_tab&amp;search_scope=EVERYTHING&amp;vid=01CRU&amp;lang=en_US&amp;offset=0&amp;query=any,contains,991001744919702656","Catalog Record")</f>
        <v>Catalog Record</v>
      </c>
      <c r="AV176" s="5" t="str">
        <f>HYPERLINK("http://www.worldcat.org/oclc/29702339","WorldCat Record")</f>
        <v>WorldCat Record</v>
      </c>
      <c r="AW176" s="2" t="s">
        <v>2478</v>
      </c>
      <c r="AX176" s="2" t="s">
        <v>2479</v>
      </c>
      <c r="AY176" s="2" t="s">
        <v>2480</v>
      </c>
      <c r="AZ176" s="2" t="s">
        <v>2480</v>
      </c>
      <c r="BA176" s="2" t="s">
        <v>2481</v>
      </c>
      <c r="BB176" s="2" t="s">
        <v>79</v>
      </c>
      <c r="BD176" s="2" t="s">
        <v>2482</v>
      </c>
      <c r="BE176" s="2" t="s">
        <v>2483</v>
      </c>
      <c r="BF176" s="2" t="s">
        <v>2484</v>
      </c>
    </row>
    <row r="177" spans="1:58" ht="39.75" customHeight="1">
      <c r="A177" s="1"/>
      <c r="B177" s="1" t="s">
        <v>58</v>
      </c>
      <c r="C177" s="1" t="s">
        <v>59</v>
      </c>
      <c r="D177" s="1" t="s">
        <v>2485</v>
      </c>
      <c r="E177" s="1" t="s">
        <v>2486</v>
      </c>
      <c r="F177" s="1" t="s">
        <v>2487</v>
      </c>
      <c r="H177" s="2" t="s">
        <v>63</v>
      </c>
      <c r="I177" s="2" t="s">
        <v>64</v>
      </c>
      <c r="J177" s="2" t="s">
        <v>63</v>
      </c>
      <c r="K177" s="2" t="s">
        <v>63</v>
      </c>
      <c r="L177" s="2" t="s">
        <v>65</v>
      </c>
      <c r="N177" s="1" t="s">
        <v>2488</v>
      </c>
      <c r="O177" s="2" t="s">
        <v>726</v>
      </c>
      <c r="Q177" s="2" t="s">
        <v>68</v>
      </c>
      <c r="R177" s="2" t="s">
        <v>106</v>
      </c>
      <c r="S177" s="1" t="s">
        <v>2489</v>
      </c>
      <c r="T177" s="2" t="s">
        <v>71</v>
      </c>
      <c r="U177" s="3">
        <v>3</v>
      </c>
      <c r="V177" s="3">
        <v>3</v>
      </c>
      <c r="W177" s="4" t="s">
        <v>2490</v>
      </c>
      <c r="X177" s="4" t="s">
        <v>2490</v>
      </c>
      <c r="Y177" s="4" t="s">
        <v>2491</v>
      </c>
      <c r="Z177" s="4" t="s">
        <v>2491</v>
      </c>
      <c r="AA177" s="3">
        <v>272</v>
      </c>
      <c r="AB177" s="3">
        <v>250</v>
      </c>
      <c r="AC177" s="3">
        <v>281</v>
      </c>
      <c r="AD177" s="3">
        <v>3</v>
      </c>
      <c r="AE177" s="3">
        <v>4</v>
      </c>
      <c r="AF177" s="3">
        <v>7</v>
      </c>
      <c r="AG177" s="3">
        <v>10</v>
      </c>
      <c r="AH177" s="3">
        <v>3</v>
      </c>
      <c r="AI177" s="3">
        <v>4</v>
      </c>
      <c r="AJ177" s="3">
        <v>2</v>
      </c>
      <c r="AK177" s="3">
        <v>3</v>
      </c>
      <c r="AL177" s="3">
        <v>5</v>
      </c>
      <c r="AM177" s="3">
        <v>6</v>
      </c>
      <c r="AN177" s="3">
        <v>2</v>
      </c>
      <c r="AO177" s="3">
        <v>3</v>
      </c>
      <c r="AP177" s="3">
        <v>0</v>
      </c>
      <c r="AQ177" s="3">
        <v>0</v>
      </c>
      <c r="AR177" s="2" t="s">
        <v>63</v>
      </c>
      <c r="AS177" s="2" t="s">
        <v>63</v>
      </c>
      <c r="AU177" s="5" t="str">
        <f>HYPERLINK("https://creighton-primo.hosted.exlibrisgroup.com/primo-explore/search?tab=default_tab&amp;search_scope=EVERYTHING&amp;vid=01CRU&amp;lang=en_US&amp;offset=0&amp;query=any,contains,991004139799702656","Catalog Record")</f>
        <v>Catalog Record</v>
      </c>
      <c r="AV177" s="5" t="str">
        <f>HYPERLINK("http://www.worldcat.org/oclc/2493883","WorldCat Record")</f>
        <v>WorldCat Record</v>
      </c>
      <c r="AW177" s="2" t="s">
        <v>2492</v>
      </c>
      <c r="AX177" s="2" t="s">
        <v>2493</v>
      </c>
      <c r="AY177" s="2" t="s">
        <v>2494</v>
      </c>
      <c r="AZ177" s="2" t="s">
        <v>2494</v>
      </c>
      <c r="BA177" s="2" t="s">
        <v>2495</v>
      </c>
      <c r="BB177" s="2" t="s">
        <v>79</v>
      </c>
      <c r="BD177" s="2" t="s">
        <v>2496</v>
      </c>
      <c r="BE177" s="2" t="s">
        <v>2497</v>
      </c>
      <c r="BF177" s="2" t="s">
        <v>2498</v>
      </c>
    </row>
    <row r="178" spans="1:58" ht="39.75" customHeight="1">
      <c r="A178" s="1"/>
      <c r="B178" s="1" t="s">
        <v>58</v>
      </c>
      <c r="C178" s="1" t="s">
        <v>59</v>
      </c>
      <c r="D178" s="1" t="s">
        <v>2499</v>
      </c>
      <c r="E178" s="1" t="s">
        <v>2500</v>
      </c>
      <c r="F178" s="1" t="s">
        <v>2501</v>
      </c>
      <c r="H178" s="2" t="s">
        <v>63</v>
      </c>
      <c r="I178" s="2" t="s">
        <v>64</v>
      </c>
      <c r="J178" s="2" t="s">
        <v>63</v>
      </c>
      <c r="K178" s="2" t="s">
        <v>63</v>
      </c>
      <c r="L178" s="2" t="s">
        <v>65</v>
      </c>
      <c r="M178" s="1" t="s">
        <v>2502</v>
      </c>
      <c r="N178" s="1" t="s">
        <v>2503</v>
      </c>
      <c r="O178" s="2" t="s">
        <v>88</v>
      </c>
      <c r="Q178" s="2" t="s">
        <v>68</v>
      </c>
      <c r="R178" s="2" t="s">
        <v>106</v>
      </c>
      <c r="T178" s="2" t="s">
        <v>71</v>
      </c>
      <c r="U178" s="3">
        <v>6</v>
      </c>
      <c r="V178" s="3">
        <v>6</v>
      </c>
      <c r="W178" s="4" t="s">
        <v>2504</v>
      </c>
      <c r="X178" s="4" t="s">
        <v>2504</v>
      </c>
      <c r="Y178" s="4" t="s">
        <v>2061</v>
      </c>
      <c r="Z178" s="4" t="s">
        <v>2061</v>
      </c>
      <c r="AA178" s="3">
        <v>232</v>
      </c>
      <c r="AB178" s="3">
        <v>177</v>
      </c>
      <c r="AC178" s="3">
        <v>503</v>
      </c>
      <c r="AD178" s="3">
        <v>2</v>
      </c>
      <c r="AE178" s="3">
        <v>5</v>
      </c>
      <c r="AF178" s="3">
        <v>4</v>
      </c>
      <c r="AG178" s="3">
        <v>14</v>
      </c>
      <c r="AH178" s="3">
        <v>0</v>
      </c>
      <c r="AI178" s="3">
        <v>2</v>
      </c>
      <c r="AJ178" s="3">
        <v>1</v>
      </c>
      <c r="AK178" s="3">
        <v>3</v>
      </c>
      <c r="AL178" s="3">
        <v>1</v>
      </c>
      <c r="AM178" s="3">
        <v>6</v>
      </c>
      <c r="AN178" s="3">
        <v>0</v>
      </c>
      <c r="AO178" s="3">
        <v>3</v>
      </c>
      <c r="AP178" s="3">
        <v>2</v>
      </c>
      <c r="AQ178" s="3">
        <v>2</v>
      </c>
      <c r="AR178" s="2" t="s">
        <v>63</v>
      </c>
      <c r="AS178" s="2" t="s">
        <v>74</v>
      </c>
      <c r="AT178" s="5" t="str">
        <f>HYPERLINK("http://catalog.hathitrust.org/Record/006174004","HathiTrust Record")</f>
        <v>HathiTrust Record</v>
      </c>
      <c r="AU178" s="5" t="str">
        <f>HYPERLINK("https://creighton-primo.hosted.exlibrisgroup.com/primo-explore/search?tab=default_tab&amp;search_scope=EVERYTHING&amp;vid=01CRU&amp;lang=en_US&amp;offset=0&amp;query=any,contains,991004977509702656","Catalog Record")</f>
        <v>Catalog Record</v>
      </c>
      <c r="AV178" s="5" t="str">
        <f>HYPERLINK("http://www.worldcat.org/oclc/6408277","WorldCat Record")</f>
        <v>WorldCat Record</v>
      </c>
      <c r="AW178" s="2" t="s">
        <v>2505</v>
      </c>
      <c r="AX178" s="2" t="s">
        <v>2506</v>
      </c>
      <c r="AY178" s="2" t="s">
        <v>2507</v>
      </c>
      <c r="AZ178" s="2" t="s">
        <v>2507</v>
      </c>
      <c r="BA178" s="2" t="s">
        <v>2508</v>
      </c>
      <c r="BB178" s="2" t="s">
        <v>79</v>
      </c>
      <c r="BD178" s="2" t="s">
        <v>2509</v>
      </c>
      <c r="BE178" s="2" t="s">
        <v>2510</v>
      </c>
      <c r="BF178" s="2" t="s">
        <v>2511</v>
      </c>
    </row>
    <row r="179" spans="1:58" ht="39.75" customHeight="1">
      <c r="A179" s="1"/>
      <c r="B179" s="1" t="s">
        <v>58</v>
      </c>
      <c r="C179" s="1" t="s">
        <v>59</v>
      </c>
      <c r="D179" s="1" t="s">
        <v>2512</v>
      </c>
      <c r="E179" s="1" t="s">
        <v>2513</v>
      </c>
      <c r="F179" s="1" t="s">
        <v>2514</v>
      </c>
      <c r="H179" s="2" t="s">
        <v>63</v>
      </c>
      <c r="I179" s="2" t="s">
        <v>64</v>
      </c>
      <c r="J179" s="2" t="s">
        <v>63</v>
      </c>
      <c r="K179" s="2" t="s">
        <v>63</v>
      </c>
      <c r="L179" s="2" t="s">
        <v>65</v>
      </c>
      <c r="M179" s="1" t="s">
        <v>2515</v>
      </c>
      <c r="N179" s="1" t="s">
        <v>2516</v>
      </c>
      <c r="O179" s="2" t="s">
        <v>330</v>
      </c>
      <c r="Q179" s="2" t="s">
        <v>68</v>
      </c>
      <c r="R179" s="2" t="s">
        <v>106</v>
      </c>
      <c r="T179" s="2" t="s">
        <v>71</v>
      </c>
      <c r="U179" s="3">
        <v>2</v>
      </c>
      <c r="V179" s="3">
        <v>2</v>
      </c>
      <c r="W179" s="4" t="s">
        <v>2517</v>
      </c>
      <c r="X179" s="4" t="s">
        <v>2517</v>
      </c>
      <c r="Y179" s="4" t="s">
        <v>2518</v>
      </c>
      <c r="Z179" s="4" t="s">
        <v>2518</v>
      </c>
      <c r="AA179" s="3">
        <v>219</v>
      </c>
      <c r="AB179" s="3">
        <v>150</v>
      </c>
      <c r="AC179" s="3">
        <v>152</v>
      </c>
      <c r="AD179" s="3">
        <v>2</v>
      </c>
      <c r="AE179" s="3">
        <v>2</v>
      </c>
      <c r="AF179" s="3">
        <v>3</v>
      </c>
      <c r="AG179" s="3">
        <v>3</v>
      </c>
      <c r="AH179" s="3">
        <v>0</v>
      </c>
      <c r="AI179" s="3">
        <v>0</v>
      </c>
      <c r="AJ179" s="3">
        <v>1</v>
      </c>
      <c r="AK179" s="3">
        <v>1</v>
      </c>
      <c r="AL179" s="3">
        <v>2</v>
      </c>
      <c r="AM179" s="3">
        <v>2</v>
      </c>
      <c r="AN179" s="3">
        <v>1</v>
      </c>
      <c r="AO179" s="3">
        <v>1</v>
      </c>
      <c r="AP179" s="3">
        <v>0</v>
      </c>
      <c r="AQ179" s="3">
        <v>0</v>
      </c>
      <c r="AR179" s="2" t="s">
        <v>63</v>
      </c>
      <c r="AS179" s="2" t="s">
        <v>74</v>
      </c>
      <c r="AT179" s="5" t="str">
        <f>HYPERLINK("http://catalog.hathitrust.org/Record/001559241","HathiTrust Record")</f>
        <v>HathiTrust Record</v>
      </c>
      <c r="AU179" s="5" t="str">
        <f>HYPERLINK("https://creighton-primo.hosted.exlibrisgroup.com/primo-explore/search?tab=default_tab&amp;search_scope=EVERYTHING&amp;vid=01CRU&amp;lang=en_US&amp;offset=0&amp;query=any,contains,991003669329702656","Catalog Record")</f>
        <v>Catalog Record</v>
      </c>
      <c r="AV179" s="5" t="str">
        <f>HYPERLINK("http://www.worldcat.org/oclc/1286041","WorldCat Record")</f>
        <v>WorldCat Record</v>
      </c>
      <c r="AW179" s="2" t="s">
        <v>2519</v>
      </c>
      <c r="AX179" s="2" t="s">
        <v>2520</v>
      </c>
      <c r="AY179" s="2" t="s">
        <v>2521</v>
      </c>
      <c r="AZ179" s="2" t="s">
        <v>2521</v>
      </c>
      <c r="BA179" s="2" t="s">
        <v>2522</v>
      </c>
      <c r="BB179" s="2" t="s">
        <v>79</v>
      </c>
      <c r="BE179" s="2" t="s">
        <v>2523</v>
      </c>
      <c r="BF179" s="2" t="s">
        <v>2524</v>
      </c>
    </row>
    <row r="180" spans="1:58" ht="39.75" customHeight="1">
      <c r="A180" s="1"/>
      <c r="B180" s="1" t="s">
        <v>58</v>
      </c>
      <c r="C180" s="1" t="s">
        <v>59</v>
      </c>
      <c r="D180" s="1" t="s">
        <v>2525</v>
      </c>
      <c r="E180" s="1" t="s">
        <v>2526</v>
      </c>
      <c r="F180" s="1" t="s">
        <v>2527</v>
      </c>
      <c r="H180" s="2" t="s">
        <v>63</v>
      </c>
      <c r="I180" s="2" t="s">
        <v>64</v>
      </c>
      <c r="J180" s="2" t="s">
        <v>63</v>
      </c>
      <c r="K180" s="2" t="s">
        <v>63</v>
      </c>
      <c r="L180" s="2" t="s">
        <v>65</v>
      </c>
      <c r="N180" s="1" t="s">
        <v>2528</v>
      </c>
      <c r="O180" s="2" t="s">
        <v>314</v>
      </c>
      <c r="Q180" s="2" t="s">
        <v>68</v>
      </c>
      <c r="R180" s="2" t="s">
        <v>583</v>
      </c>
      <c r="T180" s="2" t="s">
        <v>71</v>
      </c>
      <c r="U180" s="3">
        <v>8</v>
      </c>
      <c r="V180" s="3">
        <v>8</v>
      </c>
      <c r="W180" s="4" t="s">
        <v>2529</v>
      </c>
      <c r="X180" s="4" t="s">
        <v>2529</v>
      </c>
      <c r="Y180" s="4" t="s">
        <v>2061</v>
      </c>
      <c r="Z180" s="4" t="s">
        <v>2061</v>
      </c>
      <c r="AA180" s="3">
        <v>346</v>
      </c>
      <c r="AB180" s="3">
        <v>257</v>
      </c>
      <c r="AC180" s="3">
        <v>273</v>
      </c>
      <c r="AD180" s="3">
        <v>2</v>
      </c>
      <c r="AE180" s="3">
        <v>2</v>
      </c>
      <c r="AF180" s="3">
        <v>5</v>
      </c>
      <c r="AG180" s="3">
        <v>7</v>
      </c>
      <c r="AH180" s="3">
        <v>2</v>
      </c>
      <c r="AI180" s="3">
        <v>3</v>
      </c>
      <c r="AJ180" s="3">
        <v>2</v>
      </c>
      <c r="AK180" s="3">
        <v>3</v>
      </c>
      <c r="AL180" s="3">
        <v>2</v>
      </c>
      <c r="AM180" s="3">
        <v>2</v>
      </c>
      <c r="AN180" s="3">
        <v>1</v>
      </c>
      <c r="AO180" s="3">
        <v>1</v>
      </c>
      <c r="AP180" s="3">
        <v>0</v>
      </c>
      <c r="AQ180" s="3">
        <v>0</v>
      </c>
      <c r="AR180" s="2" t="s">
        <v>63</v>
      </c>
      <c r="AS180" s="2" t="s">
        <v>74</v>
      </c>
      <c r="AT180" s="5" t="str">
        <f>HYPERLINK("http://catalog.hathitrust.org/Record/000296342","HathiTrust Record")</f>
        <v>HathiTrust Record</v>
      </c>
      <c r="AU180" s="5" t="str">
        <f>HYPERLINK("https://creighton-primo.hosted.exlibrisgroup.com/primo-explore/search?tab=default_tab&amp;search_scope=EVERYTHING&amp;vid=01CRU&amp;lang=en_US&amp;offset=0&amp;query=any,contains,991004387659702656","Catalog Record")</f>
        <v>Catalog Record</v>
      </c>
      <c r="AV180" s="5" t="str">
        <f>HYPERLINK("http://www.worldcat.org/oclc/3247341","WorldCat Record")</f>
        <v>WorldCat Record</v>
      </c>
      <c r="AW180" s="2" t="s">
        <v>2530</v>
      </c>
      <c r="AX180" s="2" t="s">
        <v>2531</v>
      </c>
      <c r="AY180" s="2" t="s">
        <v>2532</v>
      </c>
      <c r="AZ180" s="2" t="s">
        <v>2532</v>
      </c>
      <c r="BA180" s="2" t="s">
        <v>2533</v>
      </c>
      <c r="BB180" s="2" t="s">
        <v>79</v>
      </c>
      <c r="BD180" s="2" t="s">
        <v>2534</v>
      </c>
      <c r="BE180" s="2" t="s">
        <v>2535</v>
      </c>
      <c r="BF180" s="2" t="s">
        <v>2536</v>
      </c>
    </row>
    <row r="181" spans="1:58" ht="39.75" customHeight="1">
      <c r="A181" s="1"/>
      <c r="B181" s="1" t="s">
        <v>58</v>
      </c>
      <c r="C181" s="1" t="s">
        <v>59</v>
      </c>
      <c r="D181" s="1" t="s">
        <v>2537</v>
      </c>
      <c r="E181" s="1" t="s">
        <v>2538</v>
      </c>
      <c r="F181" s="1" t="s">
        <v>2539</v>
      </c>
      <c r="H181" s="2" t="s">
        <v>63</v>
      </c>
      <c r="I181" s="2" t="s">
        <v>64</v>
      </c>
      <c r="J181" s="2" t="s">
        <v>63</v>
      </c>
      <c r="K181" s="2" t="s">
        <v>63</v>
      </c>
      <c r="L181" s="2" t="s">
        <v>65</v>
      </c>
      <c r="N181" s="1" t="s">
        <v>2540</v>
      </c>
      <c r="O181" s="2" t="s">
        <v>314</v>
      </c>
      <c r="Q181" s="2" t="s">
        <v>68</v>
      </c>
      <c r="R181" s="2" t="s">
        <v>106</v>
      </c>
      <c r="S181" s="1" t="s">
        <v>2541</v>
      </c>
      <c r="T181" s="2" t="s">
        <v>71</v>
      </c>
      <c r="U181" s="3">
        <v>14</v>
      </c>
      <c r="V181" s="3">
        <v>14</v>
      </c>
      <c r="W181" s="4" t="s">
        <v>2542</v>
      </c>
      <c r="X181" s="4" t="s">
        <v>2542</v>
      </c>
      <c r="Y181" s="4" t="s">
        <v>1122</v>
      </c>
      <c r="Z181" s="4" t="s">
        <v>1122</v>
      </c>
      <c r="AA181" s="3">
        <v>258</v>
      </c>
      <c r="AB181" s="3">
        <v>222</v>
      </c>
      <c r="AC181" s="3">
        <v>239</v>
      </c>
      <c r="AD181" s="3">
        <v>1</v>
      </c>
      <c r="AE181" s="3">
        <v>1</v>
      </c>
      <c r="AF181" s="3">
        <v>3</v>
      </c>
      <c r="AG181" s="3">
        <v>3</v>
      </c>
      <c r="AH181" s="3">
        <v>0</v>
      </c>
      <c r="AI181" s="3">
        <v>0</v>
      </c>
      <c r="AJ181" s="3">
        <v>3</v>
      </c>
      <c r="AK181" s="3">
        <v>3</v>
      </c>
      <c r="AL181" s="3">
        <v>3</v>
      </c>
      <c r="AM181" s="3">
        <v>3</v>
      </c>
      <c r="AN181" s="3">
        <v>0</v>
      </c>
      <c r="AO181" s="3">
        <v>0</v>
      </c>
      <c r="AP181" s="3">
        <v>0</v>
      </c>
      <c r="AQ181" s="3">
        <v>0</v>
      </c>
      <c r="AR181" s="2" t="s">
        <v>63</v>
      </c>
      <c r="AS181" s="2" t="s">
        <v>74</v>
      </c>
      <c r="AT181" s="5" t="str">
        <f>HYPERLINK("http://catalog.hathitrust.org/Record/000217026","HathiTrust Record")</f>
        <v>HathiTrust Record</v>
      </c>
      <c r="AU181" s="5" t="str">
        <f>HYPERLINK("https://creighton-primo.hosted.exlibrisgroup.com/primo-explore/search?tab=default_tab&amp;search_scope=EVERYTHING&amp;vid=01CRU&amp;lang=en_US&amp;offset=0&amp;query=any,contains,991004613829702656","Catalog Record")</f>
        <v>Catalog Record</v>
      </c>
      <c r="AV181" s="5" t="str">
        <f>HYPERLINK("http://www.worldcat.org/oclc/4234862","WorldCat Record")</f>
        <v>WorldCat Record</v>
      </c>
      <c r="AW181" s="2" t="s">
        <v>2543</v>
      </c>
      <c r="AX181" s="2" t="s">
        <v>2544</v>
      </c>
      <c r="AY181" s="2" t="s">
        <v>2545</v>
      </c>
      <c r="AZ181" s="2" t="s">
        <v>2545</v>
      </c>
      <c r="BA181" s="2" t="s">
        <v>2546</v>
      </c>
      <c r="BB181" s="2" t="s">
        <v>79</v>
      </c>
      <c r="BD181" s="2" t="s">
        <v>2547</v>
      </c>
      <c r="BE181" s="2" t="s">
        <v>2548</v>
      </c>
      <c r="BF181" s="2" t="s">
        <v>2549</v>
      </c>
    </row>
    <row r="182" spans="1:58" ht="39.75" customHeight="1">
      <c r="A182" s="1"/>
      <c r="B182" s="1" t="s">
        <v>58</v>
      </c>
      <c r="C182" s="1" t="s">
        <v>59</v>
      </c>
      <c r="D182" s="1" t="s">
        <v>2550</v>
      </c>
      <c r="E182" s="1" t="s">
        <v>2551</v>
      </c>
      <c r="F182" s="1" t="s">
        <v>2552</v>
      </c>
      <c r="H182" s="2" t="s">
        <v>63</v>
      </c>
      <c r="I182" s="2" t="s">
        <v>64</v>
      </c>
      <c r="J182" s="2" t="s">
        <v>63</v>
      </c>
      <c r="K182" s="2" t="s">
        <v>63</v>
      </c>
      <c r="L182" s="2" t="s">
        <v>65</v>
      </c>
      <c r="N182" s="1" t="s">
        <v>2553</v>
      </c>
      <c r="O182" s="2" t="s">
        <v>598</v>
      </c>
      <c r="Q182" s="2" t="s">
        <v>68</v>
      </c>
      <c r="R182" s="2" t="s">
        <v>500</v>
      </c>
      <c r="T182" s="2" t="s">
        <v>71</v>
      </c>
      <c r="U182" s="3">
        <v>4</v>
      </c>
      <c r="V182" s="3">
        <v>4</v>
      </c>
      <c r="W182" s="4" t="s">
        <v>2554</v>
      </c>
      <c r="X182" s="4" t="s">
        <v>2554</v>
      </c>
      <c r="Y182" s="4" t="s">
        <v>2555</v>
      </c>
      <c r="Z182" s="4" t="s">
        <v>2555</v>
      </c>
      <c r="AA182" s="3">
        <v>145</v>
      </c>
      <c r="AB182" s="3">
        <v>95</v>
      </c>
      <c r="AC182" s="3">
        <v>134</v>
      </c>
      <c r="AD182" s="3">
        <v>1</v>
      </c>
      <c r="AE182" s="3">
        <v>1</v>
      </c>
      <c r="AF182" s="3">
        <v>2</v>
      </c>
      <c r="AG182" s="3">
        <v>4</v>
      </c>
      <c r="AH182" s="3">
        <v>0</v>
      </c>
      <c r="AI182" s="3">
        <v>1</v>
      </c>
      <c r="AJ182" s="3">
        <v>1</v>
      </c>
      <c r="AK182" s="3">
        <v>2</v>
      </c>
      <c r="AL182" s="3">
        <v>1</v>
      </c>
      <c r="AM182" s="3">
        <v>1</v>
      </c>
      <c r="AN182" s="3">
        <v>0</v>
      </c>
      <c r="AO182" s="3">
        <v>0</v>
      </c>
      <c r="AP182" s="3">
        <v>0</v>
      </c>
      <c r="AQ182" s="3">
        <v>0</v>
      </c>
      <c r="AR182" s="2" t="s">
        <v>63</v>
      </c>
      <c r="AS182" s="2" t="s">
        <v>63</v>
      </c>
      <c r="AU182" s="5" t="str">
        <f>HYPERLINK("https://creighton-primo.hosted.exlibrisgroup.com/primo-explore/search?tab=default_tab&amp;search_scope=EVERYTHING&amp;vid=01CRU&amp;lang=en_US&amp;offset=0&amp;query=any,contains,991002264739702656","Catalog Record")</f>
        <v>Catalog Record</v>
      </c>
      <c r="AV182" s="5" t="str">
        <f>HYPERLINK("http://www.worldcat.org/oclc/29361384","WorldCat Record")</f>
        <v>WorldCat Record</v>
      </c>
      <c r="AW182" s="2" t="s">
        <v>2556</v>
      </c>
      <c r="AX182" s="2" t="s">
        <v>2557</v>
      </c>
      <c r="AY182" s="2" t="s">
        <v>2558</v>
      </c>
      <c r="AZ182" s="2" t="s">
        <v>2558</v>
      </c>
      <c r="BA182" s="2" t="s">
        <v>2559</v>
      </c>
      <c r="BB182" s="2" t="s">
        <v>79</v>
      </c>
      <c r="BD182" s="2" t="s">
        <v>2560</v>
      </c>
      <c r="BE182" s="2" t="s">
        <v>2561</v>
      </c>
      <c r="BF182" s="2" t="s">
        <v>2562</v>
      </c>
    </row>
    <row r="183" spans="1:58" ht="39.75" customHeight="1">
      <c r="A183" s="1"/>
      <c r="B183" s="1" t="s">
        <v>58</v>
      </c>
      <c r="C183" s="1" t="s">
        <v>59</v>
      </c>
      <c r="D183" s="1" t="s">
        <v>2563</v>
      </c>
      <c r="E183" s="1" t="s">
        <v>2564</v>
      </c>
      <c r="F183" s="1" t="s">
        <v>2565</v>
      </c>
      <c r="H183" s="2" t="s">
        <v>63</v>
      </c>
      <c r="I183" s="2" t="s">
        <v>64</v>
      </c>
      <c r="J183" s="2" t="s">
        <v>63</v>
      </c>
      <c r="K183" s="2" t="s">
        <v>63</v>
      </c>
      <c r="L183" s="2" t="s">
        <v>65</v>
      </c>
      <c r="N183" s="1" t="s">
        <v>2566</v>
      </c>
      <c r="O183" s="2" t="s">
        <v>641</v>
      </c>
      <c r="Q183" s="2" t="s">
        <v>68</v>
      </c>
      <c r="R183" s="2" t="s">
        <v>181</v>
      </c>
      <c r="T183" s="2" t="s">
        <v>71</v>
      </c>
      <c r="U183" s="3">
        <v>11</v>
      </c>
      <c r="V183" s="3">
        <v>11</v>
      </c>
      <c r="W183" s="4" t="s">
        <v>2567</v>
      </c>
      <c r="X183" s="4" t="s">
        <v>2567</v>
      </c>
      <c r="Y183" s="4" t="s">
        <v>2568</v>
      </c>
      <c r="Z183" s="4" t="s">
        <v>2568</v>
      </c>
      <c r="AA183" s="3">
        <v>689</v>
      </c>
      <c r="AB183" s="3">
        <v>657</v>
      </c>
      <c r="AC183" s="3">
        <v>660</v>
      </c>
      <c r="AD183" s="3">
        <v>5</v>
      </c>
      <c r="AE183" s="3">
        <v>5</v>
      </c>
      <c r="AF183" s="3">
        <v>25</v>
      </c>
      <c r="AG183" s="3">
        <v>25</v>
      </c>
      <c r="AH183" s="3">
        <v>8</v>
      </c>
      <c r="AI183" s="3">
        <v>8</v>
      </c>
      <c r="AJ183" s="3">
        <v>3</v>
      </c>
      <c r="AK183" s="3">
        <v>3</v>
      </c>
      <c r="AL183" s="3">
        <v>9</v>
      </c>
      <c r="AM183" s="3">
        <v>9</v>
      </c>
      <c r="AN183" s="3">
        <v>4</v>
      </c>
      <c r="AO183" s="3">
        <v>4</v>
      </c>
      <c r="AP183" s="3">
        <v>5</v>
      </c>
      <c r="AQ183" s="3">
        <v>5</v>
      </c>
      <c r="AR183" s="2" t="s">
        <v>63</v>
      </c>
      <c r="AS183" s="2" t="s">
        <v>74</v>
      </c>
      <c r="AT183" s="5" t="str">
        <f>HYPERLINK("http://catalog.hathitrust.org/Record/000307117","HathiTrust Record")</f>
        <v>HathiTrust Record</v>
      </c>
      <c r="AU183" s="5" t="str">
        <f>HYPERLINK("https://creighton-primo.hosted.exlibrisgroup.com/primo-explore/search?tab=default_tab&amp;search_scope=EVERYTHING&amp;vid=01CRU&amp;lang=en_US&amp;offset=0&amp;query=any,contains,991005164369702656","Catalog Record")</f>
        <v>Catalog Record</v>
      </c>
      <c r="AV183" s="5" t="str">
        <f>HYPERLINK("http://www.worldcat.org/oclc/7813872","WorldCat Record")</f>
        <v>WorldCat Record</v>
      </c>
      <c r="AW183" s="2" t="s">
        <v>2569</v>
      </c>
      <c r="AX183" s="2" t="s">
        <v>2570</v>
      </c>
      <c r="AY183" s="2" t="s">
        <v>2571</v>
      </c>
      <c r="AZ183" s="2" t="s">
        <v>2571</v>
      </c>
      <c r="BA183" s="2" t="s">
        <v>2572</v>
      </c>
      <c r="BB183" s="2" t="s">
        <v>79</v>
      </c>
      <c r="BD183" s="2" t="s">
        <v>2573</v>
      </c>
      <c r="BE183" s="2" t="s">
        <v>2574</v>
      </c>
      <c r="BF183" s="2" t="s">
        <v>2575</v>
      </c>
    </row>
    <row r="184" spans="1:58" ht="39.75" customHeight="1">
      <c r="A184" s="1"/>
      <c r="B184" s="1" t="s">
        <v>58</v>
      </c>
      <c r="C184" s="1" t="s">
        <v>59</v>
      </c>
      <c r="D184" s="1" t="s">
        <v>2576</v>
      </c>
      <c r="E184" s="1" t="s">
        <v>2577</v>
      </c>
      <c r="F184" s="1" t="s">
        <v>2578</v>
      </c>
      <c r="H184" s="2" t="s">
        <v>63</v>
      </c>
      <c r="I184" s="2" t="s">
        <v>64</v>
      </c>
      <c r="J184" s="2" t="s">
        <v>63</v>
      </c>
      <c r="K184" s="2" t="s">
        <v>63</v>
      </c>
      <c r="L184" s="2" t="s">
        <v>65</v>
      </c>
      <c r="N184" s="1" t="s">
        <v>2579</v>
      </c>
      <c r="O184" s="2" t="s">
        <v>136</v>
      </c>
      <c r="Q184" s="2" t="s">
        <v>68</v>
      </c>
      <c r="R184" s="2" t="s">
        <v>181</v>
      </c>
      <c r="S184" s="1" t="s">
        <v>2580</v>
      </c>
      <c r="T184" s="2" t="s">
        <v>71</v>
      </c>
      <c r="U184" s="3">
        <v>6</v>
      </c>
      <c r="V184" s="3">
        <v>6</v>
      </c>
      <c r="W184" s="4" t="s">
        <v>2581</v>
      </c>
      <c r="X184" s="4" t="s">
        <v>2581</v>
      </c>
      <c r="Y184" s="4" t="s">
        <v>2582</v>
      </c>
      <c r="Z184" s="4" t="s">
        <v>2582</v>
      </c>
      <c r="AA184" s="3">
        <v>580</v>
      </c>
      <c r="AB184" s="3">
        <v>512</v>
      </c>
      <c r="AC184" s="3">
        <v>520</v>
      </c>
      <c r="AD184" s="3">
        <v>5</v>
      </c>
      <c r="AE184" s="3">
        <v>5</v>
      </c>
      <c r="AF184" s="3">
        <v>22</v>
      </c>
      <c r="AG184" s="3">
        <v>22</v>
      </c>
      <c r="AH184" s="3">
        <v>5</v>
      </c>
      <c r="AI184" s="3">
        <v>5</v>
      </c>
      <c r="AJ184" s="3">
        <v>6</v>
      </c>
      <c r="AK184" s="3">
        <v>6</v>
      </c>
      <c r="AL184" s="3">
        <v>12</v>
      </c>
      <c r="AM184" s="3">
        <v>12</v>
      </c>
      <c r="AN184" s="3">
        <v>3</v>
      </c>
      <c r="AO184" s="3">
        <v>3</v>
      </c>
      <c r="AP184" s="3">
        <v>3</v>
      </c>
      <c r="AQ184" s="3">
        <v>3</v>
      </c>
      <c r="AR184" s="2" t="s">
        <v>63</v>
      </c>
      <c r="AS184" s="2" t="s">
        <v>74</v>
      </c>
      <c r="AT184" s="5" t="str">
        <f>HYPERLINK("http://catalog.hathitrust.org/Record/000766827","HathiTrust Record")</f>
        <v>HathiTrust Record</v>
      </c>
      <c r="AU184" s="5" t="str">
        <f>HYPERLINK("https://creighton-primo.hosted.exlibrisgroup.com/primo-explore/search?tab=default_tab&amp;search_scope=EVERYTHING&amp;vid=01CRU&amp;lang=en_US&amp;offset=0&amp;query=any,contains,991005399109702656","Catalog Record")</f>
        <v>Catalog Record</v>
      </c>
      <c r="AV184" s="5" t="str">
        <f>HYPERLINK("http://www.worldcat.org/oclc/8976063","WorldCat Record")</f>
        <v>WorldCat Record</v>
      </c>
      <c r="AW184" s="2" t="s">
        <v>2583</v>
      </c>
      <c r="AX184" s="2" t="s">
        <v>2584</v>
      </c>
      <c r="AY184" s="2" t="s">
        <v>2585</v>
      </c>
      <c r="AZ184" s="2" t="s">
        <v>2585</v>
      </c>
      <c r="BA184" s="2" t="s">
        <v>2586</v>
      </c>
      <c r="BB184" s="2" t="s">
        <v>79</v>
      </c>
      <c r="BD184" s="2" t="s">
        <v>2587</v>
      </c>
      <c r="BE184" s="2" t="s">
        <v>2588</v>
      </c>
      <c r="BF184" s="2" t="s">
        <v>2589</v>
      </c>
    </row>
    <row r="185" spans="1:58" ht="39.75" customHeight="1">
      <c r="A185" s="1"/>
      <c r="B185" s="1" t="s">
        <v>58</v>
      </c>
      <c r="C185" s="1" t="s">
        <v>59</v>
      </c>
      <c r="D185" s="1" t="s">
        <v>2590</v>
      </c>
      <c r="E185" s="1" t="s">
        <v>2591</v>
      </c>
      <c r="F185" s="1" t="s">
        <v>2592</v>
      </c>
      <c r="H185" s="2" t="s">
        <v>63</v>
      </c>
      <c r="I185" s="2" t="s">
        <v>64</v>
      </c>
      <c r="J185" s="2" t="s">
        <v>63</v>
      </c>
      <c r="K185" s="2" t="s">
        <v>63</v>
      </c>
      <c r="L185" s="2" t="s">
        <v>65</v>
      </c>
      <c r="M185" s="1" t="s">
        <v>2593</v>
      </c>
      <c r="N185" s="1" t="s">
        <v>2594</v>
      </c>
      <c r="O185" s="2" t="s">
        <v>726</v>
      </c>
      <c r="Q185" s="2" t="s">
        <v>68</v>
      </c>
      <c r="R185" s="2" t="s">
        <v>2034</v>
      </c>
      <c r="T185" s="2" t="s">
        <v>71</v>
      </c>
      <c r="U185" s="3">
        <v>8</v>
      </c>
      <c r="V185" s="3">
        <v>8</v>
      </c>
      <c r="W185" s="4" t="s">
        <v>2595</v>
      </c>
      <c r="X185" s="4" t="s">
        <v>2595</v>
      </c>
      <c r="Y185" s="4" t="s">
        <v>2596</v>
      </c>
      <c r="Z185" s="4" t="s">
        <v>2596</v>
      </c>
      <c r="AA185" s="3">
        <v>541</v>
      </c>
      <c r="AB185" s="3">
        <v>455</v>
      </c>
      <c r="AC185" s="3">
        <v>504</v>
      </c>
      <c r="AD185" s="3">
        <v>5</v>
      </c>
      <c r="AE185" s="3">
        <v>6</v>
      </c>
      <c r="AF185" s="3">
        <v>11</v>
      </c>
      <c r="AG185" s="3">
        <v>15</v>
      </c>
      <c r="AH185" s="3">
        <v>2</v>
      </c>
      <c r="AI185" s="3">
        <v>4</v>
      </c>
      <c r="AJ185" s="3">
        <v>3</v>
      </c>
      <c r="AK185" s="3">
        <v>4</v>
      </c>
      <c r="AL185" s="3">
        <v>5</v>
      </c>
      <c r="AM185" s="3">
        <v>8</v>
      </c>
      <c r="AN185" s="3">
        <v>3</v>
      </c>
      <c r="AO185" s="3">
        <v>4</v>
      </c>
      <c r="AP185" s="3">
        <v>0</v>
      </c>
      <c r="AQ185" s="3">
        <v>0</v>
      </c>
      <c r="AR185" s="2" t="s">
        <v>63</v>
      </c>
      <c r="AS185" s="2" t="s">
        <v>74</v>
      </c>
      <c r="AT185" s="5" t="str">
        <f>HYPERLINK("http://catalog.hathitrust.org/Record/000729044","HathiTrust Record")</f>
        <v>HathiTrust Record</v>
      </c>
      <c r="AU185" s="5" t="str">
        <f>HYPERLINK("https://creighton-primo.hosted.exlibrisgroup.com/primo-explore/search?tab=default_tab&amp;search_scope=EVERYTHING&amp;vid=01CRU&amp;lang=en_US&amp;offset=0&amp;query=any,contains,991004075479702656","Catalog Record")</f>
        <v>Catalog Record</v>
      </c>
      <c r="AV185" s="5" t="str">
        <f>HYPERLINK("http://www.worldcat.org/oclc/2317970","WorldCat Record")</f>
        <v>WorldCat Record</v>
      </c>
      <c r="AW185" s="2" t="s">
        <v>2597</v>
      </c>
      <c r="AX185" s="2" t="s">
        <v>2598</v>
      </c>
      <c r="AY185" s="2" t="s">
        <v>2599</v>
      </c>
      <c r="AZ185" s="2" t="s">
        <v>2599</v>
      </c>
      <c r="BA185" s="2" t="s">
        <v>2600</v>
      </c>
      <c r="BB185" s="2" t="s">
        <v>79</v>
      </c>
      <c r="BD185" s="2" t="s">
        <v>2601</v>
      </c>
      <c r="BE185" s="2" t="s">
        <v>2602</v>
      </c>
      <c r="BF185" s="2" t="s">
        <v>2603</v>
      </c>
    </row>
    <row r="186" spans="1:58" ht="39.75" customHeight="1">
      <c r="A186" s="1"/>
      <c r="B186" s="1" t="s">
        <v>58</v>
      </c>
      <c r="C186" s="1" t="s">
        <v>59</v>
      </c>
      <c r="D186" s="1" t="s">
        <v>2604</v>
      </c>
      <c r="E186" s="1" t="s">
        <v>2605</v>
      </c>
      <c r="F186" s="1" t="s">
        <v>2606</v>
      </c>
      <c r="H186" s="2" t="s">
        <v>63</v>
      </c>
      <c r="I186" s="2" t="s">
        <v>64</v>
      </c>
      <c r="J186" s="2" t="s">
        <v>63</v>
      </c>
      <c r="K186" s="2" t="s">
        <v>63</v>
      </c>
      <c r="L186" s="2" t="s">
        <v>65</v>
      </c>
      <c r="M186" s="1" t="s">
        <v>2607</v>
      </c>
      <c r="N186" s="1" t="s">
        <v>2608</v>
      </c>
      <c r="O186" s="2" t="s">
        <v>1301</v>
      </c>
      <c r="P186" s="1" t="s">
        <v>2609</v>
      </c>
      <c r="Q186" s="2" t="s">
        <v>68</v>
      </c>
      <c r="R186" s="2" t="s">
        <v>106</v>
      </c>
      <c r="T186" s="2" t="s">
        <v>71</v>
      </c>
      <c r="U186" s="3">
        <v>5</v>
      </c>
      <c r="V186" s="3">
        <v>5</v>
      </c>
      <c r="W186" s="4" t="s">
        <v>2610</v>
      </c>
      <c r="X186" s="4" t="s">
        <v>2610</v>
      </c>
      <c r="Y186" s="4" t="s">
        <v>2061</v>
      </c>
      <c r="Z186" s="4" t="s">
        <v>2061</v>
      </c>
      <c r="AA186" s="3">
        <v>611</v>
      </c>
      <c r="AB186" s="3">
        <v>584</v>
      </c>
      <c r="AC186" s="3">
        <v>721</v>
      </c>
      <c r="AD186" s="3">
        <v>4</v>
      </c>
      <c r="AE186" s="3">
        <v>5</v>
      </c>
      <c r="AF186" s="3">
        <v>12</v>
      </c>
      <c r="AG186" s="3">
        <v>17</v>
      </c>
      <c r="AH186" s="3">
        <v>4</v>
      </c>
      <c r="AI186" s="3">
        <v>5</v>
      </c>
      <c r="AJ186" s="3">
        <v>3</v>
      </c>
      <c r="AK186" s="3">
        <v>5</v>
      </c>
      <c r="AL186" s="3">
        <v>8</v>
      </c>
      <c r="AM186" s="3">
        <v>11</v>
      </c>
      <c r="AN186" s="3">
        <v>1</v>
      </c>
      <c r="AO186" s="3">
        <v>2</v>
      </c>
      <c r="AP186" s="3">
        <v>0</v>
      </c>
      <c r="AQ186" s="3">
        <v>0</v>
      </c>
      <c r="AR186" s="2" t="s">
        <v>63</v>
      </c>
      <c r="AS186" s="2" t="s">
        <v>74</v>
      </c>
      <c r="AT186" s="5" t="str">
        <f>HYPERLINK("http://catalog.hathitrust.org/Record/001826332","HathiTrust Record")</f>
        <v>HathiTrust Record</v>
      </c>
      <c r="AU186" s="5" t="str">
        <f>HYPERLINK("https://creighton-primo.hosted.exlibrisgroup.com/primo-explore/search?tab=default_tab&amp;search_scope=EVERYTHING&amp;vid=01CRU&amp;lang=en_US&amp;offset=0&amp;query=any,contains,991001454719702656","Catalog Record")</f>
        <v>Catalog Record</v>
      </c>
      <c r="AV186" s="5" t="str">
        <f>HYPERLINK("http://www.worldcat.org/oclc/19353829","WorldCat Record")</f>
        <v>WorldCat Record</v>
      </c>
      <c r="AW186" s="2" t="s">
        <v>2611</v>
      </c>
      <c r="AX186" s="2" t="s">
        <v>2612</v>
      </c>
      <c r="AY186" s="2" t="s">
        <v>2613</v>
      </c>
      <c r="AZ186" s="2" t="s">
        <v>2613</v>
      </c>
      <c r="BA186" s="2" t="s">
        <v>2614</v>
      </c>
      <c r="BB186" s="2" t="s">
        <v>79</v>
      </c>
      <c r="BD186" s="2" t="s">
        <v>2615</v>
      </c>
      <c r="BE186" s="2" t="s">
        <v>2616</v>
      </c>
      <c r="BF186" s="2" t="s">
        <v>2617</v>
      </c>
    </row>
    <row r="187" spans="1:58" ht="39.75" customHeight="1">
      <c r="A187" s="1"/>
      <c r="B187" s="1" t="s">
        <v>58</v>
      </c>
      <c r="C187" s="1" t="s">
        <v>59</v>
      </c>
      <c r="D187" s="1" t="s">
        <v>2618</v>
      </c>
      <c r="E187" s="1" t="s">
        <v>2619</v>
      </c>
      <c r="F187" s="1" t="s">
        <v>2620</v>
      </c>
      <c r="H187" s="2" t="s">
        <v>63</v>
      </c>
      <c r="I187" s="2" t="s">
        <v>64</v>
      </c>
      <c r="J187" s="2" t="s">
        <v>63</v>
      </c>
      <c r="K187" s="2" t="s">
        <v>63</v>
      </c>
      <c r="L187" s="2" t="s">
        <v>65</v>
      </c>
      <c r="M187" s="1" t="s">
        <v>2621</v>
      </c>
      <c r="N187" s="1" t="s">
        <v>2622</v>
      </c>
      <c r="O187" s="2" t="s">
        <v>105</v>
      </c>
      <c r="P187" s="1" t="s">
        <v>1119</v>
      </c>
      <c r="Q187" s="2" t="s">
        <v>68</v>
      </c>
      <c r="R187" s="2" t="s">
        <v>979</v>
      </c>
      <c r="T187" s="2" t="s">
        <v>71</v>
      </c>
      <c r="U187" s="3">
        <v>12</v>
      </c>
      <c r="V187" s="3">
        <v>12</v>
      </c>
      <c r="W187" s="4" t="s">
        <v>2623</v>
      </c>
      <c r="X187" s="4" t="s">
        <v>2623</v>
      </c>
      <c r="Y187" s="4" t="s">
        <v>2061</v>
      </c>
      <c r="Z187" s="4" t="s">
        <v>2061</v>
      </c>
      <c r="AA187" s="3">
        <v>267</v>
      </c>
      <c r="AB187" s="3">
        <v>138</v>
      </c>
      <c r="AC187" s="3">
        <v>454</v>
      </c>
      <c r="AD187" s="3">
        <v>2</v>
      </c>
      <c r="AE187" s="3">
        <v>3</v>
      </c>
      <c r="AF187" s="3">
        <v>4</v>
      </c>
      <c r="AG187" s="3">
        <v>16</v>
      </c>
      <c r="AH187" s="3">
        <v>0</v>
      </c>
      <c r="AI187" s="3">
        <v>4</v>
      </c>
      <c r="AJ187" s="3">
        <v>2</v>
      </c>
      <c r="AK187" s="3">
        <v>5</v>
      </c>
      <c r="AL187" s="3">
        <v>2</v>
      </c>
      <c r="AM187" s="3">
        <v>9</v>
      </c>
      <c r="AN187" s="3">
        <v>1</v>
      </c>
      <c r="AO187" s="3">
        <v>2</v>
      </c>
      <c r="AP187" s="3">
        <v>0</v>
      </c>
      <c r="AQ187" s="3">
        <v>0</v>
      </c>
      <c r="AR187" s="2" t="s">
        <v>63</v>
      </c>
      <c r="AS187" s="2" t="s">
        <v>63</v>
      </c>
      <c r="AU187" s="5" t="str">
        <f>HYPERLINK("https://creighton-primo.hosted.exlibrisgroup.com/primo-explore/search?tab=default_tab&amp;search_scope=EVERYTHING&amp;vid=01CRU&amp;lang=en_US&amp;offset=0&amp;query=any,contains,991000784999702656","Catalog Record")</f>
        <v>Catalog Record</v>
      </c>
      <c r="AV187" s="5" t="str">
        <f>HYPERLINK("http://www.worldcat.org/oclc/13123518","WorldCat Record")</f>
        <v>WorldCat Record</v>
      </c>
      <c r="AW187" s="2" t="s">
        <v>2624</v>
      </c>
      <c r="AX187" s="2" t="s">
        <v>2625</v>
      </c>
      <c r="AY187" s="2" t="s">
        <v>2626</v>
      </c>
      <c r="AZ187" s="2" t="s">
        <v>2626</v>
      </c>
      <c r="BA187" s="2" t="s">
        <v>2627</v>
      </c>
      <c r="BB187" s="2" t="s">
        <v>79</v>
      </c>
      <c r="BD187" s="2" t="s">
        <v>2628</v>
      </c>
      <c r="BE187" s="2" t="s">
        <v>2629</v>
      </c>
      <c r="BF187" s="2" t="s">
        <v>2630</v>
      </c>
    </row>
    <row r="188" spans="1:58" ht="39.75" customHeight="1">
      <c r="A188" s="1"/>
      <c r="B188" s="1" t="s">
        <v>58</v>
      </c>
      <c r="C188" s="1" t="s">
        <v>59</v>
      </c>
      <c r="D188" s="1" t="s">
        <v>2631</v>
      </c>
      <c r="E188" s="1" t="s">
        <v>2632</v>
      </c>
      <c r="F188" s="1" t="s">
        <v>2633</v>
      </c>
      <c r="H188" s="2" t="s">
        <v>63</v>
      </c>
      <c r="I188" s="2" t="s">
        <v>64</v>
      </c>
      <c r="J188" s="2" t="s">
        <v>63</v>
      </c>
      <c r="K188" s="2" t="s">
        <v>63</v>
      </c>
      <c r="L188" s="2" t="s">
        <v>65</v>
      </c>
      <c r="M188" s="1" t="s">
        <v>2634</v>
      </c>
      <c r="N188" s="1" t="s">
        <v>2635</v>
      </c>
      <c r="O188" s="2" t="s">
        <v>2636</v>
      </c>
      <c r="Q188" s="2" t="s">
        <v>68</v>
      </c>
      <c r="R188" s="2" t="s">
        <v>167</v>
      </c>
      <c r="T188" s="2" t="s">
        <v>71</v>
      </c>
      <c r="U188" s="3">
        <v>9</v>
      </c>
      <c r="V188" s="3">
        <v>9</v>
      </c>
      <c r="W188" s="4" t="s">
        <v>2623</v>
      </c>
      <c r="X188" s="4" t="s">
        <v>2623</v>
      </c>
      <c r="Y188" s="4" t="s">
        <v>333</v>
      </c>
      <c r="Z188" s="4" t="s">
        <v>333</v>
      </c>
      <c r="AA188" s="3">
        <v>268</v>
      </c>
      <c r="AB188" s="3">
        <v>240</v>
      </c>
      <c r="AC188" s="3">
        <v>266</v>
      </c>
      <c r="AD188" s="3">
        <v>2</v>
      </c>
      <c r="AE188" s="3">
        <v>2</v>
      </c>
      <c r="AF188" s="3">
        <v>6</v>
      </c>
      <c r="AG188" s="3">
        <v>6</v>
      </c>
      <c r="AH188" s="3">
        <v>0</v>
      </c>
      <c r="AI188" s="3">
        <v>0</v>
      </c>
      <c r="AJ188" s="3">
        <v>1</v>
      </c>
      <c r="AK188" s="3">
        <v>1</v>
      </c>
      <c r="AL188" s="3">
        <v>4</v>
      </c>
      <c r="AM188" s="3">
        <v>4</v>
      </c>
      <c r="AN188" s="3">
        <v>1</v>
      </c>
      <c r="AO188" s="3">
        <v>1</v>
      </c>
      <c r="AP188" s="3">
        <v>0</v>
      </c>
      <c r="AQ188" s="3">
        <v>0</v>
      </c>
      <c r="AR188" s="2" t="s">
        <v>63</v>
      </c>
      <c r="AS188" s="2" t="s">
        <v>74</v>
      </c>
      <c r="AT188" s="5" t="str">
        <f>HYPERLINK("http://catalog.hathitrust.org/Record/001559275","HathiTrust Record")</f>
        <v>HathiTrust Record</v>
      </c>
      <c r="AU188" s="5" t="str">
        <f>HYPERLINK("https://creighton-primo.hosted.exlibrisgroup.com/primo-explore/search?tab=default_tab&amp;search_scope=EVERYTHING&amp;vid=01CRU&amp;lang=en_US&amp;offset=0&amp;query=any,contains,991004202279702656","Catalog Record")</f>
        <v>Catalog Record</v>
      </c>
      <c r="AV188" s="5" t="str">
        <f>HYPERLINK("http://www.worldcat.org/oclc/1463312","WorldCat Record")</f>
        <v>WorldCat Record</v>
      </c>
      <c r="AW188" s="2" t="s">
        <v>2637</v>
      </c>
      <c r="AX188" s="2" t="s">
        <v>2638</v>
      </c>
      <c r="AY188" s="2" t="s">
        <v>2639</v>
      </c>
      <c r="AZ188" s="2" t="s">
        <v>2639</v>
      </c>
      <c r="BA188" s="2" t="s">
        <v>2640</v>
      </c>
      <c r="BB188" s="2" t="s">
        <v>79</v>
      </c>
      <c r="BE188" s="2" t="s">
        <v>2641</v>
      </c>
      <c r="BF188" s="2" t="s">
        <v>2642</v>
      </c>
    </row>
    <row r="189" spans="1:58" ht="39.75" customHeight="1">
      <c r="A189" s="1"/>
      <c r="B189" s="1" t="s">
        <v>58</v>
      </c>
      <c r="C189" s="1" t="s">
        <v>59</v>
      </c>
      <c r="D189" s="1" t="s">
        <v>2643</v>
      </c>
      <c r="E189" s="1" t="s">
        <v>2644</v>
      </c>
      <c r="F189" s="1" t="s">
        <v>2645</v>
      </c>
      <c r="H189" s="2" t="s">
        <v>63</v>
      </c>
      <c r="I189" s="2" t="s">
        <v>64</v>
      </c>
      <c r="J189" s="2" t="s">
        <v>63</v>
      </c>
      <c r="K189" s="2" t="s">
        <v>63</v>
      </c>
      <c r="L189" s="2" t="s">
        <v>65</v>
      </c>
      <c r="M189" s="1" t="s">
        <v>2646</v>
      </c>
      <c r="N189" s="1" t="s">
        <v>2647</v>
      </c>
      <c r="O189" s="2" t="s">
        <v>209</v>
      </c>
      <c r="Q189" s="2" t="s">
        <v>68</v>
      </c>
      <c r="R189" s="2" t="s">
        <v>167</v>
      </c>
      <c r="T189" s="2" t="s">
        <v>71</v>
      </c>
      <c r="U189" s="3">
        <v>3</v>
      </c>
      <c r="V189" s="3">
        <v>3</v>
      </c>
      <c r="W189" s="4" t="s">
        <v>2648</v>
      </c>
      <c r="X189" s="4" t="s">
        <v>2648</v>
      </c>
      <c r="Y189" s="4" t="s">
        <v>2061</v>
      </c>
      <c r="Z189" s="4" t="s">
        <v>2061</v>
      </c>
      <c r="AA189" s="3">
        <v>613</v>
      </c>
      <c r="AB189" s="3">
        <v>545</v>
      </c>
      <c r="AC189" s="3">
        <v>554</v>
      </c>
      <c r="AD189" s="3">
        <v>3</v>
      </c>
      <c r="AE189" s="3">
        <v>3</v>
      </c>
      <c r="AF189" s="3">
        <v>14</v>
      </c>
      <c r="AG189" s="3">
        <v>14</v>
      </c>
      <c r="AH189" s="3">
        <v>4</v>
      </c>
      <c r="AI189" s="3">
        <v>4</v>
      </c>
      <c r="AJ189" s="3">
        <v>4</v>
      </c>
      <c r="AK189" s="3">
        <v>4</v>
      </c>
      <c r="AL189" s="3">
        <v>9</v>
      </c>
      <c r="AM189" s="3">
        <v>9</v>
      </c>
      <c r="AN189" s="3">
        <v>1</v>
      </c>
      <c r="AO189" s="3">
        <v>1</v>
      </c>
      <c r="AP189" s="3">
        <v>1</v>
      </c>
      <c r="AQ189" s="3">
        <v>1</v>
      </c>
      <c r="AR189" s="2" t="s">
        <v>63</v>
      </c>
      <c r="AS189" s="2" t="s">
        <v>74</v>
      </c>
      <c r="AT189" s="5" t="str">
        <f>HYPERLINK("http://catalog.hathitrust.org/Record/000561198","HathiTrust Record")</f>
        <v>HathiTrust Record</v>
      </c>
      <c r="AU189" s="5" t="str">
        <f>HYPERLINK("https://creighton-primo.hosted.exlibrisgroup.com/primo-explore/search?tab=default_tab&amp;search_scope=EVERYTHING&amp;vid=01CRU&amp;lang=en_US&amp;offset=0&amp;query=any,contains,991000417379702656","Catalog Record")</f>
        <v>Catalog Record</v>
      </c>
      <c r="AV189" s="5" t="str">
        <f>HYPERLINK("http://www.worldcat.org/oclc/10725487","WorldCat Record")</f>
        <v>WorldCat Record</v>
      </c>
      <c r="AW189" s="2" t="s">
        <v>2649</v>
      </c>
      <c r="AX189" s="2" t="s">
        <v>2650</v>
      </c>
      <c r="AY189" s="2" t="s">
        <v>2651</v>
      </c>
      <c r="AZ189" s="2" t="s">
        <v>2651</v>
      </c>
      <c r="BA189" s="2" t="s">
        <v>2652</v>
      </c>
      <c r="BB189" s="2" t="s">
        <v>79</v>
      </c>
      <c r="BD189" s="2" t="s">
        <v>2653</v>
      </c>
      <c r="BE189" s="2" t="s">
        <v>2654</v>
      </c>
      <c r="BF189" s="2" t="s">
        <v>2655</v>
      </c>
    </row>
    <row r="190" spans="1:58" ht="39.75" customHeight="1">
      <c r="A190" s="1"/>
      <c r="B190" s="1" t="s">
        <v>58</v>
      </c>
      <c r="C190" s="1" t="s">
        <v>59</v>
      </c>
      <c r="D190" s="1" t="s">
        <v>2656</v>
      </c>
      <c r="E190" s="1" t="s">
        <v>2657</v>
      </c>
      <c r="F190" s="1" t="s">
        <v>2658</v>
      </c>
      <c r="H190" s="2" t="s">
        <v>63</v>
      </c>
      <c r="I190" s="2" t="s">
        <v>64</v>
      </c>
      <c r="J190" s="2" t="s">
        <v>63</v>
      </c>
      <c r="K190" s="2" t="s">
        <v>63</v>
      </c>
      <c r="L190" s="2" t="s">
        <v>65</v>
      </c>
      <c r="M190" s="1" t="s">
        <v>2659</v>
      </c>
      <c r="N190" s="1" t="s">
        <v>2660</v>
      </c>
      <c r="O190" s="2" t="s">
        <v>314</v>
      </c>
      <c r="Q190" s="2" t="s">
        <v>68</v>
      </c>
      <c r="R190" s="2" t="s">
        <v>628</v>
      </c>
      <c r="T190" s="2" t="s">
        <v>71</v>
      </c>
      <c r="U190" s="3">
        <v>5</v>
      </c>
      <c r="V190" s="3">
        <v>5</v>
      </c>
      <c r="W190" s="4" t="s">
        <v>2661</v>
      </c>
      <c r="X190" s="4" t="s">
        <v>2661</v>
      </c>
      <c r="Y190" s="4" t="s">
        <v>333</v>
      </c>
      <c r="Z190" s="4" t="s">
        <v>333</v>
      </c>
      <c r="AA190" s="3">
        <v>553</v>
      </c>
      <c r="AB190" s="3">
        <v>448</v>
      </c>
      <c r="AC190" s="3">
        <v>482</v>
      </c>
      <c r="AD190" s="3">
        <v>4</v>
      </c>
      <c r="AE190" s="3">
        <v>4</v>
      </c>
      <c r="AF190" s="3">
        <v>11</v>
      </c>
      <c r="AG190" s="3">
        <v>11</v>
      </c>
      <c r="AH190" s="3">
        <v>3</v>
      </c>
      <c r="AI190" s="3">
        <v>3</v>
      </c>
      <c r="AJ190" s="3">
        <v>4</v>
      </c>
      <c r="AK190" s="3">
        <v>4</v>
      </c>
      <c r="AL190" s="3">
        <v>3</v>
      </c>
      <c r="AM190" s="3">
        <v>3</v>
      </c>
      <c r="AN190" s="3">
        <v>3</v>
      </c>
      <c r="AO190" s="3">
        <v>3</v>
      </c>
      <c r="AP190" s="3">
        <v>1</v>
      </c>
      <c r="AQ190" s="3">
        <v>1</v>
      </c>
      <c r="AR190" s="2" t="s">
        <v>63</v>
      </c>
      <c r="AS190" s="2" t="s">
        <v>74</v>
      </c>
      <c r="AT190" s="5" t="str">
        <f>HYPERLINK("http://catalog.hathitrust.org/Record/000090631","HathiTrust Record")</f>
        <v>HathiTrust Record</v>
      </c>
      <c r="AU190" s="5" t="str">
        <f>HYPERLINK("https://creighton-primo.hosted.exlibrisgroup.com/primo-explore/search?tab=default_tab&amp;search_scope=EVERYTHING&amp;vid=01CRU&amp;lang=en_US&amp;offset=0&amp;query=any,contains,991004467849702656","Catalog Record")</f>
        <v>Catalog Record</v>
      </c>
      <c r="AV190" s="5" t="str">
        <f>HYPERLINK("http://www.worldcat.org/oclc/3580869","WorldCat Record")</f>
        <v>WorldCat Record</v>
      </c>
      <c r="AW190" s="2" t="s">
        <v>2662</v>
      </c>
      <c r="AX190" s="2" t="s">
        <v>2663</v>
      </c>
      <c r="AY190" s="2" t="s">
        <v>2664</v>
      </c>
      <c r="AZ190" s="2" t="s">
        <v>2664</v>
      </c>
      <c r="BA190" s="2" t="s">
        <v>2665</v>
      </c>
      <c r="BB190" s="2" t="s">
        <v>79</v>
      </c>
      <c r="BD190" s="2" t="s">
        <v>2666</v>
      </c>
      <c r="BE190" s="2" t="s">
        <v>2667</v>
      </c>
      <c r="BF190" s="2" t="s">
        <v>2668</v>
      </c>
    </row>
    <row r="191" spans="1:58" ht="39.75" customHeight="1">
      <c r="A191" s="1"/>
      <c r="B191" s="1" t="s">
        <v>58</v>
      </c>
      <c r="C191" s="1" t="s">
        <v>59</v>
      </c>
      <c r="D191" s="1" t="s">
        <v>2669</v>
      </c>
      <c r="E191" s="1" t="s">
        <v>2670</v>
      </c>
      <c r="F191" s="1" t="s">
        <v>2671</v>
      </c>
      <c r="H191" s="2" t="s">
        <v>63</v>
      </c>
      <c r="I191" s="2" t="s">
        <v>64</v>
      </c>
      <c r="J191" s="2" t="s">
        <v>63</v>
      </c>
      <c r="K191" s="2" t="s">
        <v>63</v>
      </c>
      <c r="L191" s="2" t="s">
        <v>65</v>
      </c>
      <c r="M191" s="1" t="s">
        <v>2672</v>
      </c>
      <c r="N191" s="1" t="s">
        <v>2673</v>
      </c>
      <c r="O191" s="2" t="s">
        <v>2674</v>
      </c>
      <c r="Q191" s="2" t="s">
        <v>68</v>
      </c>
      <c r="R191" s="2" t="s">
        <v>106</v>
      </c>
      <c r="T191" s="2" t="s">
        <v>71</v>
      </c>
      <c r="U191" s="3">
        <v>1</v>
      </c>
      <c r="V191" s="3">
        <v>1</v>
      </c>
      <c r="W191" s="4" t="s">
        <v>2567</v>
      </c>
      <c r="X191" s="4" t="s">
        <v>2567</v>
      </c>
      <c r="Y191" s="4" t="s">
        <v>333</v>
      </c>
      <c r="Z191" s="4" t="s">
        <v>333</v>
      </c>
      <c r="AA191" s="3">
        <v>660</v>
      </c>
      <c r="AB191" s="3">
        <v>618</v>
      </c>
      <c r="AC191" s="3">
        <v>629</v>
      </c>
      <c r="AD191" s="3">
        <v>7</v>
      </c>
      <c r="AE191" s="3">
        <v>7</v>
      </c>
      <c r="AF191" s="3">
        <v>17</v>
      </c>
      <c r="AG191" s="3">
        <v>18</v>
      </c>
      <c r="AH191" s="3">
        <v>5</v>
      </c>
      <c r="AI191" s="3">
        <v>5</v>
      </c>
      <c r="AJ191" s="3">
        <v>2</v>
      </c>
      <c r="AK191" s="3">
        <v>3</v>
      </c>
      <c r="AL191" s="3">
        <v>7</v>
      </c>
      <c r="AM191" s="3">
        <v>8</v>
      </c>
      <c r="AN191" s="3">
        <v>5</v>
      </c>
      <c r="AO191" s="3">
        <v>5</v>
      </c>
      <c r="AP191" s="3">
        <v>1</v>
      </c>
      <c r="AQ191" s="3">
        <v>1</v>
      </c>
      <c r="AR191" s="2" t="s">
        <v>63</v>
      </c>
      <c r="AS191" s="2" t="s">
        <v>74</v>
      </c>
      <c r="AT191" s="5" t="str">
        <f>HYPERLINK("http://catalog.hathitrust.org/Record/001559300","HathiTrust Record")</f>
        <v>HathiTrust Record</v>
      </c>
      <c r="AU191" s="5" t="str">
        <f>HYPERLINK("https://creighton-primo.hosted.exlibrisgroup.com/primo-explore/search?tab=default_tab&amp;search_scope=EVERYTHING&amp;vid=01CRU&amp;lang=en_US&amp;offset=0&amp;query=any,contains,991002698269702656","Catalog Record")</f>
        <v>Catalog Record</v>
      </c>
      <c r="AV191" s="5" t="str">
        <f>HYPERLINK("http://www.worldcat.org/oclc/404497","WorldCat Record")</f>
        <v>WorldCat Record</v>
      </c>
      <c r="AW191" s="2" t="s">
        <v>2675</v>
      </c>
      <c r="AX191" s="2" t="s">
        <v>2676</v>
      </c>
      <c r="AY191" s="2" t="s">
        <v>2677</v>
      </c>
      <c r="AZ191" s="2" t="s">
        <v>2677</v>
      </c>
      <c r="BA191" s="2" t="s">
        <v>2678</v>
      </c>
      <c r="BB191" s="2" t="s">
        <v>79</v>
      </c>
      <c r="BE191" s="2" t="s">
        <v>2679</v>
      </c>
      <c r="BF191" s="2" t="s">
        <v>2680</v>
      </c>
    </row>
    <row r="192" spans="1:58" ht="39.75" customHeight="1">
      <c r="A192" s="1"/>
      <c r="B192" s="1" t="s">
        <v>58</v>
      </c>
      <c r="C192" s="1" t="s">
        <v>59</v>
      </c>
      <c r="D192" s="1" t="s">
        <v>2681</v>
      </c>
      <c r="E192" s="1" t="s">
        <v>2682</v>
      </c>
      <c r="F192" s="1" t="s">
        <v>2683</v>
      </c>
      <c r="H192" s="2" t="s">
        <v>63</v>
      </c>
      <c r="I192" s="2" t="s">
        <v>64</v>
      </c>
      <c r="J192" s="2" t="s">
        <v>63</v>
      </c>
      <c r="K192" s="2" t="s">
        <v>63</v>
      </c>
      <c r="L192" s="2" t="s">
        <v>65</v>
      </c>
      <c r="M192" s="1" t="s">
        <v>2684</v>
      </c>
      <c r="N192" s="1" t="s">
        <v>2685</v>
      </c>
      <c r="O192" s="2" t="s">
        <v>2686</v>
      </c>
      <c r="P192" s="1" t="s">
        <v>2687</v>
      </c>
      <c r="Q192" s="2" t="s">
        <v>68</v>
      </c>
      <c r="R192" s="2" t="s">
        <v>979</v>
      </c>
      <c r="T192" s="2" t="s">
        <v>71</v>
      </c>
      <c r="U192" s="3">
        <v>1</v>
      </c>
      <c r="V192" s="3">
        <v>1</v>
      </c>
      <c r="W192" s="4" t="s">
        <v>2688</v>
      </c>
      <c r="X192" s="4" t="s">
        <v>2688</v>
      </c>
      <c r="Y192" s="4" t="s">
        <v>333</v>
      </c>
      <c r="Z192" s="4" t="s">
        <v>333</v>
      </c>
      <c r="AA192" s="3">
        <v>256</v>
      </c>
      <c r="AB192" s="3">
        <v>176</v>
      </c>
      <c r="AC192" s="3">
        <v>412</v>
      </c>
      <c r="AD192" s="3">
        <v>2</v>
      </c>
      <c r="AE192" s="3">
        <v>3</v>
      </c>
      <c r="AF192" s="3">
        <v>4</v>
      </c>
      <c r="AG192" s="3">
        <v>10</v>
      </c>
      <c r="AH192" s="3">
        <v>0</v>
      </c>
      <c r="AI192" s="3">
        <v>3</v>
      </c>
      <c r="AJ192" s="3">
        <v>3</v>
      </c>
      <c r="AK192" s="3">
        <v>6</v>
      </c>
      <c r="AL192" s="3">
        <v>3</v>
      </c>
      <c r="AM192" s="3">
        <v>3</v>
      </c>
      <c r="AN192" s="3">
        <v>0</v>
      </c>
      <c r="AO192" s="3">
        <v>1</v>
      </c>
      <c r="AP192" s="3">
        <v>0</v>
      </c>
      <c r="AQ192" s="3">
        <v>0</v>
      </c>
      <c r="AR192" s="2" t="s">
        <v>63</v>
      </c>
      <c r="AS192" s="2" t="s">
        <v>63</v>
      </c>
      <c r="AU192" s="5" t="str">
        <f>HYPERLINK("https://creighton-primo.hosted.exlibrisgroup.com/primo-explore/search?tab=default_tab&amp;search_scope=EVERYTHING&amp;vid=01CRU&amp;lang=en_US&amp;offset=0&amp;query=any,contains,991003461609702656","Catalog Record")</f>
        <v>Catalog Record</v>
      </c>
      <c r="AV192" s="5" t="str">
        <f>HYPERLINK("http://www.worldcat.org/oclc/1003412","WorldCat Record")</f>
        <v>WorldCat Record</v>
      </c>
      <c r="AW192" s="2" t="s">
        <v>2689</v>
      </c>
      <c r="AX192" s="2" t="s">
        <v>2690</v>
      </c>
      <c r="AY192" s="2" t="s">
        <v>2691</v>
      </c>
      <c r="AZ192" s="2" t="s">
        <v>2691</v>
      </c>
      <c r="BA192" s="2" t="s">
        <v>2692</v>
      </c>
      <c r="BB192" s="2" t="s">
        <v>79</v>
      </c>
      <c r="BE192" s="2" t="s">
        <v>2693</v>
      </c>
      <c r="BF192" s="2" t="s">
        <v>2694</v>
      </c>
    </row>
    <row r="193" spans="1:58" ht="39.75" customHeight="1">
      <c r="A193" s="1"/>
      <c r="B193" s="1" t="s">
        <v>58</v>
      </c>
      <c r="C193" s="1" t="s">
        <v>59</v>
      </c>
      <c r="D193" s="1" t="s">
        <v>2695</v>
      </c>
      <c r="E193" s="1" t="s">
        <v>2696</v>
      </c>
      <c r="F193" s="1" t="s">
        <v>2697</v>
      </c>
      <c r="H193" s="2" t="s">
        <v>63</v>
      </c>
      <c r="I193" s="2" t="s">
        <v>64</v>
      </c>
      <c r="J193" s="2" t="s">
        <v>63</v>
      </c>
      <c r="K193" s="2" t="s">
        <v>63</v>
      </c>
      <c r="L193" s="2" t="s">
        <v>65</v>
      </c>
      <c r="M193" s="1" t="s">
        <v>2698</v>
      </c>
      <c r="N193" s="1" t="s">
        <v>2699</v>
      </c>
      <c r="O193" s="2" t="s">
        <v>121</v>
      </c>
      <c r="Q193" s="2" t="s">
        <v>68</v>
      </c>
      <c r="R193" s="2" t="s">
        <v>331</v>
      </c>
      <c r="T193" s="2" t="s">
        <v>71</v>
      </c>
      <c r="U193" s="3">
        <v>4</v>
      </c>
      <c r="V193" s="3">
        <v>4</v>
      </c>
      <c r="W193" s="4" t="s">
        <v>2661</v>
      </c>
      <c r="X193" s="4" t="s">
        <v>2661</v>
      </c>
      <c r="Y193" s="4" t="s">
        <v>2700</v>
      </c>
      <c r="Z193" s="4" t="s">
        <v>2700</v>
      </c>
      <c r="AA193" s="3">
        <v>44</v>
      </c>
      <c r="AB193" s="3">
        <v>43</v>
      </c>
      <c r="AC193" s="3">
        <v>44</v>
      </c>
      <c r="AD193" s="3">
        <v>2</v>
      </c>
      <c r="AE193" s="3">
        <v>2</v>
      </c>
      <c r="AF193" s="3">
        <v>1</v>
      </c>
      <c r="AG193" s="3">
        <v>1</v>
      </c>
      <c r="AH193" s="3">
        <v>0</v>
      </c>
      <c r="AI193" s="3">
        <v>0</v>
      </c>
      <c r="AJ193" s="3">
        <v>0</v>
      </c>
      <c r="AK193" s="3">
        <v>0</v>
      </c>
      <c r="AL193" s="3">
        <v>0</v>
      </c>
      <c r="AM193" s="3">
        <v>0</v>
      </c>
      <c r="AN193" s="3">
        <v>1</v>
      </c>
      <c r="AO193" s="3">
        <v>1</v>
      </c>
      <c r="AP193" s="3">
        <v>0</v>
      </c>
      <c r="AQ193" s="3">
        <v>0</v>
      </c>
      <c r="AR193" s="2" t="s">
        <v>63</v>
      </c>
      <c r="AS193" s="2" t="s">
        <v>63</v>
      </c>
      <c r="AU193" s="5" t="str">
        <f>HYPERLINK("https://creighton-primo.hosted.exlibrisgroup.com/primo-explore/search?tab=default_tab&amp;search_scope=EVERYTHING&amp;vid=01CRU&amp;lang=en_US&amp;offset=0&amp;query=any,contains,991004756269702656","Catalog Record")</f>
        <v>Catalog Record</v>
      </c>
      <c r="AV193" s="5" t="str">
        <f>HYPERLINK("http://www.worldcat.org/oclc/4966906","WorldCat Record")</f>
        <v>WorldCat Record</v>
      </c>
      <c r="AW193" s="2" t="s">
        <v>2701</v>
      </c>
      <c r="AX193" s="2" t="s">
        <v>2702</v>
      </c>
      <c r="AY193" s="2" t="s">
        <v>2703</v>
      </c>
      <c r="AZ193" s="2" t="s">
        <v>2703</v>
      </c>
      <c r="BA193" s="2" t="s">
        <v>2704</v>
      </c>
      <c r="BB193" s="2" t="s">
        <v>79</v>
      </c>
      <c r="BE193" s="2" t="s">
        <v>2705</v>
      </c>
      <c r="BF193" s="2" t="s">
        <v>2706</v>
      </c>
    </row>
    <row r="194" spans="1:58" ht="39.75" customHeight="1">
      <c r="A194" s="1"/>
      <c r="B194" s="1" t="s">
        <v>58</v>
      </c>
      <c r="C194" s="1" t="s">
        <v>59</v>
      </c>
      <c r="D194" s="1" t="s">
        <v>2707</v>
      </c>
      <c r="E194" s="1" t="s">
        <v>2708</v>
      </c>
      <c r="F194" s="1" t="s">
        <v>2709</v>
      </c>
      <c r="H194" s="2" t="s">
        <v>63</v>
      </c>
      <c r="I194" s="2" t="s">
        <v>64</v>
      </c>
      <c r="J194" s="2" t="s">
        <v>63</v>
      </c>
      <c r="K194" s="2" t="s">
        <v>63</v>
      </c>
      <c r="L194" s="2" t="s">
        <v>65</v>
      </c>
      <c r="M194" s="1" t="s">
        <v>2710</v>
      </c>
      <c r="N194" s="1" t="s">
        <v>2711</v>
      </c>
      <c r="O194" s="2" t="s">
        <v>441</v>
      </c>
      <c r="Q194" s="2" t="s">
        <v>68</v>
      </c>
      <c r="R194" s="2" t="s">
        <v>299</v>
      </c>
      <c r="T194" s="2" t="s">
        <v>71</v>
      </c>
      <c r="U194" s="3">
        <v>13</v>
      </c>
      <c r="V194" s="3">
        <v>13</v>
      </c>
      <c r="W194" s="4" t="s">
        <v>2712</v>
      </c>
      <c r="X194" s="4" t="s">
        <v>2712</v>
      </c>
      <c r="Y194" s="4" t="s">
        <v>2713</v>
      </c>
      <c r="Z194" s="4" t="s">
        <v>2713</v>
      </c>
      <c r="AA194" s="3">
        <v>696</v>
      </c>
      <c r="AB194" s="3">
        <v>653</v>
      </c>
      <c r="AC194" s="3">
        <v>663</v>
      </c>
      <c r="AD194" s="3">
        <v>4</v>
      </c>
      <c r="AE194" s="3">
        <v>4</v>
      </c>
      <c r="AF194" s="3">
        <v>10</v>
      </c>
      <c r="AG194" s="3">
        <v>10</v>
      </c>
      <c r="AH194" s="3">
        <v>4</v>
      </c>
      <c r="AI194" s="3">
        <v>4</v>
      </c>
      <c r="AJ194" s="3">
        <v>1</v>
      </c>
      <c r="AK194" s="3">
        <v>1</v>
      </c>
      <c r="AL194" s="3">
        <v>4</v>
      </c>
      <c r="AM194" s="3">
        <v>4</v>
      </c>
      <c r="AN194" s="3">
        <v>3</v>
      </c>
      <c r="AO194" s="3">
        <v>3</v>
      </c>
      <c r="AP194" s="3">
        <v>0</v>
      </c>
      <c r="AQ194" s="3">
        <v>0</v>
      </c>
      <c r="AR194" s="2" t="s">
        <v>63</v>
      </c>
      <c r="AS194" s="2" t="s">
        <v>74</v>
      </c>
      <c r="AT194" s="5" t="str">
        <f>HYPERLINK("http://catalog.hathitrust.org/Record/004498989","HathiTrust Record")</f>
        <v>HathiTrust Record</v>
      </c>
      <c r="AU194" s="5" t="str">
        <f>HYPERLINK("https://creighton-primo.hosted.exlibrisgroup.com/primo-explore/search?tab=default_tab&amp;search_scope=EVERYTHING&amp;vid=01CRU&amp;lang=en_US&amp;offset=0&amp;query=any,contains,991001122079702656","Catalog Record")</f>
        <v>Catalog Record</v>
      </c>
      <c r="AV194" s="5" t="str">
        <f>HYPERLINK("http://www.worldcat.org/oclc/16581958","WorldCat Record")</f>
        <v>WorldCat Record</v>
      </c>
      <c r="AW194" s="2" t="s">
        <v>2714</v>
      </c>
      <c r="AX194" s="2" t="s">
        <v>2715</v>
      </c>
      <c r="AY194" s="2" t="s">
        <v>2716</v>
      </c>
      <c r="AZ194" s="2" t="s">
        <v>2716</v>
      </c>
      <c r="BA194" s="2" t="s">
        <v>2717</v>
      </c>
      <c r="BB194" s="2" t="s">
        <v>79</v>
      </c>
      <c r="BD194" s="2" t="s">
        <v>2718</v>
      </c>
      <c r="BE194" s="2" t="s">
        <v>2719</v>
      </c>
      <c r="BF194" s="2" t="s">
        <v>2720</v>
      </c>
    </row>
    <row r="195" spans="1:58" ht="39.75" customHeight="1">
      <c r="A195" s="1"/>
      <c r="B195" s="1" t="s">
        <v>58</v>
      </c>
      <c r="C195" s="1" t="s">
        <v>59</v>
      </c>
      <c r="D195" s="1" t="s">
        <v>2721</v>
      </c>
      <c r="E195" s="1" t="s">
        <v>2722</v>
      </c>
      <c r="F195" s="1" t="s">
        <v>2723</v>
      </c>
      <c r="H195" s="2" t="s">
        <v>63</v>
      </c>
      <c r="I195" s="2" t="s">
        <v>64</v>
      </c>
      <c r="J195" s="2" t="s">
        <v>63</v>
      </c>
      <c r="K195" s="2" t="s">
        <v>63</v>
      </c>
      <c r="L195" s="2" t="s">
        <v>65</v>
      </c>
      <c r="N195" s="1" t="s">
        <v>2724</v>
      </c>
      <c r="O195" s="2" t="s">
        <v>1301</v>
      </c>
      <c r="Q195" s="2" t="s">
        <v>68</v>
      </c>
      <c r="R195" s="2" t="s">
        <v>583</v>
      </c>
      <c r="T195" s="2" t="s">
        <v>71</v>
      </c>
      <c r="U195" s="3">
        <v>13</v>
      </c>
      <c r="V195" s="3">
        <v>13</v>
      </c>
      <c r="W195" s="4" t="s">
        <v>2712</v>
      </c>
      <c r="X195" s="4" t="s">
        <v>2712</v>
      </c>
      <c r="Y195" s="4" t="s">
        <v>2725</v>
      </c>
      <c r="Z195" s="4" t="s">
        <v>2725</v>
      </c>
      <c r="AA195" s="3">
        <v>228</v>
      </c>
      <c r="AB195" s="3">
        <v>172</v>
      </c>
      <c r="AC195" s="3">
        <v>182</v>
      </c>
      <c r="AD195" s="3">
        <v>2</v>
      </c>
      <c r="AE195" s="3">
        <v>2</v>
      </c>
      <c r="AF195" s="3">
        <v>6</v>
      </c>
      <c r="AG195" s="3">
        <v>6</v>
      </c>
      <c r="AH195" s="3">
        <v>1</v>
      </c>
      <c r="AI195" s="3">
        <v>1</v>
      </c>
      <c r="AJ195" s="3">
        <v>3</v>
      </c>
      <c r="AK195" s="3">
        <v>3</v>
      </c>
      <c r="AL195" s="3">
        <v>2</v>
      </c>
      <c r="AM195" s="3">
        <v>2</v>
      </c>
      <c r="AN195" s="3">
        <v>1</v>
      </c>
      <c r="AO195" s="3">
        <v>1</v>
      </c>
      <c r="AP195" s="3">
        <v>0</v>
      </c>
      <c r="AQ195" s="3">
        <v>0</v>
      </c>
      <c r="AR195" s="2" t="s">
        <v>63</v>
      </c>
      <c r="AS195" s="2" t="s">
        <v>63</v>
      </c>
      <c r="AU195" s="5" t="str">
        <f>HYPERLINK("https://creighton-primo.hosted.exlibrisgroup.com/primo-explore/search?tab=default_tab&amp;search_scope=EVERYTHING&amp;vid=01CRU&amp;lang=en_US&amp;offset=0&amp;query=any,contains,991001469639702656","Catalog Record")</f>
        <v>Catalog Record</v>
      </c>
      <c r="AV195" s="5" t="str">
        <f>HYPERLINK("http://www.worldcat.org/oclc/19519996","WorldCat Record")</f>
        <v>WorldCat Record</v>
      </c>
      <c r="AW195" s="2" t="s">
        <v>2726</v>
      </c>
      <c r="AX195" s="2" t="s">
        <v>2727</v>
      </c>
      <c r="AY195" s="2" t="s">
        <v>2728</v>
      </c>
      <c r="AZ195" s="2" t="s">
        <v>2728</v>
      </c>
      <c r="BA195" s="2" t="s">
        <v>2729</v>
      </c>
      <c r="BB195" s="2" t="s">
        <v>79</v>
      </c>
      <c r="BD195" s="2" t="s">
        <v>2730</v>
      </c>
      <c r="BE195" s="2" t="s">
        <v>2731</v>
      </c>
      <c r="BF195" s="2" t="s">
        <v>2732</v>
      </c>
    </row>
    <row r="196" spans="1:58" ht="39.75" customHeight="1">
      <c r="A196" s="1"/>
      <c r="B196" s="1" t="s">
        <v>58</v>
      </c>
      <c r="C196" s="1" t="s">
        <v>59</v>
      </c>
      <c r="D196" s="1" t="s">
        <v>2733</v>
      </c>
      <c r="E196" s="1" t="s">
        <v>2734</v>
      </c>
      <c r="F196" s="1" t="s">
        <v>2735</v>
      </c>
      <c r="H196" s="2" t="s">
        <v>63</v>
      </c>
      <c r="I196" s="2" t="s">
        <v>64</v>
      </c>
      <c r="J196" s="2" t="s">
        <v>63</v>
      </c>
      <c r="K196" s="2" t="s">
        <v>63</v>
      </c>
      <c r="L196" s="2" t="s">
        <v>65</v>
      </c>
      <c r="M196" s="1" t="s">
        <v>2736</v>
      </c>
      <c r="N196" s="1" t="s">
        <v>2737</v>
      </c>
      <c r="O196" s="2" t="s">
        <v>670</v>
      </c>
      <c r="Q196" s="2" t="s">
        <v>68</v>
      </c>
      <c r="R196" s="2" t="s">
        <v>500</v>
      </c>
      <c r="T196" s="2" t="s">
        <v>71</v>
      </c>
      <c r="U196" s="3">
        <v>4</v>
      </c>
      <c r="V196" s="3">
        <v>4</v>
      </c>
      <c r="W196" s="4" t="s">
        <v>2738</v>
      </c>
      <c r="X196" s="4" t="s">
        <v>2738</v>
      </c>
      <c r="Y196" s="4" t="s">
        <v>2739</v>
      </c>
      <c r="Z196" s="4" t="s">
        <v>2739</v>
      </c>
      <c r="AA196" s="3">
        <v>327</v>
      </c>
      <c r="AB196" s="3">
        <v>317</v>
      </c>
      <c r="AC196" s="3">
        <v>322</v>
      </c>
      <c r="AD196" s="3">
        <v>1</v>
      </c>
      <c r="AE196" s="3">
        <v>1</v>
      </c>
      <c r="AF196" s="3">
        <v>3</v>
      </c>
      <c r="AG196" s="3">
        <v>3</v>
      </c>
      <c r="AH196" s="3">
        <v>1</v>
      </c>
      <c r="AI196" s="3">
        <v>1</v>
      </c>
      <c r="AJ196" s="3">
        <v>0</v>
      </c>
      <c r="AK196" s="3">
        <v>0</v>
      </c>
      <c r="AL196" s="3">
        <v>3</v>
      </c>
      <c r="AM196" s="3">
        <v>3</v>
      </c>
      <c r="AN196" s="3">
        <v>0</v>
      </c>
      <c r="AO196" s="3">
        <v>0</v>
      </c>
      <c r="AP196" s="3">
        <v>0</v>
      </c>
      <c r="AQ196" s="3">
        <v>0</v>
      </c>
      <c r="AR196" s="2" t="s">
        <v>63</v>
      </c>
      <c r="AS196" s="2" t="s">
        <v>63</v>
      </c>
      <c r="AU196" s="5" t="str">
        <f>HYPERLINK("https://creighton-primo.hosted.exlibrisgroup.com/primo-explore/search?tab=default_tab&amp;search_scope=EVERYTHING&amp;vid=01CRU&amp;lang=en_US&amp;offset=0&amp;query=any,contains,991002553039702656","Catalog Record")</f>
        <v>Catalog Record</v>
      </c>
      <c r="AV196" s="5" t="str">
        <f>HYPERLINK("http://www.worldcat.org/oclc/33166427","WorldCat Record")</f>
        <v>WorldCat Record</v>
      </c>
      <c r="AW196" s="2" t="s">
        <v>2740</v>
      </c>
      <c r="AX196" s="2" t="s">
        <v>2741</v>
      </c>
      <c r="AY196" s="2" t="s">
        <v>2742</v>
      </c>
      <c r="AZ196" s="2" t="s">
        <v>2742</v>
      </c>
      <c r="BA196" s="2" t="s">
        <v>2743</v>
      </c>
      <c r="BB196" s="2" t="s">
        <v>79</v>
      </c>
      <c r="BD196" s="2" t="s">
        <v>2744</v>
      </c>
      <c r="BE196" s="2" t="s">
        <v>2745</v>
      </c>
      <c r="BF196" s="2" t="s">
        <v>2746</v>
      </c>
    </row>
    <row r="197" spans="1:58" ht="39.75" customHeight="1">
      <c r="A197" s="1"/>
      <c r="B197" s="1" t="s">
        <v>58</v>
      </c>
      <c r="C197" s="1" t="s">
        <v>59</v>
      </c>
      <c r="D197" s="1" t="s">
        <v>2747</v>
      </c>
      <c r="E197" s="1" t="s">
        <v>2748</v>
      </c>
      <c r="F197" s="1" t="s">
        <v>2749</v>
      </c>
      <c r="H197" s="2" t="s">
        <v>63</v>
      </c>
      <c r="I197" s="2" t="s">
        <v>64</v>
      </c>
      <c r="J197" s="2" t="s">
        <v>63</v>
      </c>
      <c r="K197" s="2" t="s">
        <v>63</v>
      </c>
      <c r="L197" s="2" t="s">
        <v>65</v>
      </c>
      <c r="M197" s="1" t="s">
        <v>2750</v>
      </c>
      <c r="N197" s="1" t="s">
        <v>2751</v>
      </c>
      <c r="O197" s="2" t="s">
        <v>726</v>
      </c>
      <c r="Q197" s="2" t="s">
        <v>68</v>
      </c>
      <c r="R197" s="2" t="s">
        <v>106</v>
      </c>
      <c r="T197" s="2" t="s">
        <v>71</v>
      </c>
      <c r="U197" s="3">
        <v>4</v>
      </c>
      <c r="V197" s="3">
        <v>4</v>
      </c>
      <c r="W197" s="4" t="s">
        <v>2752</v>
      </c>
      <c r="X197" s="4" t="s">
        <v>2752</v>
      </c>
      <c r="Y197" s="4" t="s">
        <v>333</v>
      </c>
      <c r="Z197" s="4" t="s">
        <v>333</v>
      </c>
      <c r="AA197" s="3">
        <v>370</v>
      </c>
      <c r="AB197" s="3">
        <v>352</v>
      </c>
      <c r="AC197" s="3">
        <v>404</v>
      </c>
      <c r="AD197" s="3">
        <v>3</v>
      </c>
      <c r="AE197" s="3">
        <v>5</v>
      </c>
      <c r="AF197" s="3">
        <v>7</v>
      </c>
      <c r="AG197" s="3">
        <v>10</v>
      </c>
      <c r="AH197" s="3">
        <v>2</v>
      </c>
      <c r="AI197" s="3">
        <v>2</v>
      </c>
      <c r="AJ197" s="3">
        <v>1</v>
      </c>
      <c r="AK197" s="3">
        <v>1</v>
      </c>
      <c r="AL197" s="3">
        <v>3</v>
      </c>
      <c r="AM197" s="3">
        <v>4</v>
      </c>
      <c r="AN197" s="3">
        <v>2</v>
      </c>
      <c r="AO197" s="3">
        <v>4</v>
      </c>
      <c r="AP197" s="3">
        <v>0</v>
      </c>
      <c r="AQ197" s="3">
        <v>0</v>
      </c>
      <c r="AR197" s="2" t="s">
        <v>63</v>
      </c>
      <c r="AS197" s="2" t="s">
        <v>63</v>
      </c>
      <c r="AU197" s="5" t="str">
        <f>HYPERLINK("https://creighton-primo.hosted.exlibrisgroup.com/primo-explore/search?tab=default_tab&amp;search_scope=EVERYTHING&amp;vid=01CRU&amp;lang=en_US&amp;offset=0&amp;query=any,contains,991004232039702656","Catalog Record")</f>
        <v>Catalog Record</v>
      </c>
      <c r="AV197" s="5" t="str">
        <f>HYPERLINK("http://www.worldcat.org/oclc/2749759","WorldCat Record")</f>
        <v>WorldCat Record</v>
      </c>
      <c r="AW197" s="2" t="s">
        <v>2753</v>
      </c>
      <c r="AX197" s="2" t="s">
        <v>2754</v>
      </c>
      <c r="AY197" s="2" t="s">
        <v>2755</v>
      </c>
      <c r="AZ197" s="2" t="s">
        <v>2755</v>
      </c>
      <c r="BA197" s="2" t="s">
        <v>2756</v>
      </c>
      <c r="BB197" s="2" t="s">
        <v>79</v>
      </c>
      <c r="BE197" s="2" t="s">
        <v>2757</v>
      </c>
      <c r="BF197" s="2" t="s">
        <v>2758</v>
      </c>
    </row>
    <row r="198" spans="1:58" ht="39.75" customHeight="1">
      <c r="A198" s="1"/>
      <c r="B198" s="1" t="s">
        <v>58</v>
      </c>
      <c r="C198" s="1" t="s">
        <v>59</v>
      </c>
      <c r="D198" s="1" t="s">
        <v>2759</v>
      </c>
      <c r="E198" s="1" t="s">
        <v>2760</v>
      </c>
      <c r="F198" s="1" t="s">
        <v>2761</v>
      </c>
      <c r="H198" s="2" t="s">
        <v>63</v>
      </c>
      <c r="I198" s="2" t="s">
        <v>64</v>
      </c>
      <c r="J198" s="2" t="s">
        <v>63</v>
      </c>
      <c r="K198" s="2" t="s">
        <v>63</v>
      </c>
      <c r="L198" s="2" t="s">
        <v>65</v>
      </c>
      <c r="M198" s="1" t="s">
        <v>2762</v>
      </c>
      <c r="N198" s="1" t="s">
        <v>2763</v>
      </c>
      <c r="O198" s="2" t="s">
        <v>359</v>
      </c>
      <c r="P198" s="1" t="s">
        <v>2764</v>
      </c>
      <c r="Q198" s="2" t="s">
        <v>68</v>
      </c>
      <c r="R198" s="2" t="s">
        <v>106</v>
      </c>
      <c r="T198" s="2" t="s">
        <v>71</v>
      </c>
      <c r="U198" s="3">
        <v>5</v>
      </c>
      <c r="V198" s="3">
        <v>5</v>
      </c>
      <c r="W198" s="4" t="s">
        <v>2765</v>
      </c>
      <c r="X198" s="4" t="s">
        <v>2765</v>
      </c>
      <c r="Y198" s="4" t="s">
        <v>333</v>
      </c>
      <c r="Z198" s="4" t="s">
        <v>333</v>
      </c>
      <c r="AA198" s="3">
        <v>373</v>
      </c>
      <c r="AB198" s="3">
        <v>331</v>
      </c>
      <c r="AC198" s="3">
        <v>338</v>
      </c>
      <c r="AD198" s="3">
        <v>2</v>
      </c>
      <c r="AE198" s="3">
        <v>2</v>
      </c>
      <c r="AF198" s="3">
        <v>8</v>
      </c>
      <c r="AG198" s="3">
        <v>8</v>
      </c>
      <c r="AH198" s="3">
        <v>4</v>
      </c>
      <c r="AI198" s="3">
        <v>4</v>
      </c>
      <c r="AJ198" s="3">
        <v>0</v>
      </c>
      <c r="AK198" s="3">
        <v>0</v>
      </c>
      <c r="AL198" s="3">
        <v>5</v>
      </c>
      <c r="AM198" s="3">
        <v>5</v>
      </c>
      <c r="AN198" s="3">
        <v>1</v>
      </c>
      <c r="AO198" s="3">
        <v>1</v>
      </c>
      <c r="AP198" s="3">
        <v>0</v>
      </c>
      <c r="AQ198" s="3">
        <v>0</v>
      </c>
      <c r="AR198" s="2" t="s">
        <v>63</v>
      </c>
      <c r="AS198" s="2" t="s">
        <v>74</v>
      </c>
      <c r="AT198" s="5" t="str">
        <f>HYPERLINK("http://catalog.hathitrust.org/Record/001559358","HathiTrust Record")</f>
        <v>HathiTrust Record</v>
      </c>
      <c r="AU198" s="5" t="str">
        <f>HYPERLINK("https://creighton-primo.hosted.exlibrisgroup.com/primo-explore/search?tab=default_tab&amp;search_scope=EVERYTHING&amp;vid=01CRU&amp;lang=en_US&amp;offset=0&amp;query=any,contains,991000049929702656","Catalog Record")</f>
        <v>Catalog Record</v>
      </c>
      <c r="AV198" s="5" t="str">
        <f>HYPERLINK("http://www.worldcat.org/oclc/22726","WorldCat Record")</f>
        <v>WorldCat Record</v>
      </c>
      <c r="AW198" s="2" t="s">
        <v>2766</v>
      </c>
      <c r="AX198" s="2" t="s">
        <v>2767</v>
      </c>
      <c r="AY198" s="2" t="s">
        <v>2768</v>
      </c>
      <c r="AZ198" s="2" t="s">
        <v>2768</v>
      </c>
      <c r="BA198" s="2" t="s">
        <v>2769</v>
      </c>
      <c r="BB198" s="2" t="s">
        <v>79</v>
      </c>
      <c r="BE198" s="2" t="s">
        <v>2770</v>
      </c>
      <c r="BF198" s="2" t="s">
        <v>2771</v>
      </c>
    </row>
    <row r="199" spans="1:58" ht="39.75" customHeight="1">
      <c r="A199" s="1"/>
      <c r="B199" s="1" t="s">
        <v>58</v>
      </c>
      <c r="C199" s="1" t="s">
        <v>59</v>
      </c>
      <c r="D199" s="1" t="s">
        <v>2772</v>
      </c>
      <c r="E199" s="1" t="s">
        <v>2773</v>
      </c>
      <c r="F199" s="1" t="s">
        <v>2774</v>
      </c>
      <c r="H199" s="2" t="s">
        <v>63</v>
      </c>
      <c r="I199" s="2" t="s">
        <v>64</v>
      </c>
      <c r="J199" s="2" t="s">
        <v>63</v>
      </c>
      <c r="K199" s="2" t="s">
        <v>63</v>
      </c>
      <c r="L199" s="2" t="s">
        <v>65</v>
      </c>
      <c r="M199" s="1" t="s">
        <v>2775</v>
      </c>
      <c r="N199" s="1" t="s">
        <v>2776</v>
      </c>
      <c r="O199" s="2" t="s">
        <v>136</v>
      </c>
      <c r="P199" s="1" t="s">
        <v>529</v>
      </c>
      <c r="Q199" s="2" t="s">
        <v>68</v>
      </c>
      <c r="R199" s="2" t="s">
        <v>979</v>
      </c>
      <c r="T199" s="2" t="s">
        <v>71</v>
      </c>
      <c r="U199" s="3">
        <v>1</v>
      </c>
      <c r="V199" s="3">
        <v>1</v>
      </c>
      <c r="W199" s="4" t="s">
        <v>2777</v>
      </c>
      <c r="X199" s="4" t="s">
        <v>2777</v>
      </c>
      <c r="Y199" s="4" t="s">
        <v>2061</v>
      </c>
      <c r="Z199" s="4" t="s">
        <v>2061</v>
      </c>
      <c r="AA199" s="3">
        <v>172</v>
      </c>
      <c r="AB199" s="3">
        <v>113</v>
      </c>
      <c r="AC199" s="3">
        <v>202</v>
      </c>
      <c r="AD199" s="3">
        <v>1</v>
      </c>
      <c r="AE199" s="3">
        <v>3</v>
      </c>
      <c r="AF199" s="3">
        <v>1</v>
      </c>
      <c r="AG199" s="3">
        <v>5</v>
      </c>
      <c r="AH199" s="3">
        <v>1</v>
      </c>
      <c r="AI199" s="3">
        <v>2</v>
      </c>
      <c r="AJ199" s="3">
        <v>0</v>
      </c>
      <c r="AK199" s="3">
        <v>0</v>
      </c>
      <c r="AL199" s="3">
        <v>1</v>
      </c>
      <c r="AM199" s="3">
        <v>2</v>
      </c>
      <c r="AN199" s="3">
        <v>0</v>
      </c>
      <c r="AO199" s="3">
        <v>2</v>
      </c>
      <c r="AP199" s="3">
        <v>0</v>
      </c>
      <c r="AQ199" s="3">
        <v>0</v>
      </c>
      <c r="AR199" s="2" t="s">
        <v>63</v>
      </c>
      <c r="AS199" s="2" t="s">
        <v>63</v>
      </c>
      <c r="AU199" s="5" t="str">
        <f>HYPERLINK("https://creighton-primo.hosted.exlibrisgroup.com/primo-explore/search?tab=default_tab&amp;search_scope=EVERYTHING&amp;vid=01CRU&amp;lang=en_US&amp;offset=0&amp;query=any,contains,991005137229702656","Catalog Record")</f>
        <v>Catalog Record</v>
      </c>
      <c r="AV199" s="5" t="str">
        <f>HYPERLINK("http://www.worldcat.org/oclc/7578082","WorldCat Record")</f>
        <v>WorldCat Record</v>
      </c>
      <c r="AW199" s="2" t="s">
        <v>2778</v>
      </c>
      <c r="AX199" s="2" t="s">
        <v>2779</v>
      </c>
      <c r="AY199" s="2" t="s">
        <v>2780</v>
      </c>
      <c r="AZ199" s="2" t="s">
        <v>2780</v>
      </c>
      <c r="BA199" s="2" t="s">
        <v>2781</v>
      </c>
      <c r="BB199" s="2" t="s">
        <v>79</v>
      </c>
      <c r="BD199" s="2" t="s">
        <v>2782</v>
      </c>
      <c r="BE199" s="2" t="s">
        <v>2783</v>
      </c>
      <c r="BF199" s="2" t="s">
        <v>2784</v>
      </c>
    </row>
    <row r="200" spans="1:58" ht="39.75" customHeight="1">
      <c r="A200" s="1"/>
      <c r="B200" s="1" t="s">
        <v>58</v>
      </c>
      <c r="C200" s="1" t="s">
        <v>59</v>
      </c>
      <c r="D200" s="1" t="s">
        <v>2785</v>
      </c>
      <c r="E200" s="1" t="s">
        <v>2786</v>
      </c>
      <c r="F200" s="1" t="s">
        <v>2787</v>
      </c>
      <c r="H200" s="2" t="s">
        <v>63</v>
      </c>
      <c r="I200" s="2" t="s">
        <v>64</v>
      </c>
      <c r="J200" s="2" t="s">
        <v>63</v>
      </c>
      <c r="K200" s="2" t="s">
        <v>63</v>
      </c>
      <c r="L200" s="2" t="s">
        <v>65</v>
      </c>
      <c r="M200" s="1" t="s">
        <v>2788</v>
      </c>
      <c r="N200" s="1" t="s">
        <v>2789</v>
      </c>
      <c r="O200" s="2" t="s">
        <v>798</v>
      </c>
      <c r="P200" s="1" t="s">
        <v>2790</v>
      </c>
      <c r="Q200" s="2" t="s">
        <v>68</v>
      </c>
      <c r="R200" s="2" t="s">
        <v>979</v>
      </c>
      <c r="S200" s="1" t="s">
        <v>2791</v>
      </c>
      <c r="T200" s="2" t="s">
        <v>71</v>
      </c>
      <c r="U200" s="3">
        <v>5</v>
      </c>
      <c r="V200" s="3">
        <v>5</v>
      </c>
      <c r="W200" s="4" t="s">
        <v>2792</v>
      </c>
      <c r="X200" s="4" t="s">
        <v>2792</v>
      </c>
      <c r="Y200" s="4" t="s">
        <v>2793</v>
      </c>
      <c r="Z200" s="4" t="s">
        <v>2793</v>
      </c>
      <c r="AA200" s="3">
        <v>88</v>
      </c>
      <c r="AB200" s="3">
        <v>62</v>
      </c>
      <c r="AC200" s="3">
        <v>300</v>
      </c>
      <c r="AD200" s="3">
        <v>3</v>
      </c>
      <c r="AE200" s="3">
        <v>4</v>
      </c>
      <c r="AF200" s="3">
        <v>2</v>
      </c>
      <c r="AG200" s="3">
        <v>6</v>
      </c>
      <c r="AH200" s="3">
        <v>0</v>
      </c>
      <c r="AI200" s="3">
        <v>1</v>
      </c>
      <c r="AJ200" s="3">
        <v>0</v>
      </c>
      <c r="AK200" s="3">
        <v>1</v>
      </c>
      <c r="AL200" s="3">
        <v>1</v>
      </c>
      <c r="AM200" s="3">
        <v>3</v>
      </c>
      <c r="AN200" s="3">
        <v>1</v>
      </c>
      <c r="AO200" s="3">
        <v>2</v>
      </c>
      <c r="AP200" s="3">
        <v>0</v>
      </c>
      <c r="AQ200" s="3">
        <v>0</v>
      </c>
      <c r="AR200" s="2" t="s">
        <v>63</v>
      </c>
      <c r="AS200" s="2" t="s">
        <v>63</v>
      </c>
      <c r="AU200" s="5" t="str">
        <f>HYPERLINK("https://creighton-primo.hosted.exlibrisgroup.com/primo-explore/search?tab=default_tab&amp;search_scope=EVERYTHING&amp;vid=01CRU&amp;lang=en_US&amp;offset=0&amp;query=any,contains,991002295479702656","Catalog Record")</f>
        <v>Catalog Record</v>
      </c>
      <c r="AV200" s="5" t="str">
        <f>HYPERLINK("http://www.worldcat.org/oclc/29790688","WorldCat Record")</f>
        <v>WorldCat Record</v>
      </c>
      <c r="AW200" s="2" t="s">
        <v>2794</v>
      </c>
      <c r="AX200" s="2" t="s">
        <v>2795</v>
      </c>
      <c r="AY200" s="2" t="s">
        <v>2796</v>
      </c>
      <c r="AZ200" s="2" t="s">
        <v>2796</v>
      </c>
      <c r="BA200" s="2" t="s">
        <v>2797</v>
      </c>
      <c r="BB200" s="2" t="s">
        <v>79</v>
      </c>
      <c r="BD200" s="2" t="s">
        <v>2798</v>
      </c>
      <c r="BE200" s="2" t="s">
        <v>2799</v>
      </c>
      <c r="BF200" s="2" t="s">
        <v>2800</v>
      </c>
    </row>
    <row r="201" spans="1:58" ht="39.75" customHeight="1">
      <c r="A201" s="1"/>
      <c r="B201" s="1" t="s">
        <v>58</v>
      </c>
      <c r="C201" s="1" t="s">
        <v>59</v>
      </c>
      <c r="D201" s="1" t="s">
        <v>2801</v>
      </c>
      <c r="E201" s="1" t="s">
        <v>2802</v>
      </c>
      <c r="F201" s="1" t="s">
        <v>2803</v>
      </c>
      <c r="H201" s="2" t="s">
        <v>63</v>
      </c>
      <c r="I201" s="2" t="s">
        <v>64</v>
      </c>
      <c r="J201" s="2" t="s">
        <v>63</v>
      </c>
      <c r="K201" s="2" t="s">
        <v>63</v>
      </c>
      <c r="L201" s="2" t="s">
        <v>65</v>
      </c>
      <c r="M201" s="1" t="s">
        <v>2804</v>
      </c>
      <c r="N201" s="1" t="s">
        <v>2805</v>
      </c>
      <c r="O201" s="2" t="s">
        <v>136</v>
      </c>
      <c r="P201" s="1" t="s">
        <v>484</v>
      </c>
      <c r="Q201" s="2" t="s">
        <v>68</v>
      </c>
      <c r="R201" s="2" t="s">
        <v>106</v>
      </c>
      <c r="T201" s="2" t="s">
        <v>71</v>
      </c>
      <c r="U201" s="3">
        <v>5</v>
      </c>
      <c r="V201" s="3">
        <v>5</v>
      </c>
      <c r="W201" s="4" t="s">
        <v>2806</v>
      </c>
      <c r="X201" s="4" t="s">
        <v>2806</v>
      </c>
      <c r="Y201" s="4" t="s">
        <v>2807</v>
      </c>
      <c r="Z201" s="4" t="s">
        <v>2807</v>
      </c>
      <c r="AA201" s="3">
        <v>868</v>
      </c>
      <c r="AB201" s="3">
        <v>812</v>
      </c>
      <c r="AC201" s="3">
        <v>819</v>
      </c>
      <c r="AD201" s="3">
        <v>4</v>
      </c>
      <c r="AE201" s="3">
        <v>4</v>
      </c>
      <c r="AF201" s="3">
        <v>17</v>
      </c>
      <c r="AG201" s="3">
        <v>17</v>
      </c>
      <c r="AH201" s="3">
        <v>8</v>
      </c>
      <c r="AI201" s="3">
        <v>8</v>
      </c>
      <c r="AJ201" s="3">
        <v>3</v>
      </c>
      <c r="AK201" s="3">
        <v>3</v>
      </c>
      <c r="AL201" s="3">
        <v>8</v>
      </c>
      <c r="AM201" s="3">
        <v>8</v>
      </c>
      <c r="AN201" s="3">
        <v>2</v>
      </c>
      <c r="AO201" s="3">
        <v>2</v>
      </c>
      <c r="AP201" s="3">
        <v>0</v>
      </c>
      <c r="AQ201" s="3">
        <v>0</v>
      </c>
      <c r="AR201" s="2" t="s">
        <v>63</v>
      </c>
      <c r="AS201" s="2" t="s">
        <v>74</v>
      </c>
      <c r="AT201" s="5" t="str">
        <f>HYPERLINK("http://catalog.hathitrust.org/Record/000770173","HathiTrust Record")</f>
        <v>HathiTrust Record</v>
      </c>
      <c r="AU201" s="5" t="str">
        <f>HYPERLINK("https://creighton-primo.hosted.exlibrisgroup.com/primo-explore/search?tab=default_tab&amp;search_scope=EVERYTHING&amp;vid=01CRU&amp;lang=en_US&amp;offset=0&amp;query=any,contains,991000037529702656","Catalog Record")</f>
        <v>Catalog Record</v>
      </c>
      <c r="AV201" s="5" t="str">
        <f>HYPERLINK("http://www.worldcat.org/oclc/8628371","WorldCat Record")</f>
        <v>WorldCat Record</v>
      </c>
      <c r="AW201" s="2" t="s">
        <v>2808</v>
      </c>
      <c r="AX201" s="2" t="s">
        <v>2809</v>
      </c>
      <c r="AY201" s="2" t="s">
        <v>2810</v>
      </c>
      <c r="AZ201" s="2" t="s">
        <v>2810</v>
      </c>
      <c r="BA201" s="2" t="s">
        <v>2811</v>
      </c>
      <c r="BB201" s="2" t="s">
        <v>79</v>
      </c>
      <c r="BD201" s="2" t="s">
        <v>2812</v>
      </c>
      <c r="BE201" s="2" t="s">
        <v>2813</v>
      </c>
      <c r="BF201" s="2" t="s">
        <v>2814</v>
      </c>
    </row>
    <row r="202" spans="1:58" ht="39.75" customHeight="1">
      <c r="A202" s="1"/>
      <c r="B202" s="1" t="s">
        <v>58</v>
      </c>
      <c r="C202" s="1" t="s">
        <v>59</v>
      </c>
      <c r="D202" s="1" t="s">
        <v>2815</v>
      </c>
      <c r="E202" s="1" t="s">
        <v>2816</v>
      </c>
      <c r="F202" s="1" t="s">
        <v>2817</v>
      </c>
      <c r="H202" s="2" t="s">
        <v>63</v>
      </c>
      <c r="I202" s="2" t="s">
        <v>64</v>
      </c>
      <c r="J202" s="2" t="s">
        <v>63</v>
      </c>
      <c r="K202" s="2" t="s">
        <v>63</v>
      </c>
      <c r="L202" s="2" t="s">
        <v>65</v>
      </c>
      <c r="M202" s="1" t="s">
        <v>2818</v>
      </c>
      <c r="N202" s="1" t="s">
        <v>2819</v>
      </c>
      <c r="O202" s="2" t="s">
        <v>978</v>
      </c>
      <c r="P202" s="1" t="s">
        <v>484</v>
      </c>
      <c r="Q202" s="2" t="s">
        <v>68</v>
      </c>
      <c r="R202" s="2" t="s">
        <v>167</v>
      </c>
      <c r="T202" s="2" t="s">
        <v>71</v>
      </c>
      <c r="U202" s="3">
        <v>13</v>
      </c>
      <c r="V202" s="3">
        <v>13</v>
      </c>
      <c r="W202" s="4" t="s">
        <v>2820</v>
      </c>
      <c r="X202" s="4" t="s">
        <v>2820</v>
      </c>
      <c r="Y202" s="4" t="s">
        <v>2821</v>
      </c>
      <c r="Z202" s="4" t="s">
        <v>2821</v>
      </c>
      <c r="AA202" s="3">
        <v>1275</v>
      </c>
      <c r="AB202" s="3">
        <v>1208</v>
      </c>
      <c r="AC202" s="3">
        <v>1212</v>
      </c>
      <c r="AD202" s="3">
        <v>6</v>
      </c>
      <c r="AE202" s="3">
        <v>6</v>
      </c>
      <c r="AF202" s="3">
        <v>23</v>
      </c>
      <c r="AG202" s="3">
        <v>23</v>
      </c>
      <c r="AH202" s="3">
        <v>7</v>
      </c>
      <c r="AI202" s="3">
        <v>7</v>
      </c>
      <c r="AJ202" s="3">
        <v>5</v>
      </c>
      <c r="AK202" s="3">
        <v>5</v>
      </c>
      <c r="AL202" s="3">
        <v>12</v>
      </c>
      <c r="AM202" s="3">
        <v>12</v>
      </c>
      <c r="AN202" s="3">
        <v>2</v>
      </c>
      <c r="AO202" s="3">
        <v>2</v>
      </c>
      <c r="AP202" s="3">
        <v>0</v>
      </c>
      <c r="AQ202" s="3">
        <v>0</v>
      </c>
      <c r="AR202" s="2" t="s">
        <v>63</v>
      </c>
      <c r="AS202" s="2" t="s">
        <v>63</v>
      </c>
      <c r="AU202" s="5" t="str">
        <f>HYPERLINK("https://creighton-primo.hosted.exlibrisgroup.com/primo-explore/search?tab=default_tab&amp;search_scope=EVERYTHING&amp;vid=01CRU&amp;lang=en_US&amp;offset=0&amp;query=any,contains,991002687479702656","Catalog Record")</f>
        <v>Catalog Record</v>
      </c>
      <c r="AV202" s="5" t="str">
        <f>HYPERLINK("http://www.worldcat.org/oclc/35110227","WorldCat Record")</f>
        <v>WorldCat Record</v>
      </c>
      <c r="AW202" s="2" t="s">
        <v>2822</v>
      </c>
      <c r="AX202" s="2" t="s">
        <v>2823</v>
      </c>
      <c r="AY202" s="2" t="s">
        <v>2824</v>
      </c>
      <c r="AZ202" s="2" t="s">
        <v>2824</v>
      </c>
      <c r="BA202" s="2" t="s">
        <v>2825</v>
      </c>
      <c r="BB202" s="2" t="s">
        <v>79</v>
      </c>
      <c r="BD202" s="2" t="s">
        <v>2826</v>
      </c>
      <c r="BE202" s="2" t="s">
        <v>2827</v>
      </c>
      <c r="BF202" s="2" t="s">
        <v>2828</v>
      </c>
    </row>
    <row r="203" spans="1:58" ht="39.75" customHeight="1">
      <c r="A203" s="1"/>
      <c r="B203" s="1" t="s">
        <v>58</v>
      </c>
      <c r="C203" s="1" t="s">
        <v>59</v>
      </c>
      <c r="D203" s="1" t="s">
        <v>2829</v>
      </c>
      <c r="E203" s="1" t="s">
        <v>2830</v>
      </c>
      <c r="F203" s="1" t="s">
        <v>2831</v>
      </c>
      <c r="H203" s="2" t="s">
        <v>63</v>
      </c>
      <c r="I203" s="2" t="s">
        <v>64</v>
      </c>
      <c r="J203" s="2" t="s">
        <v>63</v>
      </c>
      <c r="K203" s="2" t="s">
        <v>63</v>
      </c>
      <c r="L203" s="2" t="s">
        <v>65</v>
      </c>
      <c r="M203" s="1" t="s">
        <v>2832</v>
      </c>
      <c r="N203" s="1" t="s">
        <v>2833</v>
      </c>
      <c r="O203" s="2" t="s">
        <v>1301</v>
      </c>
      <c r="Q203" s="2" t="s">
        <v>68</v>
      </c>
      <c r="R203" s="2" t="s">
        <v>106</v>
      </c>
      <c r="T203" s="2" t="s">
        <v>71</v>
      </c>
      <c r="U203" s="3">
        <v>20</v>
      </c>
      <c r="V203" s="3">
        <v>20</v>
      </c>
      <c r="W203" s="4" t="s">
        <v>2834</v>
      </c>
      <c r="X203" s="4" t="s">
        <v>2834</v>
      </c>
      <c r="Y203" s="4" t="s">
        <v>2835</v>
      </c>
      <c r="Z203" s="4" t="s">
        <v>2835</v>
      </c>
      <c r="AA203" s="3">
        <v>1027</v>
      </c>
      <c r="AB203" s="3">
        <v>910</v>
      </c>
      <c r="AC203" s="3">
        <v>974</v>
      </c>
      <c r="AD203" s="3">
        <v>4</v>
      </c>
      <c r="AE203" s="3">
        <v>4</v>
      </c>
      <c r="AF203" s="3">
        <v>37</v>
      </c>
      <c r="AG203" s="3">
        <v>40</v>
      </c>
      <c r="AH203" s="3">
        <v>15</v>
      </c>
      <c r="AI203" s="3">
        <v>16</v>
      </c>
      <c r="AJ203" s="3">
        <v>7</v>
      </c>
      <c r="AK203" s="3">
        <v>7</v>
      </c>
      <c r="AL203" s="3">
        <v>14</v>
      </c>
      <c r="AM203" s="3">
        <v>15</v>
      </c>
      <c r="AN203" s="3">
        <v>3</v>
      </c>
      <c r="AO203" s="3">
        <v>3</v>
      </c>
      <c r="AP203" s="3">
        <v>6</v>
      </c>
      <c r="AQ203" s="3">
        <v>8</v>
      </c>
      <c r="AR203" s="2" t="s">
        <v>63</v>
      </c>
      <c r="AS203" s="2" t="s">
        <v>63</v>
      </c>
      <c r="AU203" s="5" t="str">
        <f>HYPERLINK("https://creighton-primo.hosted.exlibrisgroup.com/primo-explore/search?tab=default_tab&amp;search_scope=EVERYTHING&amp;vid=01CRU&amp;lang=en_US&amp;offset=0&amp;query=any,contains,991001312229702656","Catalog Record")</f>
        <v>Catalog Record</v>
      </c>
      <c r="AV203" s="5" t="str">
        <f>HYPERLINK("http://www.worldcat.org/oclc/18162483","WorldCat Record")</f>
        <v>WorldCat Record</v>
      </c>
      <c r="AW203" s="2" t="s">
        <v>2836</v>
      </c>
      <c r="AX203" s="2" t="s">
        <v>2837</v>
      </c>
      <c r="AY203" s="2" t="s">
        <v>2838</v>
      </c>
      <c r="AZ203" s="2" t="s">
        <v>2838</v>
      </c>
      <c r="BA203" s="2" t="s">
        <v>2839</v>
      </c>
      <c r="BB203" s="2" t="s">
        <v>79</v>
      </c>
      <c r="BD203" s="2" t="s">
        <v>2840</v>
      </c>
      <c r="BE203" s="2" t="s">
        <v>2841</v>
      </c>
      <c r="BF203" s="2" t="s">
        <v>2842</v>
      </c>
    </row>
    <row r="204" spans="1:58" ht="39.75" customHeight="1">
      <c r="A204" s="1"/>
      <c r="B204" s="1" t="s">
        <v>58</v>
      </c>
      <c r="C204" s="1" t="s">
        <v>59</v>
      </c>
      <c r="D204" s="1" t="s">
        <v>2843</v>
      </c>
      <c r="E204" s="1" t="s">
        <v>2844</v>
      </c>
      <c r="F204" s="1" t="s">
        <v>2845</v>
      </c>
      <c r="H204" s="2" t="s">
        <v>63</v>
      </c>
      <c r="I204" s="2" t="s">
        <v>64</v>
      </c>
      <c r="J204" s="2" t="s">
        <v>63</v>
      </c>
      <c r="K204" s="2" t="s">
        <v>63</v>
      </c>
      <c r="L204" s="2" t="s">
        <v>65</v>
      </c>
      <c r="N204" s="1" t="s">
        <v>2846</v>
      </c>
      <c r="O204" s="2" t="s">
        <v>798</v>
      </c>
      <c r="Q204" s="2" t="s">
        <v>68</v>
      </c>
      <c r="R204" s="2" t="s">
        <v>181</v>
      </c>
      <c r="T204" s="2" t="s">
        <v>71</v>
      </c>
      <c r="U204" s="3">
        <v>19</v>
      </c>
      <c r="V204" s="3">
        <v>19</v>
      </c>
      <c r="W204" s="4" t="s">
        <v>2847</v>
      </c>
      <c r="X204" s="4" t="s">
        <v>2847</v>
      </c>
      <c r="Y204" s="4" t="s">
        <v>2848</v>
      </c>
      <c r="Z204" s="4" t="s">
        <v>2848</v>
      </c>
      <c r="AA204" s="3">
        <v>9</v>
      </c>
      <c r="AB204" s="3">
        <v>9</v>
      </c>
      <c r="AC204" s="3">
        <v>9</v>
      </c>
      <c r="AD204" s="3">
        <v>1</v>
      </c>
      <c r="AE204" s="3">
        <v>1</v>
      </c>
      <c r="AF204" s="3">
        <v>0</v>
      </c>
      <c r="AG204" s="3">
        <v>0</v>
      </c>
      <c r="AH204" s="3">
        <v>0</v>
      </c>
      <c r="AI204" s="3">
        <v>0</v>
      </c>
      <c r="AJ204" s="3">
        <v>0</v>
      </c>
      <c r="AK204" s="3">
        <v>0</v>
      </c>
      <c r="AL204" s="3">
        <v>0</v>
      </c>
      <c r="AM204" s="3">
        <v>0</v>
      </c>
      <c r="AN204" s="3">
        <v>0</v>
      </c>
      <c r="AO204" s="3">
        <v>0</v>
      </c>
      <c r="AP204" s="3">
        <v>0</v>
      </c>
      <c r="AQ204" s="3">
        <v>0</v>
      </c>
      <c r="AR204" s="2" t="s">
        <v>63</v>
      </c>
      <c r="AS204" s="2" t="s">
        <v>63</v>
      </c>
      <c r="AU204" s="5" t="str">
        <f>HYPERLINK("https://creighton-primo.hosted.exlibrisgroup.com/primo-explore/search?tab=default_tab&amp;search_scope=EVERYTHING&amp;vid=01CRU&amp;lang=en_US&amp;offset=0&amp;query=any,contains,991002103109702656","Catalog Record")</f>
        <v>Catalog Record</v>
      </c>
      <c r="AV204" s="5" t="str">
        <f>HYPERLINK("http://www.worldcat.org/oclc/26985884","WorldCat Record")</f>
        <v>WorldCat Record</v>
      </c>
      <c r="AW204" s="2" t="s">
        <v>2849</v>
      </c>
      <c r="AX204" s="2" t="s">
        <v>2850</v>
      </c>
      <c r="AY204" s="2" t="s">
        <v>2851</v>
      </c>
      <c r="AZ204" s="2" t="s">
        <v>2851</v>
      </c>
      <c r="BA204" s="2" t="s">
        <v>2852</v>
      </c>
      <c r="BB204" s="2" t="s">
        <v>79</v>
      </c>
      <c r="BE204" s="2" t="s">
        <v>2853</v>
      </c>
      <c r="BF204" s="2" t="s">
        <v>2854</v>
      </c>
    </row>
    <row r="205" spans="1:58" ht="39.75" customHeight="1">
      <c r="A205" s="1"/>
      <c r="B205" s="1" t="s">
        <v>58</v>
      </c>
      <c r="C205" s="1" t="s">
        <v>59</v>
      </c>
      <c r="D205" s="1" t="s">
        <v>2855</v>
      </c>
      <c r="E205" s="1" t="s">
        <v>2856</v>
      </c>
      <c r="F205" s="1" t="s">
        <v>2857</v>
      </c>
      <c r="H205" s="2" t="s">
        <v>63</v>
      </c>
      <c r="I205" s="2" t="s">
        <v>64</v>
      </c>
      <c r="J205" s="2" t="s">
        <v>63</v>
      </c>
      <c r="K205" s="2" t="s">
        <v>63</v>
      </c>
      <c r="L205" s="2" t="s">
        <v>65</v>
      </c>
      <c r="M205" s="1" t="s">
        <v>2858</v>
      </c>
      <c r="N205" s="1" t="s">
        <v>2859</v>
      </c>
      <c r="O205" s="2" t="s">
        <v>598</v>
      </c>
      <c r="Q205" s="2" t="s">
        <v>68</v>
      </c>
      <c r="R205" s="2" t="s">
        <v>106</v>
      </c>
      <c r="T205" s="2" t="s">
        <v>71</v>
      </c>
      <c r="U205" s="3">
        <v>1</v>
      </c>
      <c r="V205" s="3">
        <v>1</v>
      </c>
      <c r="W205" s="4" t="s">
        <v>2860</v>
      </c>
      <c r="X205" s="4" t="s">
        <v>2860</v>
      </c>
      <c r="Y205" s="4" t="s">
        <v>2861</v>
      </c>
      <c r="Z205" s="4" t="s">
        <v>2861</v>
      </c>
      <c r="AA205" s="3">
        <v>287</v>
      </c>
      <c r="AB205" s="3">
        <v>255</v>
      </c>
      <c r="AC205" s="3">
        <v>299</v>
      </c>
      <c r="AD205" s="3">
        <v>4</v>
      </c>
      <c r="AE205" s="3">
        <v>4</v>
      </c>
      <c r="AF205" s="3">
        <v>4</v>
      </c>
      <c r="AG205" s="3">
        <v>7</v>
      </c>
      <c r="AH205" s="3">
        <v>0</v>
      </c>
      <c r="AI205" s="3">
        <v>0</v>
      </c>
      <c r="AJ205" s="3">
        <v>1</v>
      </c>
      <c r="AK205" s="3">
        <v>2</v>
      </c>
      <c r="AL205" s="3">
        <v>2</v>
      </c>
      <c r="AM205" s="3">
        <v>4</v>
      </c>
      <c r="AN205" s="3">
        <v>2</v>
      </c>
      <c r="AO205" s="3">
        <v>2</v>
      </c>
      <c r="AP205" s="3">
        <v>0</v>
      </c>
      <c r="AQ205" s="3">
        <v>0</v>
      </c>
      <c r="AR205" s="2" t="s">
        <v>63</v>
      </c>
      <c r="AS205" s="2" t="s">
        <v>74</v>
      </c>
      <c r="AT205" s="5" t="str">
        <f>HYPERLINK("http://catalog.hathitrust.org/Record/004551702","HathiTrust Record")</f>
        <v>HathiTrust Record</v>
      </c>
      <c r="AU205" s="5" t="str">
        <f>HYPERLINK("https://creighton-primo.hosted.exlibrisgroup.com/primo-explore/search?tab=default_tab&amp;search_scope=EVERYTHING&amp;vid=01CRU&amp;lang=en_US&amp;offset=0&amp;query=any,contains,991003607819702656","Catalog Record")</f>
        <v>Catalog Record</v>
      </c>
      <c r="AV205" s="5" t="str">
        <f>HYPERLINK("http://www.worldcat.org/oclc/30026952","WorldCat Record")</f>
        <v>WorldCat Record</v>
      </c>
      <c r="AW205" s="2" t="s">
        <v>2862</v>
      </c>
      <c r="AX205" s="2" t="s">
        <v>2863</v>
      </c>
      <c r="AY205" s="2" t="s">
        <v>2864</v>
      </c>
      <c r="AZ205" s="2" t="s">
        <v>2864</v>
      </c>
      <c r="BA205" s="2" t="s">
        <v>2865</v>
      </c>
      <c r="BB205" s="2" t="s">
        <v>79</v>
      </c>
      <c r="BD205" s="2" t="s">
        <v>2866</v>
      </c>
      <c r="BE205" s="2" t="s">
        <v>2867</v>
      </c>
      <c r="BF205" s="2" t="s">
        <v>2868</v>
      </c>
    </row>
    <row r="206" spans="1:58" ht="39.75" customHeight="1">
      <c r="A206" s="1"/>
      <c r="B206" s="1" t="s">
        <v>58</v>
      </c>
      <c r="C206" s="1" t="s">
        <v>59</v>
      </c>
      <c r="D206" s="1" t="s">
        <v>2869</v>
      </c>
      <c r="E206" s="1" t="s">
        <v>2870</v>
      </c>
      <c r="F206" s="1" t="s">
        <v>2871</v>
      </c>
      <c r="H206" s="2" t="s">
        <v>63</v>
      </c>
      <c r="I206" s="2" t="s">
        <v>64</v>
      </c>
      <c r="J206" s="2" t="s">
        <v>63</v>
      </c>
      <c r="K206" s="2" t="s">
        <v>63</v>
      </c>
      <c r="L206" s="2" t="s">
        <v>65</v>
      </c>
      <c r="M206" s="1" t="s">
        <v>2872</v>
      </c>
      <c r="N206" s="1" t="s">
        <v>2873</v>
      </c>
      <c r="O206" s="2" t="s">
        <v>441</v>
      </c>
      <c r="Q206" s="2" t="s">
        <v>68</v>
      </c>
      <c r="R206" s="2" t="s">
        <v>106</v>
      </c>
      <c r="T206" s="2" t="s">
        <v>71</v>
      </c>
      <c r="U206" s="3">
        <v>11</v>
      </c>
      <c r="V206" s="3">
        <v>11</v>
      </c>
      <c r="W206" s="4" t="s">
        <v>2874</v>
      </c>
      <c r="X206" s="4" t="s">
        <v>2874</v>
      </c>
      <c r="Y206" s="4" t="s">
        <v>2875</v>
      </c>
      <c r="Z206" s="4" t="s">
        <v>2875</v>
      </c>
      <c r="AA206" s="3">
        <v>659</v>
      </c>
      <c r="AB206" s="3">
        <v>608</v>
      </c>
      <c r="AC206" s="3">
        <v>759</v>
      </c>
      <c r="AD206" s="3">
        <v>5</v>
      </c>
      <c r="AE206" s="3">
        <v>6</v>
      </c>
      <c r="AF206" s="3">
        <v>18</v>
      </c>
      <c r="AG206" s="3">
        <v>25</v>
      </c>
      <c r="AH206" s="3">
        <v>5</v>
      </c>
      <c r="AI206" s="3">
        <v>8</v>
      </c>
      <c r="AJ206" s="3">
        <v>2</v>
      </c>
      <c r="AK206" s="3">
        <v>5</v>
      </c>
      <c r="AL206" s="3">
        <v>7</v>
      </c>
      <c r="AM206" s="3">
        <v>10</v>
      </c>
      <c r="AN206" s="3">
        <v>3</v>
      </c>
      <c r="AO206" s="3">
        <v>4</v>
      </c>
      <c r="AP206" s="3">
        <v>3</v>
      </c>
      <c r="AQ206" s="3">
        <v>3</v>
      </c>
      <c r="AR206" s="2" t="s">
        <v>63</v>
      </c>
      <c r="AS206" s="2" t="s">
        <v>63</v>
      </c>
      <c r="AU206" s="5" t="str">
        <f>HYPERLINK("https://creighton-primo.hosted.exlibrisgroup.com/primo-explore/search?tab=default_tab&amp;search_scope=EVERYTHING&amp;vid=01CRU&amp;lang=en_US&amp;offset=0&amp;query=any,contains,991001564879702656","Catalog Record")</f>
        <v>Catalog Record</v>
      </c>
      <c r="AV206" s="5" t="str">
        <f>HYPERLINK("http://www.worldcat.org/oclc/20320037","WorldCat Record")</f>
        <v>WorldCat Record</v>
      </c>
      <c r="AW206" s="2" t="s">
        <v>2876</v>
      </c>
      <c r="AX206" s="2" t="s">
        <v>2877</v>
      </c>
      <c r="AY206" s="2" t="s">
        <v>2878</v>
      </c>
      <c r="AZ206" s="2" t="s">
        <v>2878</v>
      </c>
      <c r="BA206" s="2" t="s">
        <v>2879</v>
      </c>
      <c r="BB206" s="2" t="s">
        <v>79</v>
      </c>
      <c r="BD206" s="2" t="s">
        <v>2880</v>
      </c>
      <c r="BE206" s="2" t="s">
        <v>2881</v>
      </c>
      <c r="BF206" s="2" t="s">
        <v>2882</v>
      </c>
    </row>
    <row r="207" spans="1:58" ht="39.75" customHeight="1">
      <c r="A207" s="1"/>
      <c r="B207" s="1" t="s">
        <v>58</v>
      </c>
      <c r="C207" s="1" t="s">
        <v>59</v>
      </c>
      <c r="D207" s="1" t="s">
        <v>2883</v>
      </c>
      <c r="E207" s="1" t="s">
        <v>2884</v>
      </c>
      <c r="F207" s="1" t="s">
        <v>2885</v>
      </c>
      <c r="H207" s="2" t="s">
        <v>63</v>
      </c>
      <c r="I207" s="2" t="s">
        <v>64</v>
      </c>
      <c r="J207" s="2" t="s">
        <v>63</v>
      </c>
      <c r="K207" s="2" t="s">
        <v>63</v>
      </c>
      <c r="L207" s="2" t="s">
        <v>65</v>
      </c>
      <c r="N207" s="1" t="s">
        <v>2886</v>
      </c>
      <c r="O207" s="2" t="s">
        <v>978</v>
      </c>
      <c r="Q207" s="2" t="s">
        <v>68</v>
      </c>
      <c r="R207" s="2" t="s">
        <v>195</v>
      </c>
      <c r="T207" s="2" t="s">
        <v>71</v>
      </c>
      <c r="U207" s="3">
        <v>4</v>
      </c>
      <c r="V207" s="3">
        <v>4</v>
      </c>
      <c r="W207" s="4" t="s">
        <v>2887</v>
      </c>
      <c r="X207" s="4" t="s">
        <v>2887</v>
      </c>
      <c r="Y207" s="4" t="s">
        <v>2318</v>
      </c>
      <c r="Z207" s="4" t="s">
        <v>2318</v>
      </c>
      <c r="AA207" s="3">
        <v>401</v>
      </c>
      <c r="AB207" s="3">
        <v>333</v>
      </c>
      <c r="AC207" s="3">
        <v>333</v>
      </c>
      <c r="AD207" s="3">
        <v>3</v>
      </c>
      <c r="AE207" s="3">
        <v>3</v>
      </c>
      <c r="AF207" s="3">
        <v>20</v>
      </c>
      <c r="AG207" s="3">
        <v>20</v>
      </c>
      <c r="AH207" s="3">
        <v>8</v>
      </c>
      <c r="AI207" s="3">
        <v>8</v>
      </c>
      <c r="AJ207" s="3">
        <v>4</v>
      </c>
      <c r="AK207" s="3">
        <v>4</v>
      </c>
      <c r="AL207" s="3">
        <v>12</v>
      </c>
      <c r="AM207" s="3">
        <v>12</v>
      </c>
      <c r="AN207" s="3">
        <v>2</v>
      </c>
      <c r="AO207" s="3">
        <v>2</v>
      </c>
      <c r="AP207" s="3">
        <v>0</v>
      </c>
      <c r="AQ207" s="3">
        <v>0</v>
      </c>
      <c r="AR207" s="2" t="s">
        <v>63</v>
      </c>
      <c r="AS207" s="2" t="s">
        <v>63</v>
      </c>
      <c r="AU207" s="5" t="str">
        <f>HYPERLINK("https://creighton-primo.hosted.exlibrisgroup.com/primo-explore/search?tab=default_tab&amp;search_scope=EVERYTHING&amp;vid=01CRU&amp;lang=en_US&amp;offset=0&amp;query=any,contains,991002760919702656","Catalog Record")</f>
        <v>Catalog Record</v>
      </c>
      <c r="AV207" s="5" t="str">
        <f>HYPERLINK("http://www.worldcat.org/oclc/36219375","WorldCat Record")</f>
        <v>WorldCat Record</v>
      </c>
      <c r="AW207" s="2" t="s">
        <v>2888</v>
      </c>
      <c r="AX207" s="2" t="s">
        <v>2889</v>
      </c>
      <c r="AY207" s="2" t="s">
        <v>2890</v>
      </c>
      <c r="AZ207" s="2" t="s">
        <v>2890</v>
      </c>
      <c r="BA207" s="2" t="s">
        <v>2891</v>
      </c>
      <c r="BB207" s="2" t="s">
        <v>79</v>
      </c>
      <c r="BD207" s="2" t="s">
        <v>2892</v>
      </c>
      <c r="BE207" s="2" t="s">
        <v>2893</v>
      </c>
      <c r="BF207" s="2" t="s">
        <v>2894</v>
      </c>
    </row>
    <row r="208" spans="1:58" ht="39.75" customHeight="1">
      <c r="A208" s="1"/>
      <c r="B208" s="1" t="s">
        <v>58</v>
      </c>
      <c r="C208" s="1" t="s">
        <v>59</v>
      </c>
      <c r="D208" s="1" t="s">
        <v>2895</v>
      </c>
      <c r="E208" s="1" t="s">
        <v>2896</v>
      </c>
      <c r="F208" s="1" t="s">
        <v>2897</v>
      </c>
      <c r="H208" s="2" t="s">
        <v>63</v>
      </c>
      <c r="I208" s="2" t="s">
        <v>64</v>
      </c>
      <c r="J208" s="2" t="s">
        <v>63</v>
      </c>
      <c r="K208" s="2" t="s">
        <v>63</v>
      </c>
      <c r="L208" s="2" t="s">
        <v>65</v>
      </c>
      <c r="M208" s="1" t="s">
        <v>2898</v>
      </c>
      <c r="N208" s="1" t="s">
        <v>2899</v>
      </c>
      <c r="O208" s="2" t="s">
        <v>655</v>
      </c>
      <c r="Q208" s="2" t="s">
        <v>68</v>
      </c>
      <c r="R208" s="2" t="s">
        <v>500</v>
      </c>
      <c r="T208" s="2" t="s">
        <v>71</v>
      </c>
      <c r="U208" s="3">
        <v>2</v>
      </c>
      <c r="V208" s="3">
        <v>2</v>
      </c>
      <c r="W208" s="4" t="s">
        <v>2900</v>
      </c>
      <c r="X208" s="4" t="s">
        <v>2900</v>
      </c>
      <c r="Y208" s="4" t="s">
        <v>2901</v>
      </c>
      <c r="Z208" s="4" t="s">
        <v>2901</v>
      </c>
      <c r="AA208" s="3">
        <v>584</v>
      </c>
      <c r="AB208" s="3">
        <v>514</v>
      </c>
      <c r="AC208" s="3">
        <v>565</v>
      </c>
      <c r="AD208" s="3">
        <v>2</v>
      </c>
      <c r="AE208" s="3">
        <v>2</v>
      </c>
      <c r="AF208" s="3">
        <v>14</v>
      </c>
      <c r="AG208" s="3">
        <v>16</v>
      </c>
      <c r="AH208" s="3">
        <v>5</v>
      </c>
      <c r="AI208" s="3">
        <v>6</v>
      </c>
      <c r="AJ208" s="3">
        <v>5</v>
      </c>
      <c r="AK208" s="3">
        <v>6</v>
      </c>
      <c r="AL208" s="3">
        <v>9</v>
      </c>
      <c r="AM208" s="3">
        <v>9</v>
      </c>
      <c r="AN208" s="3">
        <v>1</v>
      </c>
      <c r="AO208" s="3">
        <v>1</v>
      </c>
      <c r="AP208" s="3">
        <v>0</v>
      </c>
      <c r="AQ208" s="3">
        <v>0</v>
      </c>
      <c r="AR208" s="2" t="s">
        <v>63</v>
      </c>
      <c r="AS208" s="2" t="s">
        <v>63</v>
      </c>
      <c r="AU208" s="5" t="str">
        <f>HYPERLINK("https://creighton-primo.hosted.exlibrisgroup.com/primo-explore/search?tab=default_tab&amp;search_scope=EVERYTHING&amp;vid=01CRU&amp;lang=en_US&amp;offset=0&amp;query=any,contains,991003038519702656","Catalog Record")</f>
        <v>Catalog Record</v>
      </c>
      <c r="AV208" s="5" t="str">
        <f>HYPERLINK("http://www.worldcat.org/oclc/41960103","WorldCat Record")</f>
        <v>WorldCat Record</v>
      </c>
      <c r="AW208" s="2" t="s">
        <v>2902</v>
      </c>
      <c r="AX208" s="2" t="s">
        <v>2903</v>
      </c>
      <c r="AY208" s="2" t="s">
        <v>2904</v>
      </c>
      <c r="AZ208" s="2" t="s">
        <v>2904</v>
      </c>
      <c r="BA208" s="2" t="s">
        <v>2905</v>
      </c>
      <c r="BB208" s="2" t="s">
        <v>79</v>
      </c>
      <c r="BD208" s="2" t="s">
        <v>2906</v>
      </c>
      <c r="BE208" s="2" t="s">
        <v>2907</v>
      </c>
      <c r="BF208" s="2" t="s">
        <v>2908</v>
      </c>
    </row>
    <row r="209" spans="1:58" ht="39.75" customHeight="1">
      <c r="A209" s="1"/>
      <c r="B209" s="1" t="s">
        <v>58</v>
      </c>
      <c r="C209" s="1" t="s">
        <v>59</v>
      </c>
      <c r="D209" s="1" t="s">
        <v>2909</v>
      </c>
      <c r="E209" s="1" t="s">
        <v>2910</v>
      </c>
      <c r="F209" s="1" t="s">
        <v>2911</v>
      </c>
      <c r="H209" s="2" t="s">
        <v>63</v>
      </c>
      <c r="I209" s="2" t="s">
        <v>64</v>
      </c>
      <c r="J209" s="2" t="s">
        <v>63</v>
      </c>
      <c r="K209" s="2" t="s">
        <v>63</v>
      </c>
      <c r="L209" s="2" t="s">
        <v>65</v>
      </c>
      <c r="M209" s="1" t="s">
        <v>2912</v>
      </c>
      <c r="N209" s="1" t="s">
        <v>2913</v>
      </c>
      <c r="O209" s="2" t="s">
        <v>767</v>
      </c>
      <c r="P209" s="1" t="s">
        <v>484</v>
      </c>
      <c r="Q209" s="2" t="s">
        <v>68</v>
      </c>
      <c r="R209" s="2" t="s">
        <v>106</v>
      </c>
      <c r="T209" s="2" t="s">
        <v>71</v>
      </c>
      <c r="U209" s="3">
        <v>5</v>
      </c>
      <c r="V209" s="3">
        <v>5</v>
      </c>
      <c r="W209" s="4" t="s">
        <v>2914</v>
      </c>
      <c r="X209" s="4" t="s">
        <v>2914</v>
      </c>
      <c r="Y209" s="4" t="s">
        <v>2915</v>
      </c>
      <c r="Z209" s="4" t="s">
        <v>2915</v>
      </c>
      <c r="AA209" s="3">
        <v>295</v>
      </c>
      <c r="AB209" s="3">
        <v>281</v>
      </c>
      <c r="AC209" s="3">
        <v>284</v>
      </c>
      <c r="AD209" s="3">
        <v>2</v>
      </c>
      <c r="AE209" s="3">
        <v>2</v>
      </c>
      <c r="AF209" s="3">
        <v>10</v>
      </c>
      <c r="AG209" s="3">
        <v>10</v>
      </c>
      <c r="AH209" s="3">
        <v>2</v>
      </c>
      <c r="AI209" s="3">
        <v>2</v>
      </c>
      <c r="AJ209" s="3">
        <v>3</v>
      </c>
      <c r="AK209" s="3">
        <v>3</v>
      </c>
      <c r="AL209" s="3">
        <v>6</v>
      </c>
      <c r="AM209" s="3">
        <v>6</v>
      </c>
      <c r="AN209" s="3">
        <v>1</v>
      </c>
      <c r="AO209" s="3">
        <v>1</v>
      </c>
      <c r="AP209" s="3">
        <v>0</v>
      </c>
      <c r="AQ209" s="3">
        <v>0</v>
      </c>
      <c r="AR209" s="2" t="s">
        <v>63</v>
      </c>
      <c r="AS209" s="2" t="s">
        <v>74</v>
      </c>
      <c r="AT209" s="5" t="str">
        <f>HYPERLINK("http://catalog.hathitrust.org/Record/000777665","HathiTrust Record")</f>
        <v>HathiTrust Record</v>
      </c>
      <c r="AU209" s="5" t="str">
        <f>HYPERLINK("https://creighton-primo.hosted.exlibrisgroup.com/primo-explore/search?tab=default_tab&amp;search_scope=EVERYTHING&amp;vid=01CRU&amp;lang=en_US&amp;offset=0&amp;query=any,contains,991005250819702656","Catalog Record")</f>
        <v>Catalog Record</v>
      </c>
      <c r="AV209" s="5" t="str">
        <f>HYPERLINK("http://www.worldcat.org/oclc/8493118","WorldCat Record")</f>
        <v>WorldCat Record</v>
      </c>
      <c r="AW209" s="2" t="s">
        <v>2916</v>
      </c>
      <c r="AX209" s="2" t="s">
        <v>2917</v>
      </c>
      <c r="AY209" s="2" t="s">
        <v>2918</v>
      </c>
      <c r="AZ209" s="2" t="s">
        <v>2918</v>
      </c>
      <c r="BA209" s="2" t="s">
        <v>2919</v>
      </c>
      <c r="BB209" s="2" t="s">
        <v>79</v>
      </c>
      <c r="BD209" s="2" t="s">
        <v>2920</v>
      </c>
      <c r="BE209" s="2" t="s">
        <v>2921</v>
      </c>
      <c r="BF209" s="2" t="s">
        <v>2922</v>
      </c>
    </row>
    <row r="210" spans="1:58" ht="39.75" customHeight="1">
      <c r="A210" s="1"/>
      <c r="B210" s="1" t="s">
        <v>58</v>
      </c>
      <c r="C210" s="1" t="s">
        <v>59</v>
      </c>
      <c r="D210" s="1" t="s">
        <v>2923</v>
      </c>
      <c r="E210" s="1" t="s">
        <v>2924</v>
      </c>
      <c r="F210" s="1" t="s">
        <v>2925</v>
      </c>
      <c r="H210" s="2" t="s">
        <v>63</v>
      </c>
      <c r="I210" s="2" t="s">
        <v>64</v>
      </c>
      <c r="J210" s="2" t="s">
        <v>63</v>
      </c>
      <c r="K210" s="2" t="s">
        <v>63</v>
      </c>
      <c r="L210" s="2" t="s">
        <v>65</v>
      </c>
      <c r="M210" s="1" t="s">
        <v>2926</v>
      </c>
      <c r="N210" s="1" t="s">
        <v>2927</v>
      </c>
      <c r="O210" s="2" t="s">
        <v>798</v>
      </c>
      <c r="Q210" s="2" t="s">
        <v>68</v>
      </c>
      <c r="R210" s="2" t="s">
        <v>979</v>
      </c>
      <c r="S210" s="1" t="s">
        <v>2928</v>
      </c>
      <c r="T210" s="2" t="s">
        <v>71</v>
      </c>
      <c r="U210" s="3">
        <v>9</v>
      </c>
      <c r="V210" s="3">
        <v>9</v>
      </c>
      <c r="W210" s="4" t="s">
        <v>2929</v>
      </c>
      <c r="X210" s="4" t="s">
        <v>2929</v>
      </c>
      <c r="Y210" s="4" t="s">
        <v>2930</v>
      </c>
      <c r="Z210" s="4" t="s">
        <v>2930</v>
      </c>
      <c r="AA210" s="3">
        <v>253</v>
      </c>
      <c r="AB210" s="3">
        <v>180</v>
      </c>
      <c r="AC210" s="3">
        <v>395</v>
      </c>
      <c r="AD210" s="3">
        <v>1</v>
      </c>
      <c r="AE210" s="3">
        <v>4</v>
      </c>
      <c r="AF210" s="3">
        <v>6</v>
      </c>
      <c r="AG210" s="3">
        <v>24</v>
      </c>
      <c r="AH210" s="3">
        <v>1</v>
      </c>
      <c r="AI210" s="3">
        <v>8</v>
      </c>
      <c r="AJ210" s="3">
        <v>3</v>
      </c>
      <c r="AK210" s="3">
        <v>8</v>
      </c>
      <c r="AL210" s="3">
        <v>3</v>
      </c>
      <c r="AM210" s="3">
        <v>10</v>
      </c>
      <c r="AN210" s="3">
        <v>0</v>
      </c>
      <c r="AO210" s="3">
        <v>3</v>
      </c>
      <c r="AP210" s="3">
        <v>0</v>
      </c>
      <c r="AQ210" s="3">
        <v>0</v>
      </c>
      <c r="AR210" s="2" t="s">
        <v>63</v>
      </c>
      <c r="AS210" s="2" t="s">
        <v>63</v>
      </c>
      <c r="AU210" s="5" t="str">
        <f>HYPERLINK("https://creighton-primo.hosted.exlibrisgroup.com/primo-explore/search?tab=default_tab&amp;search_scope=EVERYTHING&amp;vid=01CRU&amp;lang=en_US&amp;offset=0&amp;query=any,contains,991001831429702656","Catalog Record")</f>
        <v>Catalog Record</v>
      </c>
      <c r="AV210" s="5" t="str">
        <f>HYPERLINK("http://www.worldcat.org/oclc/23015040","WorldCat Record")</f>
        <v>WorldCat Record</v>
      </c>
      <c r="AW210" s="2" t="s">
        <v>2931</v>
      </c>
      <c r="AX210" s="2" t="s">
        <v>2932</v>
      </c>
      <c r="AY210" s="2" t="s">
        <v>2933</v>
      </c>
      <c r="AZ210" s="2" t="s">
        <v>2933</v>
      </c>
      <c r="BA210" s="2" t="s">
        <v>2934</v>
      </c>
      <c r="BB210" s="2" t="s">
        <v>79</v>
      </c>
      <c r="BD210" s="2" t="s">
        <v>2935</v>
      </c>
      <c r="BE210" s="2" t="s">
        <v>2936</v>
      </c>
      <c r="BF210" s="2" t="s">
        <v>2937</v>
      </c>
    </row>
    <row r="211" spans="1:58" ht="39.75" customHeight="1">
      <c r="A211" s="1"/>
      <c r="B211" s="1" t="s">
        <v>58</v>
      </c>
      <c r="C211" s="1" t="s">
        <v>59</v>
      </c>
      <c r="D211" s="1" t="s">
        <v>2938</v>
      </c>
      <c r="E211" s="1" t="s">
        <v>2939</v>
      </c>
      <c r="F211" s="1" t="s">
        <v>2940</v>
      </c>
      <c r="H211" s="2" t="s">
        <v>63</v>
      </c>
      <c r="I211" s="2" t="s">
        <v>64</v>
      </c>
      <c r="J211" s="2" t="s">
        <v>63</v>
      </c>
      <c r="K211" s="2" t="s">
        <v>63</v>
      </c>
      <c r="L211" s="2" t="s">
        <v>65</v>
      </c>
      <c r="M211" s="1" t="s">
        <v>2941</v>
      </c>
      <c r="N211" s="1" t="s">
        <v>2942</v>
      </c>
      <c r="O211" s="2" t="s">
        <v>2943</v>
      </c>
      <c r="Q211" s="2" t="s">
        <v>68</v>
      </c>
      <c r="R211" s="2" t="s">
        <v>385</v>
      </c>
      <c r="T211" s="2" t="s">
        <v>71</v>
      </c>
      <c r="U211" s="3">
        <v>1</v>
      </c>
      <c r="V211" s="3">
        <v>1</v>
      </c>
      <c r="W211" s="4" t="s">
        <v>2944</v>
      </c>
      <c r="X211" s="4" t="s">
        <v>2944</v>
      </c>
      <c r="Y211" s="4" t="s">
        <v>2945</v>
      </c>
      <c r="Z211" s="4" t="s">
        <v>2945</v>
      </c>
      <c r="AA211" s="3">
        <v>773</v>
      </c>
      <c r="AB211" s="3">
        <v>712</v>
      </c>
      <c r="AC211" s="3">
        <v>770</v>
      </c>
      <c r="AD211" s="3">
        <v>5</v>
      </c>
      <c r="AE211" s="3">
        <v>5</v>
      </c>
      <c r="AF211" s="3">
        <v>22</v>
      </c>
      <c r="AG211" s="3">
        <v>23</v>
      </c>
      <c r="AH211" s="3">
        <v>9</v>
      </c>
      <c r="AI211" s="3">
        <v>10</v>
      </c>
      <c r="AJ211" s="3">
        <v>6</v>
      </c>
      <c r="AK211" s="3">
        <v>6</v>
      </c>
      <c r="AL211" s="3">
        <v>9</v>
      </c>
      <c r="AM211" s="3">
        <v>9</v>
      </c>
      <c r="AN211" s="3">
        <v>3</v>
      </c>
      <c r="AO211" s="3">
        <v>3</v>
      </c>
      <c r="AP211" s="3">
        <v>1</v>
      </c>
      <c r="AQ211" s="3">
        <v>1</v>
      </c>
      <c r="AR211" s="2" t="s">
        <v>63</v>
      </c>
      <c r="AS211" s="2" t="s">
        <v>63</v>
      </c>
      <c r="AU211" s="5" t="str">
        <f>HYPERLINK("https://creighton-primo.hosted.exlibrisgroup.com/primo-explore/search?tab=default_tab&amp;search_scope=EVERYTHING&amp;vid=01CRU&amp;lang=en_US&amp;offset=0&amp;query=any,contains,991004614699702656","Catalog Record")</f>
        <v>Catalog Record</v>
      </c>
      <c r="AV211" s="5" t="str">
        <f>HYPERLINK("http://www.worldcat.org/oclc/57123765","WorldCat Record")</f>
        <v>WorldCat Record</v>
      </c>
      <c r="AW211" s="2" t="s">
        <v>2946</v>
      </c>
      <c r="AX211" s="2" t="s">
        <v>2947</v>
      </c>
      <c r="AY211" s="2" t="s">
        <v>2948</v>
      </c>
      <c r="AZ211" s="2" t="s">
        <v>2948</v>
      </c>
      <c r="BA211" s="2" t="s">
        <v>2949</v>
      </c>
      <c r="BB211" s="2" t="s">
        <v>79</v>
      </c>
      <c r="BD211" s="2" t="s">
        <v>2950</v>
      </c>
      <c r="BE211" s="2" t="s">
        <v>2951</v>
      </c>
      <c r="BF211" s="2" t="s">
        <v>2952</v>
      </c>
    </row>
    <row r="212" spans="1:58" ht="39.75" customHeight="1">
      <c r="A212" s="1"/>
      <c r="B212" s="1" t="s">
        <v>58</v>
      </c>
      <c r="C212" s="1" t="s">
        <v>59</v>
      </c>
      <c r="D212" s="1" t="s">
        <v>2953</v>
      </c>
      <c r="E212" s="1" t="s">
        <v>2954</v>
      </c>
      <c r="F212" s="1" t="s">
        <v>2955</v>
      </c>
      <c r="H212" s="2" t="s">
        <v>63</v>
      </c>
      <c r="I212" s="2" t="s">
        <v>64</v>
      </c>
      <c r="J212" s="2" t="s">
        <v>74</v>
      </c>
      <c r="K212" s="2" t="s">
        <v>63</v>
      </c>
      <c r="L212" s="2" t="s">
        <v>65</v>
      </c>
      <c r="M212" s="1" t="s">
        <v>2956</v>
      </c>
      <c r="N212" s="1" t="s">
        <v>2957</v>
      </c>
      <c r="O212" s="2" t="s">
        <v>1090</v>
      </c>
      <c r="Q212" s="2" t="s">
        <v>68</v>
      </c>
      <c r="R212" s="2" t="s">
        <v>2958</v>
      </c>
      <c r="T212" s="2" t="s">
        <v>71</v>
      </c>
      <c r="U212" s="3">
        <v>3</v>
      </c>
      <c r="V212" s="3">
        <v>3</v>
      </c>
      <c r="W212" s="4" t="s">
        <v>2959</v>
      </c>
      <c r="X212" s="4" t="s">
        <v>2959</v>
      </c>
      <c r="Y212" s="4" t="s">
        <v>2061</v>
      </c>
      <c r="Z212" s="4" t="s">
        <v>2061</v>
      </c>
      <c r="AA212" s="3">
        <v>345</v>
      </c>
      <c r="AB212" s="3">
        <v>322</v>
      </c>
      <c r="AC212" s="3">
        <v>332</v>
      </c>
      <c r="AD212" s="3">
        <v>4</v>
      </c>
      <c r="AE212" s="3">
        <v>4</v>
      </c>
      <c r="AF212" s="3">
        <v>13</v>
      </c>
      <c r="AG212" s="3">
        <v>14</v>
      </c>
      <c r="AH212" s="3">
        <v>4</v>
      </c>
      <c r="AI212" s="3">
        <v>5</v>
      </c>
      <c r="AJ212" s="3">
        <v>4</v>
      </c>
      <c r="AK212" s="3">
        <v>5</v>
      </c>
      <c r="AL212" s="3">
        <v>6</v>
      </c>
      <c r="AM212" s="3">
        <v>6</v>
      </c>
      <c r="AN212" s="3">
        <v>1</v>
      </c>
      <c r="AO212" s="3">
        <v>1</v>
      </c>
      <c r="AP212" s="3">
        <v>0</v>
      </c>
      <c r="AQ212" s="3">
        <v>0</v>
      </c>
      <c r="AR212" s="2" t="s">
        <v>63</v>
      </c>
      <c r="AS212" s="2" t="s">
        <v>63</v>
      </c>
      <c r="AU212" s="5" t="str">
        <f>HYPERLINK("https://creighton-primo.hosted.exlibrisgroup.com/primo-explore/search?tab=default_tab&amp;search_scope=EVERYTHING&amp;vid=01CRU&amp;lang=en_US&amp;offset=0&amp;query=any,contains,991001790789702656","Catalog Record")</f>
        <v>Catalog Record</v>
      </c>
      <c r="AV212" s="5" t="str">
        <f>HYPERLINK("http://www.worldcat.org/oclc/4835344","WorldCat Record")</f>
        <v>WorldCat Record</v>
      </c>
      <c r="AW212" s="2" t="s">
        <v>2960</v>
      </c>
      <c r="AX212" s="2" t="s">
        <v>2961</v>
      </c>
      <c r="AY212" s="2" t="s">
        <v>2962</v>
      </c>
      <c r="AZ212" s="2" t="s">
        <v>2962</v>
      </c>
      <c r="BA212" s="2" t="s">
        <v>2963</v>
      </c>
      <c r="BB212" s="2" t="s">
        <v>79</v>
      </c>
      <c r="BD212" s="2" t="s">
        <v>2964</v>
      </c>
      <c r="BE212" s="2" t="s">
        <v>2965</v>
      </c>
      <c r="BF212" s="2" t="s">
        <v>2966</v>
      </c>
    </row>
    <row r="213" spans="1:58" ht="39.75" customHeight="1">
      <c r="A213" s="1"/>
      <c r="B213" s="1" t="s">
        <v>58</v>
      </c>
      <c r="C213" s="1" t="s">
        <v>59</v>
      </c>
      <c r="D213" s="1" t="s">
        <v>2967</v>
      </c>
      <c r="E213" s="1" t="s">
        <v>2968</v>
      </c>
      <c r="F213" s="1" t="s">
        <v>2969</v>
      </c>
      <c r="H213" s="2" t="s">
        <v>63</v>
      </c>
      <c r="I213" s="2" t="s">
        <v>64</v>
      </c>
      <c r="J213" s="2" t="s">
        <v>63</v>
      </c>
      <c r="K213" s="2" t="s">
        <v>63</v>
      </c>
      <c r="L213" s="2" t="s">
        <v>65</v>
      </c>
      <c r="M213" s="1" t="s">
        <v>2970</v>
      </c>
      <c r="N213" s="1" t="s">
        <v>2971</v>
      </c>
      <c r="O213" s="2" t="s">
        <v>67</v>
      </c>
      <c r="Q213" s="2" t="s">
        <v>68</v>
      </c>
      <c r="R213" s="2" t="s">
        <v>1190</v>
      </c>
      <c r="T213" s="2" t="s">
        <v>71</v>
      </c>
      <c r="U213" s="3">
        <v>15</v>
      </c>
      <c r="V213" s="3">
        <v>15</v>
      </c>
      <c r="W213" s="4" t="s">
        <v>2972</v>
      </c>
      <c r="X213" s="4" t="s">
        <v>2972</v>
      </c>
      <c r="Y213" s="4" t="s">
        <v>2973</v>
      </c>
      <c r="Z213" s="4" t="s">
        <v>2973</v>
      </c>
      <c r="AA213" s="3">
        <v>240</v>
      </c>
      <c r="AB213" s="3">
        <v>208</v>
      </c>
      <c r="AC213" s="3">
        <v>228</v>
      </c>
      <c r="AD213" s="3">
        <v>1</v>
      </c>
      <c r="AE213" s="3">
        <v>1</v>
      </c>
      <c r="AF213" s="3">
        <v>9</v>
      </c>
      <c r="AG213" s="3">
        <v>9</v>
      </c>
      <c r="AH213" s="3">
        <v>4</v>
      </c>
      <c r="AI213" s="3">
        <v>4</v>
      </c>
      <c r="AJ213" s="3">
        <v>2</v>
      </c>
      <c r="AK213" s="3">
        <v>2</v>
      </c>
      <c r="AL213" s="3">
        <v>7</v>
      </c>
      <c r="AM213" s="3">
        <v>7</v>
      </c>
      <c r="AN213" s="3">
        <v>0</v>
      </c>
      <c r="AO213" s="3">
        <v>0</v>
      </c>
      <c r="AP213" s="3">
        <v>0</v>
      </c>
      <c r="AQ213" s="3">
        <v>0</v>
      </c>
      <c r="AR213" s="2" t="s">
        <v>63</v>
      </c>
      <c r="AS213" s="2" t="s">
        <v>63</v>
      </c>
      <c r="AU213" s="5" t="str">
        <f>HYPERLINK("https://creighton-primo.hosted.exlibrisgroup.com/primo-explore/search?tab=default_tab&amp;search_scope=EVERYTHING&amp;vid=01CRU&amp;lang=en_US&amp;offset=0&amp;query=any,contains,991001963139702656","Catalog Record")</f>
        <v>Catalog Record</v>
      </c>
      <c r="AV213" s="5" t="str">
        <f>HYPERLINK("http://www.worldcat.org/oclc/24871600","WorldCat Record")</f>
        <v>WorldCat Record</v>
      </c>
      <c r="AW213" s="2" t="s">
        <v>2974</v>
      </c>
      <c r="AX213" s="2" t="s">
        <v>2975</v>
      </c>
      <c r="AY213" s="2" t="s">
        <v>2976</v>
      </c>
      <c r="AZ213" s="2" t="s">
        <v>2976</v>
      </c>
      <c r="BA213" s="2" t="s">
        <v>2977</v>
      </c>
      <c r="BB213" s="2" t="s">
        <v>79</v>
      </c>
      <c r="BD213" s="2" t="s">
        <v>2978</v>
      </c>
      <c r="BE213" s="2" t="s">
        <v>2979</v>
      </c>
      <c r="BF213" s="2" t="s">
        <v>2980</v>
      </c>
    </row>
    <row r="214" spans="1:58" ht="39.75" customHeight="1">
      <c r="A214" s="1"/>
      <c r="B214" s="1" t="s">
        <v>58</v>
      </c>
      <c r="C214" s="1" t="s">
        <v>59</v>
      </c>
      <c r="D214" s="1" t="s">
        <v>2981</v>
      </c>
      <c r="E214" s="1" t="s">
        <v>2982</v>
      </c>
      <c r="F214" s="1" t="s">
        <v>2983</v>
      </c>
      <c r="H214" s="2" t="s">
        <v>63</v>
      </c>
      <c r="I214" s="2" t="s">
        <v>64</v>
      </c>
      <c r="J214" s="2" t="s">
        <v>63</v>
      </c>
      <c r="K214" s="2" t="s">
        <v>63</v>
      </c>
      <c r="L214" s="2" t="s">
        <v>65</v>
      </c>
      <c r="N214" s="1" t="s">
        <v>2540</v>
      </c>
      <c r="O214" s="2" t="s">
        <v>314</v>
      </c>
      <c r="Q214" s="2" t="s">
        <v>68</v>
      </c>
      <c r="R214" s="2" t="s">
        <v>106</v>
      </c>
      <c r="T214" s="2" t="s">
        <v>71</v>
      </c>
      <c r="U214" s="3">
        <v>4</v>
      </c>
      <c r="V214" s="3">
        <v>4</v>
      </c>
      <c r="W214" s="4" t="s">
        <v>899</v>
      </c>
      <c r="X214" s="4" t="s">
        <v>899</v>
      </c>
      <c r="Y214" s="4" t="s">
        <v>333</v>
      </c>
      <c r="Z214" s="4" t="s">
        <v>333</v>
      </c>
      <c r="AA214" s="3">
        <v>563</v>
      </c>
      <c r="AB214" s="3">
        <v>430</v>
      </c>
      <c r="AC214" s="3">
        <v>436</v>
      </c>
      <c r="AD214" s="3">
        <v>3</v>
      </c>
      <c r="AE214" s="3">
        <v>3</v>
      </c>
      <c r="AF214" s="3">
        <v>19</v>
      </c>
      <c r="AG214" s="3">
        <v>19</v>
      </c>
      <c r="AH214" s="3">
        <v>8</v>
      </c>
      <c r="AI214" s="3">
        <v>8</v>
      </c>
      <c r="AJ214" s="3">
        <v>4</v>
      </c>
      <c r="AK214" s="3">
        <v>4</v>
      </c>
      <c r="AL214" s="3">
        <v>10</v>
      </c>
      <c r="AM214" s="3">
        <v>10</v>
      </c>
      <c r="AN214" s="3">
        <v>2</v>
      </c>
      <c r="AO214" s="3">
        <v>2</v>
      </c>
      <c r="AP214" s="3">
        <v>0</v>
      </c>
      <c r="AQ214" s="3">
        <v>0</v>
      </c>
      <c r="AR214" s="2" t="s">
        <v>63</v>
      </c>
      <c r="AS214" s="2" t="s">
        <v>74</v>
      </c>
      <c r="AT214" s="5" t="str">
        <f>HYPERLINK("http://catalog.hathitrust.org/Record/000292460","HathiTrust Record")</f>
        <v>HathiTrust Record</v>
      </c>
      <c r="AU214" s="5" t="str">
        <f>HYPERLINK("https://creighton-primo.hosted.exlibrisgroup.com/primo-explore/search?tab=default_tab&amp;search_scope=EVERYTHING&amp;vid=01CRU&amp;lang=en_US&amp;offset=0&amp;query=any,contains,991004351569702656","Catalog Record")</f>
        <v>Catalog Record</v>
      </c>
      <c r="AV214" s="5" t="str">
        <f>HYPERLINK("http://www.worldcat.org/oclc/3120837","WorldCat Record")</f>
        <v>WorldCat Record</v>
      </c>
      <c r="AW214" s="2" t="s">
        <v>2984</v>
      </c>
      <c r="AX214" s="2" t="s">
        <v>2985</v>
      </c>
      <c r="AY214" s="2" t="s">
        <v>2986</v>
      </c>
      <c r="AZ214" s="2" t="s">
        <v>2986</v>
      </c>
      <c r="BA214" s="2" t="s">
        <v>2987</v>
      </c>
      <c r="BB214" s="2" t="s">
        <v>79</v>
      </c>
      <c r="BD214" s="2" t="s">
        <v>2988</v>
      </c>
      <c r="BE214" s="2" t="s">
        <v>2989</v>
      </c>
      <c r="BF214" s="2" t="s">
        <v>2990</v>
      </c>
    </row>
    <row r="215" spans="1:58" ht="39.75" customHeight="1">
      <c r="A215" s="1"/>
      <c r="B215" s="1" t="s">
        <v>58</v>
      </c>
      <c r="C215" s="1" t="s">
        <v>59</v>
      </c>
      <c r="D215" s="1" t="s">
        <v>2991</v>
      </c>
      <c r="E215" s="1" t="s">
        <v>2992</v>
      </c>
      <c r="F215" s="1" t="s">
        <v>2993</v>
      </c>
      <c r="H215" s="2" t="s">
        <v>63</v>
      </c>
      <c r="I215" s="2" t="s">
        <v>64</v>
      </c>
      <c r="J215" s="2" t="s">
        <v>63</v>
      </c>
      <c r="K215" s="2" t="s">
        <v>63</v>
      </c>
      <c r="L215" s="2" t="s">
        <v>65</v>
      </c>
      <c r="M215" s="1" t="s">
        <v>2994</v>
      </c>
      <c r="N215" s="1" t="s">
        <v>2995</v>
      </c>
      <c r="O215" s="2" t="s">
        <v>627</v>
      </c>
      <c r="Q215" s="2" t="s">
        <v>68</v>
      </c>
      <c r="R215" s="2" t="s">
        <v>106</v>
      </c>
      <c r="T215" s="2" t="s">
        <v>71</v>
      </c>
      <c r="U215" s="3">
        <v>7</v>
      </c>
      <c r="V215" s="3">
        <v>7</v>
      </c>
      <c r="W215" s="4" t="s">
        <v>2996</v>
      </c>
      <c r="X215" s="4" t="s">
        <v>2996</v>
      </c>
      <c r="Y215" s="4" t="s">
        <v>2997</v>
      </c>
      <c r="Z215" s="4" t="s">
        <v>2997</v>
      </c>
      <c r="AA215" s="3">
        <v>469</v>
      </c>
      <c r="AB215" s="3">
        <v>376</v>
      </c>
      <c r="AC215" s="3">
        <v>381</v>
      </c>
      <c r="AD215" s="3">
        <v>3</v>
      </c>
      <c r="AE215" s="3">
        <v>3</v>
      </c>
      <c r="AF215" s="3">
        <v>12</v>
      </c>
      <c r="AG215" s="3">
        <v>12</v>
      </c>
      <c r="AH215" s="3">
        <v>4</v>
      </c>
      <c r="AI215" s="3">
        <v>4</v>
      </c>
      <c r="AJ215" s="3">
        <v>2</v>
      </c>
      <c r="AK215" s="3">
        <v>2</v>
      </c>
      <c r="AL215" s="3">
        <v>7</v>
      </c>
      <c r="AM215" s="3">
        <v>7</v>
      </c>
      <c r="AN215" s="3">
        <v>2</v>
      </c>
      <c r="AO215" s="3">
        <v>2</v>
      </c>
      <c r="AP215" s="3">
        <v>0</v>
      </c>
      <c r="AQ215" s="3">
        <v>0</v>
      </c>
      <c r="AR215" s="2" t="s">
        <v>63</v>
      </c>
      <c r="AS215" s="2" t="s">
        <v>63</v>
      </c>
      <c r="AU215" s="5" t="str">
        <f>HYPERLINK("https://creighton-primo.hosted.exlibrisgroup.com/primo-explore/search?tab=default_tab&amp;search_scope=EVERYTHING&amp;vid=01CRU&amp;lang=en_US&amp;offset=0&amp;query=any,contains,991002492999702656","Catalog Record")</f>
        <v>Catalog Record</v>
      </c>
      <c r="AV215" s="5" t="str">
        <f>HYPERLINK("http://www.worldcat.org/oclc/32431851","WorldCat Record")</f>
        <v>WorldCat Record</v>
      </c>
      <c r="AW215" s="2" t="s">
        <v>2998</v>
      </c>
      <c r="AX215" s="2" t="s">
        <v>2999</v>
      </c>
      <c r="AY215" s="2" t="s">
        <v>3000</v>
      </c>
      <c r="AZ215" s="2" t="s">
        <v>3000</v>
      </c>
      <c r="BA215" s="2" t="s">
        <v>3001</v>
      </c>
      <c r="BB215" s="2" t="s">
        <v>79</v>
      </c>
      <c r="BD215" s="2" t="s">
        <v>3002</v>
      </c>
      <c r="BE215" s="2" t="s">
        <v>3003</v>
      </c>
      <c r="BF215" s="2" t="s">
        <v>3004</v>
      </c>
    </row>
    <row r="216" spans="1:58" ht="39.75" customHeight="1">
      <c r="A216" s="1"/>
      <c r="B216" s="1" t="s">
        <v>58</v>
      </c>
      <c r="C216" s="1" t="s">
        <v>59</v>
      </c>
      <c r="D216" s="1" t="s">
        <v>3005</v>
      </c>
      <c r="E216" s="1" t="s">
        <v>3006</v>
      </c>
      <c r="F216" s="1" t="s">
        <v>3007</v>
      </c>
      <c r="H216" s="2" t="s">
        <v>63</v>
      </c>
      <c r="I216" s="2" t="s">
        <v>64</v>
      </c>
      <c r="J216" s="2" t="s">
        <v>63</v>
      </c>
      <c r="K216" s="2" t="s">
        <v>63</v>
      </c>
      <c r="L216" s="2" t="s">
        <v>65</v>
      </c>
      <c r="M216" s="1" t="s">
        <v>3008</v>
      </c>
      <c r="N216" s="1" t="s">
        <v>3009</v>
      </c>
      <c r="O216" s="2" t="s">
        <v>978</v>
      </c>
      <c r="P216" s="1" t="s">
        <v>3010</v>
      </c>
      <c r="Q216" s="2" t="s">
        <v>68</v>
      </c>
      <c r="R216" s="2" t="s">
        <v>106</v>
      </c>
      <c r="T216" s="2" t="s">
        <v>71</v>
      </c>
      <c r="U216" s="3">
        <v>7</v>
      </c>
      <c r="V216" s="3">
        <v>7</v>
      </c>
      <c r="W216" s="4" t="s">
        <v>3011</v>
      </c>
      <c r="X216" s="4" t="s">
        <v>3011</v>
      </c>
      <c r="Y216" s="4" t="s">
        <v>3012</v>
      </c>
      <c r="Z216" s="4" t="s">
        <v>3012</v>
      </c>
      <c r="AA216" s="3">
        <v>1009</v>
      </c>
      <c r="AB216" s="3">
        <v>937</v>
      </c>
      <c r="AC216" s="3">
        <v>980</v>
      </c>
      <c r="AD216" s="3">
        <v>5</v>
      </c>
      <c r="AE216" s="3">
        <v>6</v>
      </c>
      <c r="AF216" s="3">
        <v>14</v>
      </c>
      <c r="AG216" s="3">
        <v>15</v>
      </c>
      <c r="AH216" s="3">
        <v>3</v>
      </c>
      <c r="AI216" s="3">
        <v>3</v>
      </c>
      <c r="AJ216" s="3">
        <v>2</v>
      </c>
      <c r="AK216" s="3">
        <v>2</v>
      </c>
      <c r="AL216" s="3">
        <v>7</v>
      </c>
      <c r="AM216" s="3">
        <v>7</v>
      </c>
      <c r="AN216" s="3">
        <v>3</v>
      </c>
      <c r="AO216" s="3">
        <v>4</v>
      </c>
      <c r="AP216" s="3">
        <v>0</v>
      </c>
      <c r="AQ216" s="3">
        <v>0</v>
      </c>
      <c r="AR216" s="2" t="s">
        <v>63</v>
      </c>
      <c r="AS216" s="2" t="s">
        <v>63</v>
      </c>
      <c r="AU216" s="5" t="str">
        <f>HYPERLINK("https://creighton-primo.hosted.exlibrisgroup.com/primo-explore/search?tab=default_tab&amp;search_scope=EVERYTHING&amp;vid=01CRU&amp;lang=en_US&amp;offset=0&amp;query=any,contains,991002758479702656","Catalog Record")</f>
        <v>Catalog Record</v>
      </c>
      <c r="AV216" s="5" t="str">
        <f>HYPERLINK("http://www.worldcat.org/oclc/36178973","WorldCat Record")</f>
        <v>WorldCat Record</v>
      </c>
      <c r="AW216" s="2" t="s">
        <v>3013</v>
      </c>
      <c r="AX216" s="2" t="s">
        <v>3014</v>
      </c>
      <c r="AY216" s="2" t="s">
        <v>3015</v>
      </c>
      <c r="AZ216" s="2" t="s">
        <v>3015</v>
      </c>
      <c r="BA216" s="2" t="s">
        <v>3016</v>
      </c>
      <c r="BB216" s="2" t="s">
        <v>79</v>
      </c>
      <c r="BD216" s="2" t="s">
        <v>3017</v>
      </c>
      <c r="BE216" s="2" t="s">
        <v>3018</v>
      </c>
      <c r="BF216" s="2" t="s">
        <v>3019</v>
      </c>
    </row>
    <row r="217" spans="1:58" ht="39.75" customHeight="1">
      <c r="A217" s="1"/>
      <c r="B217" s="1" t="s">
        <v>58</v>
      </c>
      <c r="C217" s="1" t="s">
        <v>59</v>
      </c>
      <c r="D217" s="1" t="s">
        <v>3020</v>
      </c>
      <c r="E217" s="1" t="s">
        <v>3021</v>
      </c>
      <c r="F217" s="1" t="s">
        <v>3022</v>
      </c>
      <c r="H217" s="2" t="s">
        <v>63</v>
      </c>
      <c r="I217" s="2" t="s">
        <v>64</v>
      </c>
      <c r="J217" s="2" t="s">
        <v>63</v>
      </c>
      <c r="K217" s="2" t="s">
        <v>63</v>
      </c>
      <c r="L217" s="2" t="s">
        <v>65</v>
      </c>
      <c r="M217" s="1" t="s">
        <v>3023</v>
      </c>
      <c r="N217" s="1" t="s">
        <v>3024</v>
      </c>
      <c r="O217" s="2" t="s">
        <v>209</v>
      </c>
      <c r="Q217" s="2" t="s">
        <v>68</v>
      </c>
      <c r="R217" s="2" t="s">
        <v>3025</v>
      </c>
      <c r="S217" s="1" t="s">
        <v>3026</v>
      </c>
      <c r="T217" s="2" t="s">
        <v>71</v>
      </c>
      <c r="U217" s="3">
        <v>6</v>
      </c>
      <c r="V217" s="3">
        <v>6</v>
      </c>
      <c r="W217" s="4" t="s">
        <v>3027</v>
      </c>
      <c r="X217" s="4" t="s">
        <v>3027</v>
      </c>
      <c r="Y217" s="4" t="s">
        <v>2061</v>
      </c>
      <c r="Z217" s="4" t="s">
        <v>2061</v>
      </c>
      <c r="AA217" s="3">
        <v>157</v>
      </c>
      <c r="AB217" s="3">
        <v>148</v>
      </c>
      <c r="AC217" s="3">
        <v>150</v>
      </c>
      <c r="AD217" s="3">
        <v>2</v>
      </c>
      <c r="AE217" s="3">
        <v>2</v>
      </c>
      <c r="AF217" s="3">
        <v>2</v>
      </c>
      <c r="AG217" s="3">
        <v>2</v>
      </c>
      <c r="AH217" s="3">
        <v>0</v>
      </c>
      <c r="AI217" s="3">
        <v>0</v>
      </c>
      <c r="AJ217" s="3">
        <v>1</v>
      </c>
      <c r="AK217" s="3">
        <v>1</v>
      </c>
      <c r="AL217" s="3">
        <v>1</v>
      </c>
      <c r="AM217" s="3">
        <v>1</v>
      </c>
      <c r="AN217" s="3">
        <v>1</v>
      </c>
      <c r="AO217" s="3">
        <v>1</v>
      </c>
      <c r="AP217" s="3">
        <v>0</v>
      </c>
      <c r="AQ217" s="3">
        <v>0</v>
      </c>
      <c r="AR217" s="2" t="s">
        <v>63</v>
      </c>
      <c r="AS217" s="2" t="s">
        <v>74</v>
      </c>
      <c r="AT217" s="5" t="str">
        <f>HYPERLINK("http://catalog.hathitrust.org/Record/000583354","HathiTrust Record")</f>
        <v>HathiTrust Record</v>
      </c>
      <c r="AU217" s="5" t="str">
        <f>HYPERLINK("https://creighton-primo.hosted.exlibrisgroup.com/primo-explore/search?tab=default_tab&amp;search_scope=EVERYTHING&amp;vid=01CRU&amp;lang=en_US&amp;offset=0&amp;query=any,contains,991005403969702656","Catalog Record")</f>
        <v>Catalog Record</v>
      </c>
      <c r="AV217" s="5" t="str">
        <f>HYPERLINK("http://www.worldcat.org/oclc/10588828","WorldCat Record")</f>
        <v>WorldCat Record</v>
      </c>
      <c r="AW217" s="2" t="s">
        <v>3028</v>
      </c>
      <c r="AX217" s="2" t="s">
        <v>3029</v>
      </c>
      <c r="AY217" s="2" t="s">
        <v>3030</v>
      </c>
      <c r="AZ217" s="2" t="s">
        <v>3030</v>
      </c>
      <c r="BA217" s="2" t="s">
        <v>3031</v>
      </c>
      <c r="BB217" s="2" t="s">
        <v>79</v>
      </c>
      <c r="BD217" s="2" t="s">
        <v>3032</v>
      </c>
      <c r="BE217" s="2" t="s">
        <v>3033</v>
      </c>
      <c r="BF217" s="2" t="s">
        <v>3034</v>
      </c>
    </row>
    <row r="218" spans="1:58" ht="39.75" customHeight="1">
      <c r="A218" s="1"/>
      <c r="B218" s="1" t="s">
        <v>58</v>
      </c>
      <c r="C218" s="1" t="s">
        <v>59</v>
      </c>
      <c r="D218" s="1" t="s">
        <v>3035</v>
      </c>
      <c r="E218" s="1" t="s">
        <v>3036</v>
      </c>
      <c r="F218" s="1" t="s">
        <v>3037</v>
      </c>
      <c r="H218" s="2" t="s">
        <v>63</v>
      </c>
      <c r="I218" s="2" t="s">
        <v>64</v>
      </c>
      <c r="J218" s="2" t="s">
        <v>63</v>
      </c>
      <c r="K218" s="2" t="s">
        <v>63</v>
      </c>
      <c r="L218" s="2" t="s">
        <v>65</v>
      </c>
      <c r="M218" s="1" t="s">
        <v>3038</v>
      </c>
      <c r="N218" s="1" t="s">
        <v>3039</v>
      </c>
      <c r="O218" s="2" t="s">
        <v>209</v>
      </c>
      <c r="Q218" s="2" t="s">
        <v>68</v>
      </c>
      <c r="R218" s="2" t="s">
        <v>979</v>
      </c>
      <c r="S218" s="1" t="s">
        <v>3040</v>
      </c>
      <c r="T218" s="2" t="s">
        <v>71</v>
      </c>
      <c r="U218" s="3">
        <v>1</v>
      </c>
      <c r="V218" s="3">
        <v>1</v>
      </c>
      <c r="W218" s="4" t="s">
        <v>1249</v>
      </c>
      <c r="X218" s="4" t="s">
        <v>1249</v>
      </c>
      <c r="Y218" s="4" t="s">
        <v>2061</v>
      </c>
      <c r="Z218" s="4" t="s">
        <v>2061</v>
      </c>
      <c r="AA218" s="3">
        <v>270</v>
      </c>
      <c r="AB218" s="3">
        <v>181</v>
      </c>
      <c r="AC218" s="3">
        <v>208</v>
      </c>
      <c r="AD218" s="3">
        <v>1</v>
      </c>
      <c r="AE218" s="3">
        <v>1</v>
      </c>
      <c r="AF218" s="3">
        <v>6</v>
      </c>
      <c r="AG218" s="3">
        <v>7</v>
      </c>
      <c r="AH218" s="3">
        <v>0</v>
      </c>
      <c r="AI218" s="3">
        <v>0</v>
      </c>
      <c r="AJ218" s="3">
        <v>2</v>
      </c>
      <c r="AK218" s="3">
        <v>3</v>
      </c>
      <c r="AL218" s="3">
        <v>5</v>
      </c>
      <c r="AM218" s="3">
        <v>5</v>
      </c>
      <c r="AN218" s="3">
        <v>0</v>
      </c>
      <c r="AO218" s="3">
        <v>0</v>
      </c>
      <c r="AP218" s="3">
        <v>0</v>
      </c>
      <c r="AQ218" s="3">
        <v>0</v>
      </c>
      <c r="AR218" s="2" t="s">
        <v>63</v>
      </c>
      <c r="AS218" s="2" t="s">
        <v>74</v>
      </c>
      <c r="AT218" s="5" t="str">
        <f>HYPERLINK("http://catalog.hathitrust.org/Record/000201826","HathiTrust Record")</f>
        <v>HathiTrust Record</v>
      </c>
      <c r="AU218" s="5" t="str">
        <f>HYPERLINK("https://creighton-primo.hosted.exlibrisgroup.com/primo-explore/search?tab=default_tab&amp;search_scope=EVERYTHING&amp;vid=01CRU&amp;lang=en_US&amp;offset=0&amp;query=any,contains,991000117149702656","Catalog Record")</f>
        <v>Catalog Record</v>
      </c>
      <c r="AV218" s="5" t="str">
        <f>HYPERLINK("http://www.worldcat.org/oclc/9043296","WorldCat Record")</f>
        <v>WorldCat Record</v>
      </c>
      <c r="AW218" s="2" t="s">
        <v>3041</v>
      </c>
      <c r="AX218" s="2" t="s">
        <v>3042</v>
      </c>
      <c r="AY218" s="2" t="s">
        <v>3043</v>
      </c>
      <c r="AZ218" s="2" t="s">
        <v>3043</v>
      </c>
      <c r="BA218" s="2" t="s">
        <v>3044</v>
      </c>
      <c r="BB218" s="2" t="s">
        <v>79</v>
      </c>
      <c r="BD218" s="2" t="s">
        <v>3045</v>
      </c>
      <c r="BE218" s="2" t="s">
        <v>3046</v>
      </c>
      <c r="BF218" s="2" t="s">
        <v>3047</v>
      </c>
    </row>
    <row r="219" spans="1:58" ht="39.75" customHeight="1">
      <c r="A219" s="1"/>
      <c r="B219" s="1" t="s">
        <v>58</v>
      </c>
      <c r="C219" s="1" t="s">
        <v>59</v>
      </c>
      <c r="D219" s="1" t="s">
        <v>3048</v>
      </c>
      <c r="E219" s="1" t="s">
        <v>3049</v>
      </c>
      <c r="F219" s="1" t="s">
        <v>3050</v>
      </c>
      <c r="H219" s="2" t="s">
        <v>63</v>
      </c>
      <c r="I219" s="2" t="s">
        <v>64</v>
      </c>
      <c r="J219" s="2" t="s">
        <v>63</v>
      </c>
      <c r="K219" s="2" t="s">
        <v>63</v>
      </c>
      <c r="L219" s="2" t="s">
        <v>65</v>
      </c>
      <c r="N219" s="1" t="s">
        <v>3051</v>
      </c>
      <c r="O219" s="2" t="s">
        <v>641</v>
      </c>
      <c r="Q219" s="2" t="s">
        <v>68</v>
      </c>
      <c r="R219" s="2" t="s">
        <v>106</v>
      </c>
      <c r="T219" s="2" t="s">
        <v>71</v>
      </c>
      <c r="U219" s="3">
        <v>11</v>
      </c>
      <c r="V219" s="3">
        <v>11</v>
      </c>
      <c r="W219" s="4" t="s">
        <v>3052</v>
      </c>
      <c r="X219" s="4" t="s">
        <v>3052</v>
      </c>
      <c r="Y219" s="4" t="s">
        <v>2061</v>
      </c>
      <c r="Z219" s="4" t="s">
        <v>2061</v>
      </c>
      <c r="AA219" s="3">
        <v>514</v>
      </c>
      <c r="AB219" s="3">
        <v>430</v>
      </c>
      <c r="AC219" s="3">
        <v>432</v>
      </c>
      <c r="AD219" s="3">
        <v>4</v>
      </c>
      <c r="AE219" s="3">
        <v>4</v>
      </c>
      <c r="AF219" s="3">
        <v>15</v>
      </c>
      <c r="AG219" s="3">
        <v>15</v>
      </c>
      <c r="AH219" s="3">
        <v>5</v>
      </c>
      <c r="AI219" s="3">
        <v>5</v>
      </c>
      <c r="AJ219" s="3">
        <v>4</v>
      </c>
      <c r="AK219" s="3">
        <v>4</v>
      </c>
      <c r="AL219" s="3">
        <v>8</v>
      </c>
      <c r="AM219" s="3">
        <v>8</v>
      </c>
      <c r="AN219" s="3">
        <v>2</v>
      </c>
      <c r="AO219" s="3">
        <v>2</v>
      </c>
      <c r="AP219" s="3">
        <v>0</v>
      </c>
      <c r="AQ219" s="3">
        <v>0</v>
      </c>
      <c r="AR219" s="2" t="s">
        <v>63</v>
      </c>
      <c r="AS219" s="2" t="s">
        <v>74</v>
      </c>
      <c r="AT219" s="5" t="str">
        <f>HYPERLINK("http://catalog.hathitrust.org/Record/000307142","HathiTrust Record")</f>
        <v>HathiTrust Record</v>
      </c>
      <c r="AU219" s="5" t="str">
        <f>HYPERLINK("https://creighton-primo.hosted.exlibrisgroup.com/primo-explore/search?tab=default_tab&amp;search_scope=EVERYTHING&amp;vid=01CRU&amp;lang=en_US&amp;offset=0&amp;query=any,contains,991005153989702656","Catalog Record")</f>
        <v>Catalog Record</v>
      </c>
      <c r="AV219" s="5" t="str">
        <f>HYPERLINK("http://www.worldcat.org/oclc/7737536","WorldCat Record")</f>
        <v>WorldCat Record</v>
      </c>
      <c r="AW219" s="2" t="s">
        <v>3053</v>
      </c>
      <c r="AX219" s="2" t="s">
        <v>3054</v>
      </c>
      <c r="AY219" s="2" t="s">
        <v>3055</v>
      </c>
      <c r="AZ219" s="2" t="s">
        <v>3055</v>
      </c>
      <c r="BA219" s="2" t="s">
        <v>3056</v>
      </c>
      <c r="BB219" s="2" t="s">
        <v>79</v>
      </c>
      <c r="BD219" s="2" t="s">
        <v>3057</v>
      </c>
      <c r="BE219" s="2" t="s">
        <v>3058</v>
      </c>
      <c r="BF219" s="2" t="s">
        <v>3059</v>
      </c>
    </row>
    <row r="220" spans="1:58" ht="39.75" customHeight="1">
      <c r="A220" s="1"/>
      <c r="B220" s="1" t="s">
        <v>58</v>
      </c>
      <c r="C220" s="1" t="s">
        <v>59</v>
      </c>
      <c r="D220" s="1" t="s">
        <v>3060</v>
      </c>
      <c r="E220" s="1" t="s">
        <v>3061</v>
      </c>
      <c r="F220" s="1" t="s">
        <v>3062</v>
      </c>
      <c r="H220" s="2" t="s">
        <v>63</v>
      </c>
      <c r="I220" s="2" t="s">
        <v>64</v>
      </c>
      <c r="J220" s="2" t="s">
        <v>63</v>
      </c>
      <c r="K220" s="2" t="s">
        <v>63</v>
      </c>
      <c r="L220" s="2" t="s">
        <v>65</v>
      </c>
      <c r="N220" s="1" t="s">
        <v>3063</v>
      </c>
      <c r="O220" s="2" t="s">
        <v>166</v>
      </c>
      <c r="Q220" s="2" t="s">
        <v>68</v>
      </c>
      <c r="R220" s="2" t="s">
        <v>181</v>
      </c>
      <c r="S220" s="1" t="s">
        <v>3064</v>
      </c>
      <c r="T220" s="2" t="s">
        <v>71</v>
      </c>
      <c r="U220" s="3">
        <v>4</v>
      </c>
      <c r="V220" s="3">
        <v>4</v>
      </c>
      <c r="W220" s="4" t="s">
        <v>3065</v>
      </c>
      <c r="X220" s="4" t="s">
        <v>3065</v>
      </c>
      <c r="Y220" s="4" t="s">
        <v>3066</v>
      </c>
      <c r="Z220" s="4" t="s">
        <v>3066</v>
      </c>
      <c r="AA220" s="3">
        <v>194</v>
      </c>
      <c r="AB220" s="3">
        <v>112</v>
      </c>
      <c r="AC220" s="3">
        <v>137</v>
      </c>
      <c r="AD220" s="3">
        <v>1</v>
      </c>
      <c r="AE220" s="3">
        <v>1</v>
      </c>
      <c r="AF220" s="3">
        <v>3</v>
      </c>
      <c r="AG220" s="3">
        <v>4</v>
      </c>
      <c r="AH220" s="3">
        <v>0</v>
      </c>
      <c r="AI220" s="3">
        <v>1</v>
      </c>
      <c r="AJ220" s="3">
        <v>1</v>
      </c>
      <c r="AK220" s="3">
        <v>2</v>
      </c>
      <c r="AL220" s="3">
        <v>2</v>
      </c>
      <c r="AM220" s="3">
        <v>2</v>
      </c>
      <c r="AN220" s="3">
        <v>0</v>
      </c>
      <c r="AO220" s="3">
        <v>0</v>
      </c>
      <c r="AP220" s="3">
        <v>0</v>
      </c>
      <c r="AQ220" s="3">
        <v>0</v>
      </c>
      <c r="AR220" s="2" t="s">
        <v>63</v>
      </c>
      <c r="AS220" s="2" t="s">
        <v>63</v>
      </c>
      <c r="AU220" s="5" t="str">
        <f>HYPERLINK("https://creighton-primo.hosted.exlibrisgroup.com/primo-explore/search?tab=default_tab&amp;search_scope=EVERYTHING&amp;vid=01CRU&amp;lang=en_US&amp;offset=0&amp;query=any,contains,991001304329702656","Catalog Record")</f>
        <v>Catalog Record</v>
      </c>
      <c r="AV220" s="5" t="str">
        <f>HYPERLINK("http://www.worldcat.org/oclc/18104546","WorldCat Record")</f>
        <v>WorldCat Record</v>
      </c>
      <c r="AW220" s="2" t="s">
        <v>3067</v>
      </c>
      <c r="AX220" s="2" t="s">
        <v>3068</v>
      </c>
      <c r="AY220" s="2" t="s">
        <v>3069</v>
      </c>
      <c r="AZ220" s="2" t="s">
        <v>3069</v>
      </c>
      <c r="BA220" s="2" t="s">
        <v>3070</v>
      </c>
      <c r="BB220" s="2" t="s">
        <v>79</v>
      </c>
      <c r="BD220" s="2" t="s">
        <v>3071</v>
      </c>
      <c r="BE220" s="2" t="s">
        <v>3072</v>
      </c>
      <c r="BF220" s="2" t="s">
        <v>3073</v>
      </c>
    </row>
    <row r="221" spans="1:58" ht="39.75" customHeight="1">
      <c r="A221" s="1"/>
      <c r="B221" s="1" t="s">
        <v>58</v>
      </c>
      <c r="C221" s="1" t="s">
        <v>59</v>
      </c>
      <c r="D221" s="1" t="s">
        <v>3074</v>
      </c>
      <c r="E221" s="1" t="s">
        <v>3075</v>
      </c>
      <c r="F221" s="1" t="s">
        <v>3076</v>
      </c>
      <c r="H221" s="2" t="s">
        <v>63</v>
      </c>
      <c r="I221" s="2" t="s">
        <v>64</v>
      </c>
      <c r="J221" s="2" t="s">
        <v>63</v>
      </c>
      <c r="K221" s="2" t="s">
        <v>63</v>
      </c>
      <c r="L221" s="2" t="s">
        <v>65</v>
      </c>
      <c r="M221" s="1" t="s">
        <v>3077</v>
      </c>
      <c r="N221" s="1" t="s">
        <v>3078</v>
      </c>
      <c r="O221" s="2" t="s">
        <v>67</v>
      </c>
      <c r="P221" s="1" t="s">
        <v>1119</v>
      </c>
      <c r="Q221" s="2" t="s">
        <v>68</v>
      </c>
      <c r="R221" s="2" t="s">
        <v>979</v>
      </c>
      <c r="T221" s="2" t="s">
        <v>71</v>
      </c>
      <c r="U221" s="3">
        <v>13</v>
      </c>
      <c r="V221" s="3">
        <v>13</v>
      </c>
      <c r="W221" s="4" t="s">
        <v>3079</v>
      </c>
      <c r="X221" s="4" t="s">
        <v>3079</v>
      </c>
      <c r="Y221" s="4" t="s">
        <v>3080</v>
      </c>
      <c r="Z221" s="4" t="s">
        <v>3080</v>
      </c>
      <c r="AA221" s="3">
        <v>59</v>
      </c>
      <c r="AB221" s="3">
        <v>15</v>
      </c>
      <c r="AC221" s="3">
        <v>205</v>
      </c>
      <c r="AD221" s="3">
        <v>1</v>
      </c>
      <c r="AE221" s="3">
        <v>2</v>
      </c>
      <c r="AF221" s="3">
        <v>0</v>
      </c>
      <c r="AG221" s="3">
        <v>8</v>
      </c>
      <c r="AH221" s="3">
        <v>0</v>
      </c>
      <c r="AI221" s="3">
        <v>2</v>
      </c>
      <c r="AJ221" s="3">
        <v>0</v>
      </c>
      <c r="AK221" s="3">
        <v>2</v>
      </c>
      <c r="AL221" s="3">
        <v>0</v>
      </c>
      <c r="AM221" s="3">
        <v>3</v>
      </c>
      <c r="AN221" s="3">
        <v>0</v>
      </c>
      <c r="AO221" s="3">
        <v>1</v>
      </c>
      <c r="AP221" s="3">
        <v>0</v>
      </c>
      <c r="AQ221" s="3">
        <v>0</v>
      </c>
      <c r="AR221" s="2" t="s">
        <v>63</v>
      </c>
      <c r="AS221" s="2" t="s">
        <v>63</v>
      </c>
      <c r="AU221" s="5" t="str">
        <f>HYPERLINK("https://creighton-primo.hosted.exlibrisgroup.com/primo-explore/search?tab=default_tab&amp;search_scope=EVERYTHING&amp;vid=01CRU&amp;lang=en_US&amp;offset=0&amp;query=any,contains,991002226739702656","Catalog Record")</f>
        <v>Catalog Record</v>
      </c>
      <c r="AV221" s="5" t="str">
        <f>HYPERLINK("http://www.worldcat.org/oclc/28684119","WorldCat Record")</f>
        <v>WorldCat Record</v>
      </c>
      <c r="AW221" s="2" t="s">
        <v>3081</v>
      </c>
      <c r="AX221" s="2" t="s">
        <v>3082</v>
      </c>
      <c r="AY221" s="2" t="s">
        <v>3083</v>
      </c>
      <c r="AZ221" s="2" t="s">
        <v>3083</v>
      </c>
      <c r="BA221" s="2" t="s">
        <v>3084</v>
      </c>
      <c r="BB221" s="2" t="s">
        <v>79</v>
      </c>
      <c r="BD221" s="2" t="s">
        <v>3085</v>
      </c>
      <c r="BE221" s="2" t="s">
        <v>3086</v>
      </c>
      <c r="BF221" s="2" t="s">
        <v>3087</v>
      </c>
    </row>
    <row r="222" spans="1:58" ht="39.75" customHeight="1">
      <c r="A222" s="1"/>
      <c r="B222" s="1" t="s">
        <v>58</v>
      </c>
      <c r="C222" s="1" t="s">
        <v>59</v>
      </c>
      <c r="D222" s="1" t="s">
        <v>3088</v>
      </c>
      <c r="E222" s="1" t="s">
        <v>3089</v>
      </c>
      <c r="F222" s="1" t="s">
        <v>3090</v>
      </c>
      <c r="H222" s="2" t="s">
        <v>63</v>
      </c>
      <c r="I222" s="2" t="s">
        <v>64</v>
      </c>
      <c r="J222" s="2" t="s">
        <v>63</v>
      </c>
      <c r="K222" s="2" t="s">
        <v>63</v>
      </c>
      <c r="L222" s="2" t="s">
        <v>65</v>
      </c>
      <c r="M222" s="1" t="s">
        <v>3091</v>
      </c>
      <c r="N222" s="1" t="s">
        <v>3092</v>
      </c>
      <c r="O222" s="2" t="s">
        <v>3093</v>
      </c>
      <c r="Q222" s="2" t="s">
        <v>68</v>
      </c>
      <c r="R222" s="2" t="s">
        <v>106</v>
      </c>
      <c r="T222" s="2" t="s">
        <v>71</v>
      </c>
      <c r="U222" s="3">
        <v>1</v>
      </c>
      <c r="V222" s="3">
        <v>1</v>
      </c>
      <c r="W222" s="4" t="s">
        <v>3065</v>
      </c>
      <c r="X222" s="4" t="s">
        <v>3065</v>
      </c>
      <c r="Y222" s="4" t="s">
        <v>333</v>
      </c>
      <c r="Z222" s="4" t="s">
        <v>333</v>
      </c>
      <c r="AA222" s="3">
        <v>515</v>
      </c>
      <c r="AB222" s="3">
        <v>423</v>
      </c>
      <c r="AC222" s="3">
        <v>434</v>
      </c>
      <c r="AD222" s="3">
        <v>7</v>
      </c>
      <c r="AE222" s="3">
        <v>7</v>
      </c>
      <c r="AF222" s="3">
        <v>16</v>
      </c>
      <c r="AG222" s="3">
        <v>16</v>
      </c>
      <c r="AH222" s="3">
        <v>4</v>
      </c>
      <c r="AI222" s="3">
        <v>4</v>
      </c>
      <c r="AJ222" s="3">
        <v>4</v>
      </c>
      <c r="AK222" s="3">
        <v>4</v>
      </c>
      <c r="AL222" s="3">
        <v>5</v>
      </c>
      <c r="AM222" s="3">
        <v>5</v>
      </c>
      <c r="AN222" s="3">
        <v>5</v>
      </c>
      <c r="AO222" s="3">
        <v>5</v>
      </c>
      <c r="AP222" s="3">
        <v>0</v>
      </c>
      <c r="AQ222" s="3">
        <v>0</v>
      </c>
      <c r="AR222" s="2" t="s">
        <v>63</v>
      </c>
      <c r="AS222" s="2" t="s">
        <v>74</v>
      </c>
      <c r="AT222" s="5" t="str">
        <f>HYPERLINK("http://catalog.hathitrust.org/Record/001559485","HathiTrust Record")</f>
        <v>HathiTrust Record</v>
      </c>
      <c r="AU222" s="5" t="str">
        <f>HYPERLINK("https://creighton-primo.hosted.exlibrisgroup.com/primo-explore/search?tab=default_tab&amp;search_scope=EVERYTHING&amp;vid=01CRU&amp;lang=en_US&amp;offset=0&amp;query=any,contains,991005202519702656","Catalog Record")</f>
        <v>Catalog Record</v>
      </c>
      <c r="AV222" s="5" t="str">
        <f>HYPERLINK("http://www.worldcat.org/oclc/55684","WorldCat Record")</f>
        <v>WorldCat Record</v>
      </c>
      <c r="AW222" s="2" t="s">
        <v>3094</v>
      </c>
      <c r="AX222" s="2" t="s">
        <v>3095</v>
      </c>
      <c r="AY222" s="2" t="s">
        <v>3096</v>
      </c>
      <c r="AZ222" s="2" t="s">
        <v>3096</v>
      </c>
      <c r="BA222" s="2" t="s">
        <v>3097</v>
      </c>
      <c r="BB222" s="2" t="s">
        <v>79</v>
      </c>
      <c r="BD222" s="2" t="s">
        <v>3098</v>
      </c>
      <c r="BE222" s="2" t="s">
        <v>3099</v>
      </c>
      <c r="BF222" s="2" t="s">
        <v>3100</v>
      </c>
    </row>
    <row r="223" spans="1:58" ht="39.75" customHeight="1">
      <c r="A223" s="1"/>
      <c r="B223" s="1" t="s">
        <v>58</v>
      </c>
      <c r="C223" s="1" t="s">
        <v>59</v>
      </c>
      <c r="D223" s="1" t="s">
        <v>3101</v>
      </c>
      <c r="E223" s="1" t="s">
        <v>3102</v>
      </c>
      <c r="F223" s="1" t="s">
        <v>3103</v>
      </c>
      <c r="H223" s="2" t="s">
        <v>63</v>
      </c>
      <c r="I223" s="2" t="s">
        <v>64</v>
      </c>
      <c r="J223" s="2" t="s">
        <v>63</v>
      </c>
      <c r="K223" s="2" t="s">
        <v>74</v>
      </c>
      <c r="L223" s="2" t="s">
        <v>65</v>
      </c>
      <c r="M223" s="1" t="s">
        <v>3104</v>
      </c>
      <c r="N223" s="1" t="s">
        <v>3105</v>
      </c>
      <c r="O223" s="2" t="s">
        <v>499</v>
      </c>
      <c r="Q223" s="2" t="s">
        <v>68</v>
      </c>
      <c r="R223" s="2" t="s">
        <v>106</v>
      </c>
      <c r="T223" s="2" t="s">
        <v>71</v>
      </c>
      <c r="U223" s="3">
        <v>6</v>
      </c>
      <c r="V223" s="3">
        <v>6</v>
      </c>
      <c r="W223" s="4" t="s">
        <v>3065</v>
      </c>
      <c r="X223" s="4" t="s">
        <v>3065</v>
      </c>
      <c r="Y223" s="4" t="s">
        <v>3106</v>
      </c>
      <c r="Z223" s="4" t="s">
        <v>3106</v>
      </c>
      <c r="AA223" s="3">
        <v>242</v>
      </c>
      <c r="AB223" s="3">
        <v>191</v>
      </c>
      <c r="AC223" s="3">
        <v>554</v>
      </c>
      <c r="AD223" s="3">
        <v>3</v>
      </c>
      <c r="AE223" s="3">
        <v>5</v>
      </c>
      <c r="AF223" s="3">
        <v>6</v>
      </c>
      <c r="AG223" s="3">
        <v>17</v>
      </c>
      <c r="AH223" s="3">
        <v>2</v>
      </c>
      <c r="AI223" s="3">
        <v>5</v>
      </c>
      <c r="AJ223" s="3">
        <v>1</v>
      </c>
      <c r="AK223" s="3">
        <v>4</v>
      </c>
      <c r="AL223" s="3">
        <v>3</v>
      </c>
      <c r="AM223" s="3">
        <v>7</v>
      </c>
      <c r="AN223" s="3">
        <v>2</v>
      </c>
      <c r="AO223" s="3">
        <v>3</v>
      </c>
      <c r="AP223" s="3">
        <v>0</v>
      </c>
      <c r="AQ223" s="3">
        <v>1</v>
      </c>
      <c r="AR223" s="2" t="s">
        <v>63</v>
      </c>
      <c r="AS223" s="2" t="s">
        <v>74</v>
      </c>
      <c r="AT223" s="5" t="str">
        <f>HYPERLINK("http://catalog.hathitrust.org/Record/000011054","HathiTrust Record")</f>
        <v>HathiTrust Record</v>
      </c>
      <c r="AU223" s="5" t="str">
        <f>HYPERLINK("https://creighton-primo.hosted.exlibrisgroup.com/primo-explore/search?tab=default_tab&amp;search_scope=EVERYTHING&amp;vid=01CRU&amp;lang=en_US&amp;offset=0&amp;query=any,contains,991005202509702656","Catalog Record")</f>
        <v>Catalog Record</v>
      </c>
      <c r="AV223" s="5" t="str">
        <f>HYPERLINK("http://www.worldcat.org/oclc/754474","WorldCat Record")</f>
        <v>WorldCat Record</v>
      </c>
      <c r="AW223" s="2" t="s">
        <v>3107</v>
      </c>
      <c r="AX223" s="2" t="s">
        <v>3108</v>
      </c>
      <c r="AY223" s="2" t="s">
        <v>3109</v>
      </c>
      <c r="AZ223" s="2" t="s">
        <v>3109</v>
      </c>
      <c r="BA223" s="2" t="s">
        <v>3110</v>
      </c>
      <c r="BB223" s="2" t="s">
        <v>79</v>
      </c>
      <c r="BD223" s="2" t="s">
        <v>3111</v>
      </c>
      <c r="BE223" s="2" t="s">
        <v>3112</v>
      </c>
      <c r="BF223" s="2" t="s">
        <v>3113</v>
      </c>
    </row>
    <row r="224" spans="1:58" ht="39.75" customHeight="1">
      <c r="A224" s="1"/>
      <c r="B224" s="1" t="s">
        <v>58</v>
      </c>
      <c r="C224" s="1" t="s">
        <v>59</v>
      </c>
      <c r="D224" s="1" t="s">
        <v>3114</v>
      </c>
      <c r="E224" s="1" t="s">
        <v>3115</v>
      </c>
      <c r="F224" s="1" t="s">
        <v>3116</v>
      </c>
      <c r="H224" s="2" t="s">
        <v>63</v>
      </c>
      <c r="I224" s="2" t="s">
        <v>64</v>
      </c>
      <c r="J224" s="2" t="s">
        <v>63</v>
      </c>
      <c r="K224" s="2" t="s">
        <v>63</v>
      </c>
      <c r="L224" s="2" t="s">
        <v>65</v>
      </c>
      <c r="M224" s="1" t="s">
        <v>3117</v>
      </c>
      <c r="N224" s="1" t="s">
        <v>3118</v>
      </c>
      <c r="O224" s="2" t="s">
        <v>3093</v>
      </c>
      <c r="P224" s="1" t="s">
        <v>871</v>
      </c>
      <c r="Q224" s="2" t="s">
        <v>68</v>
      </c>
      <c r="R224" s="2" t="s">
        <v>167</v>
      </c>
      <c r="T224" s="2" t="s">
        <v>71</v>
      </c>
      <c r="U224" s="3">
        <v>1</v>
      </c>
      <c r="V224" s="3">
        <v>1</v>
      </c>
      <c r="W224" s="4" t="s">
        <v>3079</v>
      </c>
      <c r="X224" s="4" t="s">
        <v>3079</v>
      </c>
      <c r="Y224" s="4" t="s">
        <v>333</v>
      </c>
      <c r="Z224" s="4" t="s">
        <v>333</v>
      </c>
      <c r="AA224" s="3">
        <v>401</v>
      </c>
      <c r="AB224" s="3">
        <v>270</v>
      </c>
      <c r="AC224" s="3">
        <v>351</v>
      </c>
      <c r="AD224" s="3">
        <v>2</v>
      </c>
      <c r="AE224" s="3">
        <v>2</v>
      </c>
      <c r="AF224" s="3">
        <v>7</v>
      </c>
      <c r="AG224" s="3">
        <v>8</v>
      </c>
      <c r="AH224" s="3">
        <v>2</v>
      </c>
      <c r="AI224" s="3">
        <v>2</v>
      </c>
      <c r="AJ224" s="3">
        <v>2</v>
      </c>
      <c r="AK224" s="3">
        <v>2</v>
      </c>
      <c r="AL224" s="3">
        <v>4</v>
      </c>
      <c r="AM224" s="3">
        <v>5</v>
      </c>
      <c r="AN224" s="3">
        <v>1</v>
      </c>
      <c r="AO224" s="3">
        <v>1</v>
      </c>
      <c r="AP224" s="3">
        <v>0</v>
      </c>
      <c r="AQ224" s="3">
        <v>0</v>
      </c>
      <c r="AR224" s="2" t="s">
        <v>63</v>
      </c>
      <c r="AS224" s="2" t="s">
        <v>74</v>
      </c>
      <c r="AT224" s="5" t="str">
        <f>HYPERLINK("http://catalog.hathitrust.org/Record/001559490","HathiTrust Record")</f>
        <v>HathiTrust Record</v>
      </c>
      <c r="AU224" s="5" t="str">
        <f>HYPERLINK("https://creighton-primo.hosted.exlibrisgroup.com/primo-explore/search?tab=default_tab&amp;search_scope=EVERYTHING&amp;vid=01CRU&amp;lang=en_US&amp;offset=0&amp;query=any,contains,991005202539702656","Catalog Record")</f>
        <v>Catalog Record</v>
      </c>
      <c r="AV224" s="5" t="str">
        <f>HYPERLINK("http://www.worldcat.org/oclc/101510","WorldCat Record")</f>
        <v>WorldCat Record</v>
      </c>
      <c r="AW224" s="2" t="s">
        <v>3119</v>
      </c>
      <c r="AX224" s="2" t="s">
        <v>3120</v>
      </c>
      <c r="AY224" s="2" t="s">
        <v>3121</v>
      </c>
      <c r="AZ224" s="2" t="s">
        <v>3121</v>
      </c>
      <c r="BA224" s="2" t="s">
        <v>3122</v>
      </c>
      <c r="BB224" s="2" t="s">
        <v>79</v>
      </c>
      <c r="BD224" s="2" t="s">
        <v>3123</v>
      </c>
      <c r="BE224" s="2" t="s">
        <v>3124</v>
      </c>
      <c r="BF224" s="2" t="s">
        <v>3125</v>
      </c>
    </row>
    <row r="225" spans="1:58" ht="39.75" customHeight="1">
      <c r="A225" s="1"/>
      <c r="B225" s="1" t="s">
        <v>58</v>
      </c>
      <c r="C225" s="1" t="s">
        <v>59</v>
      </c>
      <c r="D225" s="1" t="s">
        <v>3126</v>
      </c>
      <c r="E225" s="1" t="s">
        <v>3127</v>
      </c>
      <c r="F225" s="1" t="s">
        <v>3128</v>
      </c>
      <c r="H225" s="2" t="s">
        <v>63</v>
      </c>
      <c r="I225" s="2" t="s">
        <v>64</v>
      </c>
      <c r="J225" s="2" t="s">
        <v>63</v>
      </c>
      <c r="K225" s="2" t="s">
        <v>74</v>
      </c>
      <c r="L225" s="2" t="s">
        <v>65</v>
      </c>
      <c r="M225" s="1" t="s">
        <v>3129</v>
      </c>
      <c r="N225" s="1" t="s">
        <v>3130</v>
      </c>
      <c r="O225" s="2" t="s">
        <v>88</v>
      </c>
      <c r="Q225" s="2" t="s">
        <v>68</v>
      </c>
      <c r="R225" s="2" t="s">
        <v>2302</v>
      </c>
      <c r="T225" s="2" t="s">
        <v>71</v>
      </c>
      <c r="U225" s="3">
        <v>6</v>
      </c>
      <c r="V225" s="3">
        <v>6</v>
      </c>
      <c r="W225" s="4" t="s">
        <v>3065</v>
      </c>
      <c r="X225" s="4" t="s">
        <v>3065</v>
      </c>
      <c r="Y225" s="4" t="s">
        <v>3131</v>
      </c>
      <c r="Z225" s="4" t="s">
        <v>3131</v>
      </c>
      <c r="AA225" s="3">
        <v>171</v>
      </c>
      <c r="AB225" s="3">
        <v>147</v>
      </c>
      <c r="AC225" s="3">
        <v>595</v>
      </c>
      <c r="AD225" s="3">
        <v>3</v>
      </c>
      <c r="AE225" s="3">
        <v>6</v>
      </c>
      <c r="AF225" s="3">
        <v>7</v>
      </c>
      <c r="AG225" s="3">
        <v>15</v>
      </c>
      <c r="AH225" s="3">
        <v>1</v>
      </c>
      <c r="AI225" s="3">
        <v>3</v>
      </c>
      <c r="AJ225" s="3">
        <v>1</v>
      </c>
      <c r="AK225" s="3">
        <v>4</v>
      </c>
      <c r="AL225" s="3">
        <v>4</v>
      </c>
      <c r="AM225" s="3">
        <v>7</v>
      </c>
      <c r="AN225" s="3">
        <v>2</v>
      </c>
      <c r="AO225" s="3">
        <v>4</v>
      </c>
      <c r="AP225" s="3">
        <v>0</v>
      </c>
      <c r="AQ225" s="3">
        <v>0</v>
      </c>
      <c r="AR225" s="2" t="s">
        <v>63</v>
      </c>
      <c r="AS225" s="2" t="s">
        <v>74</v>
      </c>
      <c r="AT225" s="5" t="str">
        <f>HYPERLINK("http://catalog.hathitrust.org/Record/004513108","HathiTrust Record")</f>
        <v>HathiTrust Record</v>
      </c>
      <c r="AU225" s="5" t="str">
        <f>HYPERLINK("https://creighton-primo.hosted.exlibrisgroup.com/primo-explore/search?tab=default_tab&amp;search_scope=EVERYTHING&amp;vid=01CRU&amp;lang=en_US&amp;offset=0&amp;query=any,contains,991005008949702656","Catalog Record")</f>
        <v>Catalog Record</v>
      </c>
      <c r="AV225" s="5" t="str">
        <f>HYPERLINK("http://www.worldcat.org/oclc/9756831","WorldCat Record")</f>
        <v>WorldCat Record</v>
      </c>
      <c r="AW225" s="2" t="s">
        <v>3132</v>
      </c>
      <c r="AX225" s="2" t="s">
        <v>3133</v>
      </c>
      <c r="AY225" s="2" t="s">
        <v>3134</v>
      </c>
      <c r="AZ225" s="2" t="s">
        <v>3134</v>
      </c>
      <c r="BA225" s="2" t="s">
        <v>3135</v>
      </c>
      <c r="BB225" s="2" t="s">
        <v>79</v>
      </c>
      <c r="BD225" s="2" t="s">
        <v>3136</v>
      </c>
      <c r="BE225" s="2" t="s">
        <v>3137</v>
      </c>
      <c r="BF225" s="2" t="s">
        <v>3138</v>
      </c>
    </row>
    <row r="226" spans="1:58" ht="39.75" customHeight="1">
      <c r="A226" s="1"/>
      <c r="B226" s="1" t="s">
        <v>58</v>
      </c>
      <c r="C226" s="1" t="s">
        <v>59</v>
      </c>
      <c r="D226" s="1" t="s">
        <v>3139</v>
      </c>
      <c r="E226" s="1" t="s">
        <v>3140</v>
      </c>
      <c r="F226" s="1" t="s">
        <v>3141</v>
      </c>
      <c r="H226" s="2" t="s">
        <v>63</v>
      </c>
      <c r="I226" s="2" t="s">
        <v>64</v>
      </c>
      <c r="J226" s="2" t="s">
        <v>63</v>
      </c>
      <c r="K226" s="2" t="s">
        <v>63</v>
      </c>
      <c r="L226" s="2" t="s">
        <v>65</v>
      </c>
      <c r="M226" s="1" t="s">
        <v>3142</v>
      </c>
      <c r="N226" s="1" t="s">
        <v>3143</v>
      </c>
      <c r="O226" s="2" t="s">
        <v>88</v>
      </c>
      <c r="Q226" s="2" t="s">
        <v>68</v>
      </c>
      <c r="R226" s="2" t="s">
        <v>3144</v>
      </c>
      <c r="S226" s="1" t="s">
        <v>3145</v>
      </c>
      <c r="T226" s="2" t="s">
        <v>71</v>
      </c>
      <c r="U226" s="3">
        <v>6</v>
      </c>
      <c r="V226" s="3">
        <v>6</v>
      </c>
      <c r="W226" s="4" t="s">
        <v>3079</v>
      </c>
      <c r="X226" s="4" t="s">
        <v>3079</v>
      </c>
      <c r="Y226" s="4" t="s">
        <v>3146</v>
      </c>
      <c r="Z226" s="4" t="s">
        <v>3146</v>
      </c>
      <c r="AA226" s="3">
        <v>274</v>
      </c>
      <c r="AB226" s="3">
        <v>157</v>
      </c>
      <c r="AC226" s="3">
        <v>176</v>
      </c>
      <c r="AD226" s="3">
        <v>1</v>
      </c>
      <c r="AE226" s="3">
        <v>1</v>
      </c>
      <c r="AF226" s="3">
        <v>5</v>
      </c>
      <c r="AG226" s="3">
        <v>5</v>
      </c>
      <c r="AH226" s="3">
        <v>3</v>
      </c>
      <c r="AI226" s="3">
        <v>3</v>
      </c>
      <c r="AJ226" s="3">
        <v>2</v>
      </c>
      <c r="AK226" s="3">
        <v>2</v>
      </c>
      <c r="AL226" s="3">
        <v>2</v>
      </c>
      <c r="AM226" s="3">
        <v>2</v>
      </c>
      <c r="AN226" s="3">
        <v>0</v>
      </c>
      <c r="AO226" s="3">
        <v>0</v>
      </c>
      <c r="AP226" s="3">
        <v>0</v>
      </c>
      <c r="AQ226" s="3">
        <v>0</v>
      </c>
      <c r="AR226" s="2" t="s">
        <v>63</v>
      </c>
      <c r="AS226" s="2" t="s">
        <v>63</v>
      </c>
      <c r="AU226" s="5" t="str">
        <f>HYPERLINK("https://creighton-primo.hosted.exlibrisgroup.com/primo-explore/search?tab=default_tab&amp;search_scope=EVERYTHING&amp;vid=01CRU&amp;lang=en_US&amp;offset=0&amp;query=any,contains,991005021049702656","Catalog Record")</f>
        <v>Catalog Record</v>
      </c>
      <c r="AV226" s="5" t="str">
        <f>HYPERLINK("http://www.worldcat.org/oclc/6649671","WorldCat Record")</f>
        <v>WorldCat Record</v>
      </c>
      <c r="AW226" s="2" t="s">
        <v>3147</v>
      </c>
      <c r="AX226" s="2" t="s">
        <v>3148</v>
      </c>
      <c r="AY226" s="2" t="s">
        <v>3149</v>
      </c>
      <c r="AZ226" s="2" t="s">
        <v>3149</v>
      </c>
      <c r="BA226" s="2" t="s">
        <v>3150</v>
      </c>
      <c r="BB226" s="2" t="s">
        <v>79</v>
      </c>
      <c r="BD226" s="2" t="s">
        <v>3151</v>
      </c>
      <c r="BE226" s="2" t="s">
        <v>3152</v>
      </c>
      <c r="BF226" s="2" t="s">
        <v>3153</v>
      </c>
    </row>
    <row r="227" spans="1:58" ht="39.75" customHeight="1">
      <c r="A227" s="1"/>
      <c r="B227" s="1" t="s">
        <v>58</v>
      </c>
      <c r="C227" s="1" t="s">
        <v>59</v>
      </c>
      <c r="D227" s="1" t="s">
        <v>3154</v>
      </c>
      <c r="E227" s="1" t="s">
        <v>3155</v>
      </c>
      <c r="F227" s="1" t="s">
        <v>3156</v>
      </c>
      <c r="H227" s="2" t="s">
        <v>63</v>
      </c>
      <c r="I227" s="2" t="s">
        <v>64</v>
      </c>
      <c r="J227" s="2" t="s">
        <v>63</v>
      </c>
      <c r="K227" s="2" t="s">
        <v>63</v>
      </c>
      <c r="L227" s="2" t="s">
        <v>65</v>
      </c>
      <c r="N227" s="1" t="s">
        <v>3157</v>
      </c>
      <c r="O227" s="2" t="s">
        <v>67</v>
      </c>
      <c r="Q227" s="2" t="s">
        <v>68</v>
      </c>
      <c r="R227" s="2" t="s">
        <v>500</v>
      </c>
      <c r="T227" s="2" t="s">
        <v>71</v>
      </c>
      <c r="U227" s="3">
        <v>3</v>
      </c>
      <c r="V227" s="3">
        <v>3</v>
      </c>
      <c r="W227" s="4" t="s">
        <v>3079</v>
      </c>
      <c r="X227" s="4" t="s">
        <v>3079</v>
      </c>
      <c r="Y227" s="4" t="s">
        <v>3158</v>
      </c>
      <c r="Z227" s="4" t="s">
        <v>3158</v>
      </c>
      <c r="AA227" s="3">
        <v>222</v>
      </c>
      <c r="AB227" s="3">
        <v>142</v>
      </c>
      <c r="AC227" s="3">
        <v>203</v>
      </c>
      <c r="AD227" s="3">
        <v>2</v>
      </c>
      <c r="AE227" s="3">
        <v>2</v>
      </c>
      <c r="AF227" s="3">
        <v>5</v>
      </c>
      <c r="AG227" s="3">
        <v>8</v>
      </c>
      <c r="AH227" s="3">
        <v>1</v>
      </c>
      <c r="AI227" s="3">
        <v>3</v>
      </c>
      <c r="AJ227" s="3">
        <v>1</v>
      </c>
      <c r="AK227" s="3">
        <v>3</v>
      </c>
      <c r="AL227" s="3">
        <v>3</v>
      </c>
      <c r="AM227" s="3">
        <v>3</v>
      </c>
      <c r="AN227" s="3">
        <v>1</v>
      </c>
      <c r="AO227" s="3">
        <v>1</v>
      </c>
      <c r="AP227" s="3">
        <v>0</v>
      </c>
      <c r="AQ227" s="3">
        <v>0</v>
      </c>
      <c r="AR227" s="2" t="s">
        <v>63</v>
      </c>
      <c r="AS227" s="2" t="s">
        <v>63</v>
      </c>
      <c r="AU227" s="5" t="str">
        <f>HYPERLINK("https://creighton-primo.hosted.exlibrisgroup.com/primo-explore/search?tab=default_tab&amp;search_scope=EVERYTHING&amp;vid=01CRU&amp;lang=en_US&amp;offset=0&amp;query=any,contains,991002062099702656","Catalog Record")</f>
        <v>Catalog Record</v>
      </c>
      <c r="AV227" s="5" t="str">
        <f>HYPERLINK("http://www.worldcat.org/oclc/26396497","WorldCat Record")</f>
        <v>WorldCat Record</v>
      </c>
      <c r="AW227" s="2" t="s">
        <v>3159</v>
      </c>
      <c r="AX227" s="2" t="s">
        <v>3160</v>
      </c>
      <c r="AY227" s="2" t="s">
        <v>3161</v>
      </c>
      <c r="AZ227" s="2" t="s">
        <v>3161</v>
      </c>
      <c r="BA227" s="2" t="s">
        <v>3162</v>
      </c>
      <c r="BB227" s="2" t="s">
        <v>79</v>
      </c>
      <c r="BD227" s="2" t="s">
        <v>3163</v>
      </c>
      <c r="BE227" s="2" t="s">
        <v>3164</v>
      </c>
      <c r="BF227" s="2" t="s">
        <v>3165</v>
      </c>
    </row>
    <row r="228" spans="1:58" ht="39.75" customHeight="1">
      <c r="A228" s="1"/>
      <c r="B228" s="1" t="s">
        <v>58</v>
      </c>
      <c r="C228" s="1" t="s">
        <v>59</v>
      </c>
      <c r="D228" s="1" t="s">
        <v>3166</v>
      </c>
      <c r="E228" s="1" t="s">
        <v>3167</v>
      </c>
      <c r="F228" s="1" t="s">
        <v>3168</v>
      </c>
      <c r="H228" s="2" t="s">
        <v>63</v>
      </c>
      <c r="I228" s="2" t="s">
        <v>64</v>
      </c>
      <c r="J228" s="2" t="s">
        <v>63</v>
      </c>
      <c r="K228" s="2" t="s">
        <v>63</v>
      </c>
      <c r="L228" s="2" t="s">
        <v>65</v>
      </c>
      <c r="M228" s="1" t="s">
        <v>3169</v>
      </c>
      <c r="N228" s="1" t="s">
        <v>3170</v>
      </c>
      <c r="O228" s="2" t="s">
        <v>798</v>
      </c>
      <c r="P228" s="1" t="s">
        <v>871</v>
      </c>
      <c r="Q228" s="2" t="s">
        <v>68</v>
      </c>
      <c r="R228" s="2" t="s">
        <v>799</v>
      </c>
      <c r="T228" s="2" t="s">
        <v>71</v>
      </c>
      <c r="U228" s="3">
        <v>4</v>
      </c>
      <c r="V228" s="3">
        <v>4</v>
      </c>
      <c r="W228" s="4" t="s">
        <v>3171</v>
      </c>
      <c r="X228" s="4" t="s">
        <v>3171</v>
      </c>
      <c r="Y228" s="4" t="s">
        <v>3172</v>
      </c>
      <c r="Z228" s="4" t="s">
        <v>3172</v>
      </c>
      <c r="AA228" s="3">
        <v>46</v>
      </c>
      <c r="AB228" s="3">
        <v>46</v>
      </c>
      <c r="AC228" s="3">
        <v>54</v>
      </c>
      <c r="AD228" s="3">
        <v>2</v>
      </c>
      <c r="AE228" s="3">
        <v>2</v>
      </c>
      <c r="AF228" s="3">
        <v>2</v>
      </c>
      <c r="AG228" s="3">
        <v>2</v>
      </c>
      <c r="AH228" s="3">
        <v>1</v>
      </c>
      <c r="AI228" s="3">
        <v>1</v>
      </c>
      <c r="AJ228" s="3">
        <v>0</v>
      </c>
      <c r="AK228" s="3">
        <v>0</v>
      </c>
      <c r="AL228" s="3">
        <v>0</v>
      </c>
      <c r="AM228" s="3">
        <v>0</v>
      </c>
      <c r="AN228" s="3">
        <v>1</v>
      </c>
      <c r="AO228" s="3">
        <v>1</v>
      </c>
      <c r="AP228" s="3">
        <v>0</v>
      </c>
      <c r="AQ228" s="3">
        <v>0</v>
      </c>
      <c r="AR228" s="2" t="s">
        <v>63</v>
      </c>
      <c r="AS228" s="2" t="s">
        <v>63</v>
      </c>
      <c r="AU228" s="5" t="str">
        <f>HYPERLINK("https://creighton-primo.hosted.exlibrisgroup.com/primo-explore/search?tab=default_tab&amp;search_scope=EVERYTHING&amp;vid=01CRU&amp;lang=en_US&amp;offset=0&amp;query=any,contains,991002061259702656","Catalog Record")</f>
        <v>Catalog Record</v>
      </c>
      <c r="AV228" s="5" t="str">
        <f>HYPERLINK("http://www.worldcat.org/oclc/26379915","WorldCat Record")</f>
        <v>WorldCat Record</v>
      </c>
      <c r="AW228" s="2" t="s">
        <v>3173</v>
      </c>
      <c r="AX228" s="2" t="s">
        <v>3174</v>
      </c>
      <c r="AY228" s="2" t="s">
        <v>3175</v>
      </c>
      <c r="AZ228" s="2" t="s">
        <v>3175</v>
      </c>
      <c r="BA228" s="2" t="s">
        <v>3176</v>
      </c>
      <c r="BB228" s="2" t="s">
        <v>79</v>
      </c>
      <c r="BE228" s="2" t="s">
        <v>3177</v>
      </c>
      <c r="BF228" s="2" t="s">
        <v>3178</v>
      </c>
    </row>
    <row r="229" spans="1:58" ht="39.75" customHeight="1">
      <c r="A229" s="1"/>
      <c r="B229" s="1" t="s">
        <v>58</v>
      </c>
      <c r="C229" s="1" t="s">
        <v>59</v>
      </c>
      <c r="D229" s="1" t="s">
        <v>3179</v>
      </c>
      <c r="E229" s="1" t="s">
        <v>3180</v>
      </c>
      <c r="F229" s="1" t="s">
        <v>3181</v>
      </c>
      <c r="H229" s="2" t="s">
        <v>63</v>
      </c>
      <c r="I229" s="2" t="s">
        <v>64</v>
      </c>
      <c r="J229" s="2" t="s">
        <v>63</v>
      </c>
      <c r="K229" s="2" t="s">
        <v>63</v>
      </c>
      <c r="L229" s="2" t="s">
        <v>65</v>
      </c>
      <c r="M229" s="1" t="s">
        <v>3182</v>
      </c>
      <c r="N229" s="1" t="s">
        <v>3183</v>
      </c>
      <c r="O229" s="2" t="s">
        <v>2301</v>
      </c>
      <c r="P229" s="1" t="s">
        <v>3184</v>
      </c>
      <c r="Q229" s="2" t="s">
        <v>68</v>
      </c>
      <c r="R229" s="2" t="s">
        <v>399</v>
      </c>
      <c r="T229" s="2" t="s">
        <v>71</v>
      </c>
      <c r="U229" s="3">
        <v>4</v>
      </c>
      <c r="V229" s="3">
        <v>4</v>
      </c>
      <c r="W229" s="4" t="s">
        <v>3185</v>
      </c>
      <c r="X229" s="4" t="s">
        <v>3185</v>
      </c>
      <c r="Y229" s="4" t="s">
        <v>3186</v>
      </c>
      <c r="Z229" s="4" t="s">
        <v>3186</v>
      </c>
      <c r="AA229" s="3">
        <v>297</v>
      </c>
      <c r="AB229" s="3">
        <v>275</v>
      </c>
      <c r="AC229" s="3">
        <v>548</v>
      </c>
      <c r="AD229" s="3">
        <v>1</v>
      </c>
      <c r="AE229" s="3">
        <v>4</v>
      </c>
      <c r="AF229" s="3">
        <v>10</v>
      </c>
      <c r="AG229" s="3">
        <v>16</v>
      </c>
      <c r="AH229" s="3">
        <v>3</v>
      </c>
      <c r="AI229" s="3">
        <v>3</v>
      </c>
      <c r="AJ229" s="3">
        <v>2</v>
      </c>
      <c r="AK229" s="3">
        <v>3</v>
      </c>
      <c r="AL229" s="3">
        <v>5</v>
      </c>
      <c r="AM229" s="3">
        <v>7</v>
      </c>
      <c r="AN229" s="3">
        <v>0</v>
      </c>
      <c r="AO229" s="3">
        <v>3</v>
      </c>
      <c r="AP229" s="3">
        <v>1</v>
      </c>
      <c r="AQ229" s="3">
        <v>2</v>
      </c>
      <c r="AR229" s="2" t="s">
        <v>63</v>
      </c>
      <c r="AS229" s="2" t="s">
        <v>74</v>
      </c>
      <c r="AT229" s="5" t="str">
        <f>HYPERLINK("http://catalog.hathitrust.org/Record/001577485","HathiTrust Record")</f>
        <v>HathiTrust Record</v>
      </c>
      <c r="AU229" s="5" t="str">
        <f>HYPERLINK("https://creighton-primo.hosted.exlibrisgroup.com/primo-explore/search?tab=default_tab&amp;search_scope=EVERYTHING&amp;vid=01CRU&amp;lang=en_US&amp;offset=0&amp;query=any,contains,991003261159702656","Catalog Record")</f>
        <v>Catalog Record</v>
      </c>
      <c r="AV229" s="5" t="str">
        <f>HYPERLINK("http://www.worldcat.org/oclc/787458","WorldCat Record")</f>
        <v>WorldCat Record</v>
      </c>
      <c r="AW229" s="2" t="s">
        <v>3187</v>
      </c>
      <c r="AX229" s="2" t="s">
        <v>3188</v>
      </c>
      <c r="AY229" s="2" t="s">
        <v>3189</v>
      </c>
      <c r="AZ229" s="2" t="s">
        <v>3189</v>
      </c>
      <c r="BA229" s="2" t="s">
        <v>3190</v>
      </c>
      <c r="BB229" s="2" t="s">
        <v>79</v>
      </c>
      <c r="BD229" s="2" t="s">
        <v>3191</v>
      </c>
      <c r="BE229" s="2" t="s">
        <v>3192</v>
      </c>
      <c r="BF229" s="2" t="s">
        <v>3193</v>
      </c>
    </row>
    <row r="230" spans="1:58" ht="39.75" customHeight="1">
      <c r="A230" s="1"/>
      <c r="B230" s="1" t="s">
        <v>58</v>
      </c>
      <c r="C230" s="1" t="s">
        <v>59</v>
      </c>
      <c r="D230" s="1" t="s">
        <v>3194</v>
      </c>
      <c r="E230" s="1" t="s">
        <v>3195</v>
      </c>
      <c r="F230" s="1" t="s">
        <v>3196</v>
      </c>
      <c r="H230" s="2" t="s">
        <v>63</v>
      </c>
      <c r="I230" s="2" t="s">
        <v>64</v>
      </c>
      <c r="J230" s="2" t="s">
        <v>63</v>
      </c>
      <c r="K230" s="2" t="s">
        <v>63</v>
      </c>
      <c r="L230" s="2" t="s">
        <v>65</v>
      </c>
      <c r="N230" s="1" t="s">
        <v>3197</v>
      </c>
      <c r="O230" s="2" t="s">
        <v>726</v>
      </c>
      <c r="Q230" s="2" t="s">
        <v>68</v>
      </c>
      <c r="R230" s="2" t="s">
        <v>106</v>
      </c>
      <c r="T230" s="2" t="s">
        <v>71</v>
      </c>
      <c r="U230" s="3">
        <v>5</v>
      </c>
      <c r="V230" s="3">
        <v>5</v>
      </c>
      <c r="W230" s="4" t="s">
        <v>3198</v>
      </c>
      <c r="X230" s="4" t="s">
        <v>3198</v>
      </c>
      <c r="Y230" s="4" t="s">
        <v>3186</v>
      </c>
      <c r="Z230" s="4" t="s">
        <v>3186</v>
      </c>
      <c r="AA230" s="3">
        <v>298</v>
      </c>
      <c r="AB230" s="3">
        <v>236</v>
      </c>
      <c r="AC230" s="3">
        <v>243</v>
      </c>
      <c r="AD230" s="3">
        <v>3</v>
      </c>
      <c r="AE230" s="3">
        <v>3</v>
      </c>
      <c r="AF230" s="3">
        <v>3</v>
      </c>
      <c r="AG230" s="3">
        <v>3</v>
      </c>
      <c r="AH230" s="3">
        <v>2</v>
      </c>
      <c r="AI230" s="3">
        <v>2</v>
      </c>
      <c r="AJ230" s="3">
        <v>1</v>
      </c>
      <c r="AK230" s="3">
        <v>1</v>
      </c>
      <c r="AL230" s="3">
        <v>1</v>
      </c>
      <c r="AM230" s="3">
        <v>1</v>
      </c>
      <c r="AN230" s="3">
        <v>0</v>
      </c>
      <c r="AO230" s="3">
        <v>0</v>
      </c>
      <c r="AP230" s="3">
        <v>0</v>
      </c>
      <c r="AQ230" s="3">
        <v>0</v>
      </c>
      <c r="AR230" s="2" t="s">
        <v>63</v>
      </c>
      <c r="AS230" s="2" t="s">
        <v>74</v>
      </c>
      <c r="AT230" s="5" t="str">
        <f>HYPERLINK("http://catalog.hathitrust.org/Record/000734233","HathiTrust Record")</f>
        <v>HathiTrust Record</v>
      </c>
      <c r="AU230" s="5" t="str">
        <f>HYPERLINK("https://creighton-primo.hosted.exlibrisgroup.com/primo-explore/search?tab=default_tab&amp;search_scope=EVERYTHING&amp;vid=01CRU&amp;lang=en_US&amp;offset=0&amp;query=any,contains,991005253249702656","Catalog Record")</f>
        <v>Catalog Record</v>
      </c>
      <c r="AV230" s="5" t="str">
        <f>HYPERLINK("http://www.worldcat.org/oclc/2383879","WorldCat Record")</f>
        <v>WorldCat Record</v>
      </c>
      <c r="AW230" s="2" t="s">
        <v>3199</v>
      </c>
      <c r="AX230" s="2" t="s">
        <v>3200</v>
      </c>
      <c r="AY230" s="2" t="s">
        <v>3201</v>
      </c>
      <c r="AZ230" s="2" t="s">
        <v>3201</v>
      </c>
      <c r="BA230" s="2" t="s">
        <v>3202</v>
      </c>
      <c r="BB230" s="2" t="s">
        <v>79</v>
      </c>
      <c r="BD230" s="2" t="s">
        <v>3203</v>
      </c>
      <c r="BE230" s="2" t="s">
        <v>3204</v>
      </c>
      <c r="BF230" s="2" t="s">
        <v>3205</v>
      </c>
    </row>
    <row r="231" spans="1:58" ht="39.75" customHeight="1">
      <c r="A231" s="1"/>
      <c r="B231" s="1" t="s">
        <v>58</v>
      </c>
      <c r="C231" s="1" t="s">
        <v>59</v>
      </c>
      <c r="D231" s="1" t="s">
        <v>3206</v>
      </c>
      <c r="E231" s="1" t="s">
        <v>3207</v>
      </c>
      <c r="F231" s="1" t="s">
        <v>3208</v>
      </c>
      <c r="H231" s="2" t="s">
        <v>63</v>
      </c>
      <c r="I231" s="2" t="s">
        <v>64</v>
      </c>
      <c r="J231" s="2" t="s">
        <v>63</v>
      </c>
      <c r="K231" s="2" t="s">
        <v>63</v>
      </c>
      <c r="L231" s="2" t="s">
        <v>65</v>
      </c>
      <c r="M231" s="1" t="s">
        <v>3209</v>
      </c>
      <c r="N231" s="1" t="s">
        <v>3210</v>
      </c>
      <c r="O231" s="2" t="s">
        <v>2636</v>
      </c>
      <c r="Q231" s="2" t="s">
        <v>68</v>
      </c>
      <c r="R231" s="2" t="s">
        <v>3211</v>
      </c>
      <c r="S231" s="1" t="s">
        <v>3212</v>
      </c>
      <c r="T231" s="2" t="s">
        <v>71</v>
      </c>
      <c r="U231" s="3">
        <v>4</v>
      </c>
      <c r="V231" s="3">
        <v>4</v>
      </c>
      <c r="W231" s="4" t="s">
        <v>3198</v>
      </c>
      <c r="X231" s="4" t="s">
        <v>3198</v>
      </c>
      <c r="Y231" s="4" t="s">
        <v>333</v>
      </c>
      <c r="Z231" s="4" t="s">
        <v>333</v>
      </c>
      <c r="AA231" s="3">
        <v>168</v>
      </c>
      <c r="AB231" s="3">
        <v>92</v>
      </c>
      <c r="AC231" s="3">
        <v>96</v>
      </c>
      <c r="AD231" s="3">
        <v>3</v>
      </c>
      <c r="AE231" s="3">
        <v>3</v>
      </c>
      <c r="AF231" s="3">
        <v>3</v>
      </c>
      <c r="AG231" s="3">
        <v>3</v>
      </c>
      <c r="AH231" s="3">
        <v>0</v>
      </c>
      <c r="AI231" s="3">
        <v>0</v>
      </c>
      <c r="AJ231" s="3">
        <v>0</v>
      </c>
      <c r="AK231" s="3">
        <v>0</v>
      </c>
      <c r="AL231" s="3">
        <v>1</v>
      </c>
      <c r="AM231" s="3">
        <v>1</v>
      </c>
      <c r="AN231" s="3">
        <v>2</v>
      </c>
      <c r="AO231" s="3">
        <v>2</v>
      </c>
      <c r="AP231" s="3">
        <v>0</v>
      </c>
      <c r="AQ231" s="3">
        <v>0</v>
      </c>
      <c r="AR231" s="2" t="s">
        <v>63</v>
      </c>
      <c r="AS231" s="2" t="s">
        <v>74</v>
      </c>
      <c r="AT231" s="5" t="str">
        <f>HYPERLINK("http://catalog.hathitrust.org/Record/002079217","HathiTrust Record")</f>
        <v>HathiTrust Record</v>
      </c>
      <c r="AU231" s="5" t="str">
        <f>HYPERLINK("https://creighton-primo.hosted.exlibrisgroup.com/primo-explore/search?tab=default_tab&amp;search_scope=EVERYTHING&amp;vid=01CRU&amp;lang=en_US&amp;offset=0&amp;query=any,contains,991003241899702656","Catalog Record")</f>
        <v>Catalog Record</v>
      </c>
      <c r="AV231" s="5" t="str">
        <f>HYPERLINK("http://www.worldcat.org/oclc/764864","WorldCat Record")</f>
        <v>WorldCat Record</v>
      </c>
      <c r="AW231" s="2" t="s">
        <v>3213</v>
      </c>
      <c r="AX231" s="2" t="s">
        <v>3214</v>
      </c>
      <c r="AY231" s="2" t="s">
        <v>3215</v>
      </c>
      <c r="AZ231" s="2" t="s">
        <v>3215</v>
      </c>
      <c r="BA231" s="2" t="s">
        <v>3216</v>
      </c>
      <c r="BB231" s="2" t="s">
        <v>79</v>
      </c>
      <c r="BE231" s="2" t="s">
        <v>3217</v>
      </c>
      <c r="BF231" s="2" t="s">
        <v>3218</v>
      </c>
    </row>
    <row r="232" spans="1:58" ht="39.75" customHeight="1">
      <c r="A232" s="1"/>
      <c r="B232" s="1" t="s">
        <v>58</v>
      </c>
      <c r="C232" s="1" t="s">
        <v>59</v>
      </c>
      <c r="D232" s="1" t="s">
        <v>3219</v>
      </c>
      <c r="E232" s="1" t="s">
        <v>3220</v>
      </c>
      <c r="F232" s="1" t="s">
        <v>3221</v>
      </c>
      <c r="H232" s="2" t="s">
        <v>63</v>
      </c>
      <c r="I232" s="2" t="s">
        <v>64</v>
      </c>
      <c r="J232" s="2" t="s">
        <v>63</v>
      </c>
      <c r="K232" s="2" t="s">
        <v>63</v>
      </c>
      <c r="L232" s="2" t="s">
        <v>65</v>
      </c>
      <c r="M232" s="1" t="s">
        <v>3222</v>
      </c>
      <c r="N232" s="1" t="s">
        <v>3223</v>
      </c>
      <c r="O232" s="2" t="s">
        <v>136</v>
      </c>
      <c r="P232" s="1" t="s">
        <v>255</v>
      </c>
      <c r="Q232" s="2" t="s">
        <v>68</v>
      </c>
      <c r="R232" s="2" t="s">
        <v>799</v>
      </c>
      <c r="T232" s="2" t="s">
        <v>71</v>
      </c>
      <c r="U232" s="3">
        <v>14</v>
      </c>
      <c r="V232" s="3">
        <v>14</v>
      </c>
      <c r="W232" s="4" t="s">
        <v>3224</v>
      </c>
      <c r="X232" s="4" t="s">
        <v>3224</v>
      </c>
      <c r="Y232" s="4" t="s">
        <v>3225</v>
      </c>
      <c r="Z232" s="4" t="s">
        <v>3225</v>
      </c>
      <c r="AA232" s="3">
        <v>123</v>
      </c>
      <c r="AB232" s="3">
        <v>113</v>
      </c>
      <c r="AC232" s="3">
        <v>128</v>
      </c>
      <c r="AD232" s="3">
        <v>3</v>
      </c>
      <c r="AE232" s="3">
        <v>3</v>
      </c>
      <c r="AF232" s="3">
        <v>3</v>
      </c>
      <c r="AG232" s="3">
        <v>3</v>
      </c>
      <c r="AH232" s="3">
        <v>1</v>
      </c>
      <c r="AI232" s="3">
        <v>1</v>
      </c>
      <c r="AJ232" s="3">
        <v>0</v>
      </c>
      <c r="AK232" s="3">
        <v>0</v>
      </c>
      <c r="AL232" s="3">
        <v>0</v>
      </c>
      <c r="AM232" s="3">
        <v>0</v>
      </c>
      <c r="AN232" s="3">
        <v>2</v>
      </c>
      <c r="AO232" s="3">
        <v>2</v>
      </c>
      <c r="AP232" s="3">
        <v>0</v>
      </c>
      <c r="AQ232" s="3">
        <v>0</v>
      </c>
      <c r="AR232" s="2" t="s">
        <v>63</v>
      </c>
      <c r="AS232" s="2" t="s">
        <v>74</v>
      </c>
      <c r="AT232" s="5" t="str">
        <f>HYPERLINK("http://catalog.hathitrust.org/Record/006182600","HathiTrust Record")</f>
        <v>HathiTrust Record</v>
      </c>
      <c r="AU232" s="5" t="str">
        <f>HYPERLINK("https://creighton-primo.hosted.exlibrisgroup.com/primo-explore/search?tab=default_tab&amp;search_scope=EVERYTHING&amp;vid=01CRU&amp;lang=en_US&amp;offset=0&amp;query=any,contains,991000081579702656","Catalog Record")</f>
        <v>Catalog Record</v>
      </c>
      <c r="AV232" s="5" t="str">
        <f>HYPERLINK("http://www.worldcat.org/oclc/8841093","WorldCat Record")</f>
        <v>WorldCat Record</v>
      </c>
      <c r="AW232" s="2" t="s">
        <v>3226</v>
      </c>
      <c r="AX232" s="2" t="s">
        <v>3227</v>
      </c>
      <c r="AY232" s="2" t="s">
        <v>3228</v>
      </c>
      <c r="AZ232" s="2" t="s">
        <v>3228</v>
      </c>
      <c r="BA232" s="2" t="s">
        <v>3229</v>
      </c>
      <c r="BB232" s="2" t="s">
        <v>79</v>
      </c>
      <c r="BD232" s="2" t="s">
        <v>3230</v>
      </c>
      <c r="BE232" s="2" t="s">
        <v>3231</v>
      </c>
      <c r="BF232" s="2" t="s">
        <v>3232</v>
      </c>
    </row>
    <row r="233" spans="1:58" ht="39.75" customHeight="1">
      <c r="A233" s="1"/>
      <c r="B233" s="1" t="s">
        <v>58</v>
      </c>
      <c r="C233" s="1" t="s">
        <v>59</v>
      </c>
      <c r="D233" s="1" t="s">
        <v>3233</v>
      </c>
      <c r="E233" s="1" t="s">
        <v>3234</v>
      </c>
      <c r="F233" s="1" t="s">
        <v>3235</v>
      </c>
      <c r="H233" s="2" t="s">
        <v>63</v>
      </c>
      <c r="I233" s="2" t="s">
        <v>64</v>
      </c>
      <c r="J233" s="2" t="s">
        <v>63</v>
      </c>
      <c r="K233" s="2" t="s">
        <v>63</v>
      </c>
      <c r="L233" s="2" t="s">
        <v>65</v>
      </c>
      <c r="N233" s="1" t="s">
        <v>3236</v>
      </c>
      <c r="O233" s="2" t="s">
        <v>166</v>
      </c>
      <c r="P233" s="1" t="s">
        <v>3237</v>
      </c>
      <c r="Q233" s="2" t="s">
        <v>68</v>
      </c>
      <c r="R233" s="2" t="s">
        <v>106</v>
      </c>
      <c r="T233" s="2" t="s">
        <v>71</v>
      </c>
      <c r="U233" s="3">
        <v>3</v>
      </c>
      <c r="V233" s="3">
        <v>3</v>
      </c>
      <c r="W233" s="4" t="s">
        <v>3185</v>
      </c>
      <c r="X233" s="4" t="s">
        <v>3185</v>
      </c>
      <c r="Y233" s="4" t="s">
        <v>3238</v>
      </c>
      <c r="Z233" s="4" t="s">
        <v>3238</v>
      </c>
      <c r="AA233" s="3">
        <v>528</v>
      </c>
      <c r="AB233" s="3">
        <v>513</v>
      </c>
      <c r="AC233" s="3">
        <v>546</v>
      </c>
      <c r="AD233" s="3">
        <v>3</v>
      </c>
      <c r="AE233" s="3">
        <v>3</v>
      </c>
      <c r="AF233" s="3">
        <v>3</v>
      </c>
      <c r="AG233" s="3">
        <v>5</v>
      </c>
      <c r="AH233" s="3">
        <v>3</v>
      </c>
      <c r="AI233" s="3">
        <v>4</v>
      </c>
      <c r="AJ233" s="3">
        <v>0</v>
      </c>
      <c r="AK233" s="3">
        <v>1</v>
      </c>
      <c r="AL233" s="3">
        <v>2</v>
      </c>
      <c r="AM233" s="3">
        <v>2</v>
      </c>
      <c r="AN233" s="3">
        <v>0</v>
      </c>
      <c r="AO233" s="3">
        <v>0</v>
      </c>
      <c r="AP233" s="3">
        <v>0</v>
      </c>
      <c r="AQ233" s="3">
        <v>0</v>
      </c>
      <c r="AR233" s="2" t="s">
        <v>63</v>
      </c>
      <c r="AS233" s="2" t="s">
        <v>74</v>
      </c>
      <c r="AT233" s="5" t="str">
        <f>HYPERLINK("http://catalog.hathitrust.org/Record/009818371","HathiTrust Record")</f>
        <v>HathiTrust Record</v>
      </c>
      <c r="AU233" s="5" t="str">
        <f>HYPERLINK("https://creighton-primo.hosted.exlibrisgroup.com/primo-explore/search?tab=default_tab&amp;search_scope=EVERYTHING&amp;vid=01CRU&amp;lang=en_US&amp;offset=0&amp;query=any,contains,991001049039702656","Catalog Record")</f>
        <v>Catalog Record</v>
      </c>
      <c r="AV233" s="5" t="str">
        <f>HYPERLINK("http://www.worldcat.org/oclc/15632073","WorldCat Record")</f>
        <v>WorldCat Record</v>
      </c>
      <c r="AW233" s="2" t="s">
        <v>3239</v>
      </c>
      <c r="AX233" s="2" t="s">
        <v>3240</v>
      </c>
      <c r="AY233" s="2" t="s">
        <v>3241</v>
      </c>
      <c r="AZ233" s="2" t="s">
        <v>3241</v>
      </c>
      <c r="BA233" s="2" t="s">
        <v>3242</v>
      </c>
      <c r="BB233" s="2" t="s">
        <v>79</v>
      </c>
      <c r="BD233" s="2" t="s">
        <v>3243</v>
      </c>
      <c r="BE233" s="2" t="s">
        <v>3244</v>
      </c>
      <c r="BF233" s="2" t="s">
        <v>3245</v>
      </c>
    </row>
    <row r="234" spans="1:58" ht="39.75" customHeight="1">
      <c r="A234" s="1"/>
      <c r="B234" s="1" t="s">
        <v>58</v>
      </c>
      <c r="C234" s="1" t="s">
        <v>59</v>
      </c>
      <c r="D234" s="1" t="s">
        <v>3246</v>
      </c>
      <c r="E234" s="1" t="s">
        <v>3247</v>
      </c>
      <c r="F234" s="1" t="s">
        <v>3248</v>
      </c>
      <c r="H234" s="2" t="s">
        <v>63</v>
      </c>
      <c r="I234" s="2" t="s">
        <v>64</v>
      </c>
      <c r="J234" s="2" t="s">
        <v>63</v>
      </c>
      <c r="K234" s="2" t="s">
        <v>63</v>
      </c>
      <c r="L234" s="2" t="s">
        <v>65</v>
      </c>
      <c r="N234" s="1" t="s">
        <v>3249</v>
      </c>
      <c r="O234" s="2" t="s">
        <v>740</v>
      </c>
      <c r="Q234" s="2" t="s">
        <v>68</v>
      </c>
      <c r="R234" s="2" t="s">
        <v>167</v>
      </c>
      <c r="T234" s="2" t="s">
        <v>71</v>
      </c>
      <c r="U234" s="3">
        <v>5</v>
      </c>
      <c r="V234" s="3">
        <v>5</v>
      </c>
      <c r="W234" s="4" t="s">
        <v>3250</v>
      </c>
      <c r="X234" s="4" t="s">
        <v>3250</v>
      </c>
      <c r="Y234" s="4" t="s">
        <v>3251</v>
      </c>
      <c r="Z234" s="4" t="s">
        <v>3251</v>
      </c>
      <c r="AA234" s="3">
        <v>590</v>
      </c>
      <c r="AB234" s="3">
        <v>552</v>
      </c>
      <c r="AC234" s="3">
        <v>569</v>
      </c>
      <c r="AD234" s="3">
        <v>3</v>
      </c>
      <c r="AE234" s="3">
        <v>3</v>
      </c>
      <c r="AF234" s="3">
        <v>4</v>
      </c>
      <c r="AG234" s="3">
        <v>4</v>
      </c>
      <c r="AH234" s="3">
        <v>1</v>
      </c>
      <c r="AI234" s="3">
        <v>1</v>
      </c>
      <c r="AJ234" s="3">
        <v>0</v>
      </c>
      <c r="AK234" s="3">
        <v>0</v>
      </c>
      <c r="AL234" s="3">
        <v>2</v>
      </c>
      <c r="AM234" s="3">
        <v>2</v>
      </c>
      <c r="AN234" s="3">
        <v>2</v>
      </c>
      <c r="AO234" s="3">
        <v>2</v>
      </c>
      <c r="AP234" s="3">
        <v>0</v>
      </c>
      <c r="AQ234" s="3">
        <v>0</v>
      </c>
      <c r="AR234" s="2" t="s">
        <v>63</v>
      </c>
      <c r="AS234" s="2" t="s">
        <v>63</v>
      </c>
      <c r="AU234" s="5" t="str">
        <f>HYPERLINK("https://creighton-primo.hosted.exlibrisgroup.com/primo-explore/search?tab=default_tab&amp;search_scope=EVERYTHING&amp;vid=01CRU&amp;lang=en_US&amp;offset=0&amp;query=any,contains,991001093159702656","Catalog Record")</f>
        <v>Catalog Record</v>
      </c>
      <c r="AV234" s="5" t="str">
        <f>HYPERLINK("http://www.worldcat.org/oclc/16226742","WorldCat Record")</f>
        <v>WorldCat Record</v>
      </c>
      <c r="AW234" s="2" t="s">
        <v>3252</v>
      </c>
      <c r="AX234" s="2" t="s">
        <v>3253</v>
      </c>
      <c r="AY234" s="2" t="s">
        <v>3254</v>
      </c>
      <c r="AZ234" s="2" t="s">
        <v>3254</v>
      </c>
      <c r="BA234" s="2" t="s">
        <v>3255</v>
      </c>
      <c r="BB234" s="2" t="s">
        <v>79</v>
      </c>
      <c r="BD234" s="2" t="s">
        <v>3256</v>
      </c>
      <c r="BE234" s="2" t="s">
        <v>3257</v>
      </c>
      <c r="BF234" s="2" t="s">
        <v>3258</v>
      </c>
    </row>
    <row r="235" spans="1:58" ht="39.75" customHeight="1">
      <c r="A235" s="1"/>
      <c r="B235" s="1" t="s">
        <v>58</v>
      </c>
      <c r="C235" s="1" t="s">
        <v>59</v>
      </c>
      <c r="D235" s="1" t="s">
        <v>3259</v>
      </c>
      <c r="E235" s="1" t="s">
        <v>3260</v>
      </c>
      <c r="F235" s="1" t="s">
        <v>3261</v>
      </c>
      <c r="H235" s="2" t="s">
        <v>63</v>
      </c>
      <c r="I235" s="2" t="s">
        <v>64</v>
      </c>
      <c r="J235" s="2" t="s">
        <v>63</v>
      </c>
      <c r="K235" s="2" t="s">
        <v>63</v>
      </c>
      <c r="L235" s="2" t="s">
        <v>65</v>
      </c>
      <c r="M235" s="1" t="s">
        <v>3262</v>
      </c>
      <c r="N235" s="1" t="s">
        <v>3263</v>
      </c>
      <c r="O235" s="2" t="s">
        <v>121</v>
      </c>
      <c r="Q235" s="2" t="s">
        <v>68</v>
      </c>
      <c r="R235" s="2" t="s">
        <v>106</v>
      </c>
      <c r="T235" s="2" t="s">
        <v>71</v>
      </c>
      <c r="U235" s="3">
        <v>2</v>
      </c>
      <c r="V235" s="3">
        <v>2</v>
      </c>
      <c r="W235" s="4" t="s">
        <v>3264</v>
      </c>
      <c r="X235" s="4" t="s">
        <v>3264</v>
      </c>
      <c r="Y235" s="4" t="s">
        <v>2061</v>
      </c>
      <c r="Z235" s="4" t="s">
        <v>2061</v>
      </c>
      <c r="AA235" s="3">
        <v>454</v>
      </c>
      <c r="AB235" s="3">
        <v>416</v>
      </c>
      <c r="AC235" s="3">
        <v>428</v>
      </c>
      <c r="AD235" s="3">
        <v>1</v>
      </c>
      <c r="AE235" s="3">
        <v>1</v>
      </c>
      <c r="AF235" s="3">
        <v>5</v>
      </c>
      <c r="AG235" s="3">
        <v>6</v>
      </c>
      <c r="AH235" s="3">
        <v>4</v>
      </c>
      <c r="AI235" s="3">
        <v>4</v>
      </c>
      <c r="AJ235" s="3">
        <v>0</v>
      </c>
      <c r="AK235" s="3">
        <v>0</v>
      </c>
      <c r="AL235" s="3">
        <v>2</v>
      </c>
      <c r="AM235" s="3">
        <v>3</v>
      </c>
      <c r="AN235" s="3">
        <v>0</v>
      </c>
      <c r="AO235" s="3">
        <v>0</v>
      </c>
      <c r="AP235" s="3">
        <v>0</v>
      </c>
      <c r="AQ235" s="3">
        <v>0</v>
      </c>
      <c r="AR235" s="2" t="s">
        <v>63</v>
      </c>
      <c r="AS235" s="2" t="s">
        <v>63</v>
      </c>
      <c r="AU235" s="5" t="str">
        <f>HYPERLINK("https://creighton-primo.hosted.exlibrisgroup.com/primo-explore/search?tab=default_tab&amp;search_scope=EVERYTHING&amp;vid=01CRU&amp;lang=en_US&amp;offset=0&amp;query=any,contains,991004525929702656","Catalog Record")</f>
        <v>Catalog Record</v>
      </c>
      <c r="AV235" s="5" t="str">
        <f>HYPERLINK("http://www.worldcat.org/oclc/3843499","WorldCat Record")</f>
        <v>WorldCat Record</v>
      </c>
      <c r="AW235" s="2" t="s">
        <v>3265</v>
      </c>
      <c r="AX235" s="2" t="s">
        <v>3266</v>
      </c>
      <c r="AY235" s="2" t="s">
        <v>3267</v>
      </c>
      <c r="AZ235" s="2" t="s">
        <v>3267</v>
      </c>
      <c r="BA235" s="2" t="s">
        <v>3268</v>
      </c>
      <c r="BB235" s="2" t="s">
        <v>79</v>
      </c>
      <c r="BD235" s="2" t="s">
        <v>3269</v>
      </c>
      <c r="BE235" s="2" t="s">
        <v>3270</v>
      </c>
      <c r="BF235" s="2" t="s">
        <v>3271</v>
      </c>
    </row>
    <row r="236" spans="1:58" ht="39.75" customHeight="1">
      <c r="A236" s="1"/>
      <c r="B236" s="1" t="s">
        <v>58</v>
      </c>
      <c r="C236" s="1" t="s">
        <v>59</v>
      </c>
      <c r="D236" s="1" t="s">
        <v>3272</v>
      </c>
      <c r="E236" s="1" t="s">
        <v>3273</v>
      </c>
      <c r="F236" s="1" t="s">
        <v>3274</v>
      </c>
      <c r="H236" s="2" t="s">
        <v>63</v>
      </c>
      <c r="I236" s="2" t="s">
        <v>64</v>
      </c>
      <c r="J236" s="2" t="s">
        <v>63</v>
      </c>
      <c r="K236" s="2" t="s">
        <v>63</v>
      </c>
      <c r="L236" s="2" t="s">
        <v>65</v>
      </c>
      <c r="M236" s="1" t="s">
        <v>3275</v>
      </c>
      <c r="N236" s="1" t="s">
        <v>3276</v>
      </c>
      <c r="O236" s="2" t="s">
        <v>726</v>
      </c>
      <c r="Q236" s="2" t="s">
        <v>68</v>
      </c>
      <c r="R236" s="2" t="s">
        <v>106</v>
      </c>
      <c r="T236" s="2" t="s">
        <v>71</v>
      </c>
      <c r="U236" s="3">
        <v>2</v>
      </c>
      <c r="V236" s="3">
        <v>2</v>
      </c>
      <c r="W236" s="4" t="s">
        <v>3277</v>
      </c>
      <c r="X236" s="4" t="s">
        <v>3277</v>
      </c>
      <c r="Y236" s="4" t="s">
        <v>3278</v>
      </c>
      <c r="Z236" s="4" t="s">
        <v>3278</v>
      </c>
      <c r="AA236" s="3">
        <v>256</v>
      </c>
      <c r="AB236" s="3">
        <v>251</v>
      </c>
      <c r="AC236" s="3">
        <v>314</v>
      </c>
      <c r="AD236" s="3">
        <v>4</v>
      </c>
      <c r="AE236" s="3">
        <v>4</v>
      </c>
      <c r="AF236" s="3">
        <v>2</v>
      </c>
      <c r="AG236" s="3">
        <v>4</v>
      </c>
      <c r="AH236" s="3">
        <v>0</v>
      </c>
      <c r="AI236" s="3">
        <v>1</v>
      </c>
      <c r="AJ236" s="3">
        <v>1</v>
      </c>
      <c r="AK236" s="3">
        <v>2</v>
      </c>
      <c r="AL236" s="3">
        <v>1</v>
      </c>
      <c r="AM236" s="3">
        <v>1</v>
      </c>
      <c r="AN236" s="3">
        <v>1</v>
      </c>
      <c r="AO236" s="3">
        <v>1</v>
      </c>
      <c r="AP236" s="3">
        <v>0</v>
      </c>
      <c r="AQ236" s="3">
        <v>0</v>
      </c>
      <c r="AR236" s="2" t="s">
        <v>63</v>
      </c>
      <c r="AS236" s="2" t="s">
        <v>63</v>
      </c>
      <c r="AU236" s="5" t="str">
        <f>HYPERLINK("https://creighton-primo.hosted.exlibrisgroup.com/primo-explore/search?tab=default_tab&amp;search_scope=EVERYTHING&amp;vid=01CRU&amp;lang=en_US&amp;offset=0&amp;query=any,contains,991004148209702656","Catalog Record")</f>
        <v>Catalog Record</v>
      </c>
      <c r="AV236" s="5" t="str">
        <f>HYPERLINK("http://www.worldcat.org/oclc/2517705","WorldCat Record")</f>
        <v>WorldCat Record</v>
      </c>
      <c r="AW236" s="2" t="s">
        <v>3279</v>
      </c>
      <c r="AX236" s="2" t="s">
        <v>3280</v>
      </c>
      <c r="AY236" s="2" t="s">
        <v>3281</v>
      </c>
      <c r="AZ236" s="2" t="s">
        <v>3281</v>
      </c>
      <c r="BA236" s="2" t="s">
        <v>3282</v>
      </c>
      <c r="BB236" s="2" t="s">
        <v>79</v>
      </c>
      <c r="BD236" s="2" t="s">
        <v>3283</v>
      </c>
      <c r="BE236" s="2" t="s">
        <v>3284</v>
      </c>
      <c r="BF236" s="2" t="s">
        <v>3285</v>
      </c>
    </row>
    <row r="237" spans="1:58" ht="39.75" customHeight="1">
      <c r="A237" s="1"/>
      <c r="B237" s="1" t="s">
        <v>58</v>
      </c>
      <c r="C237" s="1" t="s">
        <v>59</v>
      </c>
      <c r="D237" s="1" t="s">
        <v>3286</v>
      </c>
      <c r="E237" s="1" t="s">
        <v>3287</v>
      </c>
      <c r="F237" s="1" t="s">
        <v>3288</v>
      </c>
      <c r="H237" s="2" t="s">
        <v>63</v>
      </c>
      <c r="I237" s="2" t="s">
        <v>64</v>
      </c>
      <c r="J237" s="2" t="s">
        <v>63</v>
      </c>
      <c r="K237" s="2" t="s">
        <v>63</v>
      </c>
      <c r="L237" s="2" t="s">
        <v>65</v>
      </c>
      <c r="N237" s="1" t="s">
        <v>3289</v>
      </c>
      <c r="O237" s="2" t="s">
        <v>598</v>
      </c>
      <c r="P237" s="1" t="s">
        <v>3290</v>
      </c>
      <c r="Q237" s="2" t="s">
        <v>68</v>
      </c>
      <c r="R237" s="2" t="s">
        <v>3291</v>
      </c>
      <c r="T237" s="2" t="s">
        <v>71</v>
      </c>
      <c r="U237" s="3">
        <v>5</v>
      </c>
      <c r="V237" s="3">
        <v>5</v>
      </c>
      <c r="W237" s="4" t="s">
        <v>3292</v>
      </c>
      <c r="X237" s="4" t="s">
        <v>3292</v>
      </c>
      <c r="Y237" s="4" t="s">
        <v>3293</v>
      </c>
      <c r="Z237" s="4" t="s">
        <v>3293</v>
      </c>
      <c r="AA237" s="3">
        <v>447</v>
      </c>
      <c r="AB237" s="3">
        <v>431</v>
      </c>
      <c r="AC237" s="3">
        <v>435</v>
      </c>
      <c r="AD237" s="3">
        <v>1</v>
      </c>
      <c r="AE237" s="3">
        <v>1</v>
      </c>
      <c r="AF237" s="3">
        <v>5</v>
      </c>
      <c r="AG237" s="3">
        <v>5</v>
      </c>
      <c r="AH237" s="3">
        <v>2</v>
      </c>
      <c r="AI237" s="3">
        <v>2</v>
      </c>
      <c r="AJ237" s="3">
        <v>1</v>
      </c>
      <c r="AK237" s="3">
        <v>1</v>
      </c>
      <c r="AL237" s="3">
        <v>3</v>
      </c>
      <c r="AM237" s="3">
        <v>3</v>
      </c>
      <c r="AN237" s="3">
        <v>0</v>
      </c>
      <c r="AO237" s="3">
        <v>0</v>
      </c>
      <c r="AP237" s="3">
        <v>0</v>
      </c>
      <c r="AQ237" s="3">
        <v>0</v>
      </c>
      <c r="AR237" s="2" t="s">
        <v>63</v>
      </c>
      <c r="AS237" s="2" t="s">
        <v>63</v>
      </c>
      <c r="AU237" s="5" t="str">
        <f>HYPERLINK("https://creighton-primo.hosted.exlibrisgroup.com/primo-explore/search?tab=default_tab&amp;search_scope=EVERYTHING&amp;vid=01CRU&amp;lang=en_US&amp;offset=0&amp;query=any,contains,991002218539702656","Catalog Record")</f>
        <v>Catalog Record</v>
      </c>
      <c r="AV237" s="5" t="str">
        <f>HYPERLINK("http://www.worldcat.org/oclc/28583646","WorldCat Record")</f>
        <v>WorldCat Record</v>
      </c>
      <c r="AW237" s="2" t="s">
        <v>3294</v>
      </c>
      <c r="AX237" s="2" t="s">
        <v>3295</v>
      </c>
      <c r="AY237" s="2" t="s">
        <v>3296</v>
      </c>
      <c r="AZ237" s="2" t="s">
        <v>3296</v>
      </c>
      <c r="BA237" s="2" t="s">
        <v>3297</v>
      </c>
      <c r="BB237" s="2" t="s">
        <v>79</v>
      </c>
      <c r="BD237" s="2" t="s">
        <v>3298</v>
      </c>
      <c r="BE237" s="2" t="s">
        <v>3299</v>
      </c>
      <c r="BF237" s="2" t="s">
        <v>3300</v>
      </c>
    </row>
    <row r="238" spans="1:58" ht="39.75" customHeight="1">
      <c r="A238" s="1"/>
      <c r="B238" s="1" t="s">
        <v>58</v>
      </c>
      <c r="C238" s="1" t="s">
        <v>59</v>
      </c>
      <c r="D238" s="1" t="s">
        <v>3301</v>
      </c>
      <c r="E238" s="1" t="s">
        <v>3302</v>
      </c>
      <c r="F238" s="1" t="s">
        <v>3303</v>
      </c>
      <c r="H238" s="2" t="s">
        <v>63</v>
      </c>
      <c r="I238" s="2" t="s">
        <v>64</v>
      </c>
      <c r="J238" s="2" t="s">
        <v>63</v>
      </c>
      <c r="K238" s="2" t="s">
        <v>63</v>
      </c>
      <c r="L238" s="2" t="s">
        <v>65</v>
      </c>
      <c r="M238" s="1" t="s">
        <v>3304</v>
      </c>
      <c r="N238" s="1" t="s">
        <v>3305</v>
      </c>
      <c r="O238" s="2" t="s">
        <v>3093</v>
      </c>
      <c r="Q238" s="2" t="s">
        <v>68</v>
      </c>
      <c r="R238" s="2" t="s">
        <v>979</v>
      </c>
      <c r="T238" s="2" t="s">
        <v>71</v>
      </c>
      <c r="U238" s="3">
        <v>2</v>
      </c>
      <c r="V238" s="3">
        <v>2</v>
      </c>
      <c r="W238" s="4" t="s">
        <v>3306</v>
      </c>
      <c r="X238" s="4" t="s">
        <v>3306</v>
      </c>
      <c r="Y238" s="4" t="s">
        <v>3307</v>
      </c>
      <c r="Z238" s="4" t="s">
        <v>3307</v>
      </c>
      <c r="AA238" s="3">
        <v>19</v>
      </c>
      <c r="AB238" s="3">
        <v>11</v>
      </c>
      <c r="AC238" s="3">
        <v>11</v>
      </c>
      <c r="AD238" s="3">
        <v>1</v>
      </c>
      <c r="AE238" s="3">
        <v>1</v>
      </c>
      <c r="AF238" s="3">
        <v>0</v>
      </c>
      <c r="AG238" s="3">
        <v>0</v>
      </c>
      <c r="AH238" s="3">
        <v>0</v>
      </c>
      <c r="AI238" s="3">
        <v>0</v>
      </c>
      <c r="AJ238" s="3">
        <v>0</v>
      </c>
      <c r="AK238" s="3">
        <v>0</v>
      </c>
      <c r="AL238" s="3">
        <v>0</v>
      </c>
      <c r="AM238" s="3">
        <v>0</v>
      </c>
      <c r="AN238" s="3">
        <v>0</v>
      </c>
      <c r="AO238" s="3">
        <v>0</v>
      </c>
      <c r="AP238" s="3">
        <v>0</v>
      </c>
      <c r="AQ238" s="3">
        <v>0</v>
      </c>
      <c r="AR238" s="2" t="s">
        <v>63</v>
      </c>
      <c r="AS238" s="2" t="s">
        <v>63</v>
      </c>
      <c r="AU238" s="5" t="str">
        <f>HYPERLINK("https://creighton-primo.hosted.exlibrisgroup.com/primo-explore/search?tab=default_tab&amp;search_scope=EVERYTHING&amp;vid=01CRU&amp;lang=en_US&amp;offset=0&amp;query=any,contains,991000725289702656","Catalog Record")</f>
        <v>Catalog Record</v>
      </c>
      <c r="AV238" s="5" t="str">
        <f>HYPERLINK("http://www.worldcat.org/oclc/127458","WorldCat Record")</f>
        <v>WorldCat Record</v>
      </c>
      <c r="AW238" s="2" t="s">
        <v>3308</v>
      </c>
      <c r="AX238" s="2" t="s">
        <v>3309</v>
      </c>
      <c r="AY238" s="2" t="s">
        <v>3310</v>
      </c>
      <c r="AZ238" s="2" t="s">
        <v>3310</v>
      </c>
      <c r="BA238" s="2" t="s">
        <v>3311</v>
      </c>
      <c r="BB238" s="2" t="s">
        <v>79</v>
      </c>
      <c r="BD238" s="2" t="s">
        <v>3312</v>
      </c>
      <c r="BE238" s="2" t="s">
        <v>3313</v>
      </c>
      <c r="BF238" s="2" t="s">
        <v>3314</v>
      </c>
    </row>
    <row r="239" spans="1:58" ht="39.75" customHeight="1">
      <c r="A239" s="1"/>
      <c r="B239" s="1" t="s">
        <v>58</v>
      </c>
      <c r="C239" s="1" t="s">
        <v>59</v>
      </c>
      <c r="D239" s="1" t="s">
        <v>3315</v>
      </c>
      <c r="E239" s="1" t="s">
        <v>3316</v>
      </c>
      <c r="F239" s="1" t="s">
        <v>3317</v>
      </c>
      <c r="H239" s="2" t="s">
        <v>63</v>
      </c>
      <c r="I239" s="2" t="s">
        <v>64</v>
      </c>
      <c r="J239" s="2" t="s">
        <v>63</v>
      </c>
      <c r="K239" s="2" t="s">
        <v>63</v>
      </c>
      <c r="L239" s="2" t="s">
        <v>65</v>
      </c>
      <c r="M239" s="1" t="s">
        <v>3318</v>
      </c>
      <c r="N239" s="1" t="s">
        <v>3319</v>
      </c>
      <c r="O239" s="2" t="s">
        <v>670</v>
      </c>
      <c r="Q239" s="2" t="s">
        <v>68</v>
      </c>
      <c r="R239" s="2" t="s">
        <v>3320</v>
      </c>
      <c r="T239" s="2" t="s">
        <v>71</v>
      </c>
      <c r="U239" s="3">
        <v>4</v>
      </c>
      <c r="V239" s="3">
        <v>4</v>
      </c>
      <c r="W239" s="4" t="s">
        <v>3321</v>
      </c>
      <c r="X239" s="4" t="s">
        <v>3321</v>
      </c>
      <c r="Y239" s="4" t="s">
        <v>3322</v>
      </c>
      <c r="Z239" s="4" t="s">
        <v>3322</v>
      </c>
      <c r="AA239" s="3">
        <v>53</v>
      </c>
      <c r="AB239" s="3">
        <v>53</v>
      </c>
      <c r="AC239" s="3">
        <v>196</v>
      </c>
      <c r="AD239" s="3">
        <v>1</v>
      </c>
      <c r="AE239" s="3">
        <v>2</v>
      </c>
      <c r="AF239" s="3">
        <v>0</v>
      </c>
      <c r="AG239" s="3">
        <v>4</v>
      </c>
      <c r="AH239" s="3">
        <v>0</v>
      </c>
      <c r="AI239" s="3">
        <v>3</v>
      </c>
      <c r="AJ239" s="3">
        <v>0</v>
      </c>
      <c r="AK239" s="3">
        <v>1</v>
      </c>
      <c r="AL239" s="3">
        <v>0</v>
      </c>
      <c r="AM239" s="3">
        <v>0</v>
      </c>
      <c r="AN239" s="3">
        <v>0</v>
      </c>
      <c r="AO239" s="3">
        <v>1</v>
      </c>
      <c r="AP239" s="3">
        <v>0</v>
      </c>
      <c r="AQ239" s="3">
        <v>0</v>
      </c>
      <c r="AR239" s="2" t="s">
        <v>63</v>
      </c>
      <c r="AS239" s="2" t="s">
        <v>63</v>
      </c>
      <c r="AU239" s="5" t="str">
        <f>HYPERLINK("https://creighton-primo.hosted.exlibrisgroup.com/primo-explore/search?tab=default_tab&amp;search_scope=EVERYTHING&amp;vid=01CRU&amp;lang=en_US&amp;offset=0&amp;query=any,contains,991003962019702656","Catalog Record")</f>
        <v>Catalog Record</v>
      </c>
      <c r="AV239" s="5" t="str">
        <f>HYPERLINK("http://www.worldcat.org/oclc/35121715","WorldCat Record")</f>
        <v>WorldCat Record</v>
      </c>
      <c r="AW239" s="2" t="s">
        <v>3323</v>
      </c>
      <c r="AX239" s="2" t="s">
        <v>3324</v>
      </c>
      <c r="AY239" s="2" t="s">
        <v>3325</v>
      </c>
      <c r="AZ239" s="2" t="s">
        <v>3325</v>
      </c>
      <c r="BA239" s="2" t="s">
        <v>3326</v>
      </c>
      <c r="BB239" s="2" t="s">
        <v>79</v>
      </c>
      <c r="BD239" s="2" t="s">
        <v>3327</v>
      </c>
      <c r="BE239" s="2" t="s">
        <v>3328</v>
      </c>
      <c r="BF239" s="2" t="s">
        <v>3329</v>
      </c>
    </row>
    <row r="240" spans="1:58" ht="39.75" customHeight="1">
      <c r="A240" s="1"/>
      <c r="B240" s="1" t="s">
        <v>58</v>
      </c>
      <c r="C240" s="1" t="s">
        <v>59</v>
      </c>
      <c r="D240" s="1" t="s">
        <v>3330</v>
      </c>
      <c r="E240" s="1" t="s">
        <v>3331</v>
      </c>
      <c r="F240" s="1" t="s">
        <v>3332</v>
      </c>
      <c r="H240" s="2" t="s">
        <v>63</v>
      </c>
      <c r="I240" s="2" t="s">
        <v>64</v>
      </c>
      <c r="J240" s="2" t="s">
        <v>63</v>
      </c>
      <c r="K240" s="2" t="s">
        <v>63</v>
      </c>
      <c r="L240" s="2" t="s">
        <v>65</v>
      </c>
      <c r="M240" s="1" t="s">
        <v>3333</v>
      </c>
      <c r="N240" s="1" t="s">
        <v>3334</v>
      </c>
      <c r="O240" s="2" t="s">
        <v>209</v>
      </c>
      <c r="P240" s="1" t="s">
        <v>2609</v>
      </c>
      <c r="Q240" s="2" t="s">
        <v>68</v>
      </c>
      <c r="R240" s="2" t="s">
        <v>106</v>
      </c>
      <c r="T240" s="2" t="s">
        <v>71</v>
      </c>
      <c r="U240" s="3">
        <v>10</v>
      </c>
      <c r="V240" s="3">
        <v>10</v>
      </c>
      <c r="W240" s="4" t="s">
        <v>3335</v>
      </c>
      <c r="X240" s="4" t="s">
        <v>3335</v>
      </c>
      <c r="Y240" s="4" t="s">
        <v>3336</v>
      </c>
      <c r="Z240" s="4" t="s">
        <v>3336</v>
      </c>
      <c r="AA240" s="3">
        <v>422</v>
      </c>
      <c r="AB240" s="3">
        <v>414</v>
      </c>
      <c r="AC240" s="3">
        <v>414</v>
      </c>
      <c r="AD240" s="3">
        <v>2</v>
      </c>
      <c r="AE240" s="3">
        <v>2</v>
      </c>
      <c r="AF240" s="3">
        <v>1</v>
      </c>
      <c r="AG240" s="3">
        <v>1</v>
      </c>
      <c r="AH240" s="3">
        <v>1</v>
      </c>
      <c r="AI240" s="3">
        <v>1</v>
      </c>
      <c r="AJ240" s="3">
        <v>0</v>
      </c>
      <c r="AK240" s="3">
        <v>0</v>
      </c>
      <c r="AL240" s="3">
        <v>0</v>
      </c>
      <c r="AM240" s="3">
        <v>0</v>
      </c>
      <c r="AN240" s="3">
        <v>0</v>
      </c>
      <c r="AO240" s="3">
        <v>0</v>
      </c>
      <c r="AP240" s="3">
        <v>0</v>
      </c>
      <c r="AQ240" s="3">
        <v>0</v>
      </c>
      <c r="AR240" s="2" t="s">
        <v>63</v>
      </c>
      <c r="AS240" s="2" t="s">
        <v>63</v>
      </c>
      <c r="AU240" s="5" t="str">
        <f>HYPERLINK("https://creighton-primo.hosted.exlibrisgroup.com/primo-explore/search?tab=default_tab&amp;search_scope=EVERYTHING&amp;vid=01CRU&amp;lang=en_US&amp;offset=0&amp;query=any,contains,991000494189702656","Catalog Record")</f>
        <v>Catalog Record</v>
      </c>
      <c r="AV240" s="5" t="str">
        <f>HYPERLINK("http://www.worldcat.org/oclc/11129217","WorldCat Record")</f>
        <v>WorldCat Record</v>
      </c>
      <c r="AW240" s="2" t="s">
        <v>3337</v>
      </c>
      <c r="AX240" s="2" t="s">
        <v>3338</v>
      </c>
      <c r="AY240" s="2" t="s">
        <v>3339</v>
      </c>
      <c r="AZ240" s="2" t="s">
        <v>3339</v>
      </c>
      <c r="BA240" s="2" t="s">
        <v>3340</v>
      </c>
      <c r="BB240" s="2" t="s">
        <v>79</v>
      </c>
      <c r="BD240" s="2" t="s">
        <v>3341</v>
      </c>
      <c r="BE240" s="2" t="s">
        <v>3342</v>
      </c>
      <c r="BF240" s="2" t="s">
        <v>3343</v>
      </c>
    </row>
    <row r="241" spans="1:58" ht="39.75" customHeight="1">
      <c r="A241" s="1"/>
      <c r="B241" s="1" t="s">
        <v>58</v>
      </c>
      <c r="C241" s="1" t="s">
        <v>59</v>
      </c>
      <c r="D241" s="1" t="s">
        <v>3344</v>
      </c>
      <c r="E241" s="1" t="s">
        <v>3345</v>
      </c>
      <c r="F241" s="1" t="s">
        <v>3346</v>
      </c>
      <c r="H241" s="2" t="s">
        <v>63</v>
      </c>
      <c r="I241" s="2" t="s">
        <v>64</v>
      </c>
      <c r="J241" s="2" t="s">
        <v>63</v>
      </c>
      <c r="K241" s="2" t="s">
        <v>63</v>
      </c>
      <c r="L241" s="2" t="s">
        <v>65</v>
      </c>
      <c r="M241" s="1" t="s">
        <v>3347</v>
      </c>
      <c r="N241" s="1" t="s">
        <v>3348</v>
      </c>
      <c r="O241" s="2" t="s">
        <v>557</v>
      </c>
      <c r="P241" s="1" t="s">
        <v>871</v>
      </c>
      <c r="Q241" s="2" t="s">
        <v>68</v>
      </c>
      <c r="R241" s="2" t="s">
        <v>225</v>
      </c>
      <c r="T241" s="2" t="s">
        <v>71</v>
      </c>
      <c r="U241" s="3">
        <v>2</v>
      </c>
      <c r="V241" s="3">
        <v>2</v>
      </c>
      <c r="W241" s="4" t="s">
        <v>3306</v>
      </c>
      <c r="X241" s="4" t="s">
        <v>3306</v>
      </c>
      <c r="Y241" s="4" t="s">
        <v>2061</v>
      </c>
      <c r="Z241" s="4" t="s">
        <v>2061</v>
      </c>
      <c r="AA241" s="3">
        <v>81</v>
      </c>
      <c r="AB241" s="3">
        <v>76</v>
      </c>
      <c r="AC241" s="3">
        <v>92</v>
      </c>
      <c r="AD241" s="3">
        <v>1</v>
      </c>
      <c r="AE241" s="3">
        <v>1</v>
      </c>
      <c r="AF241" s="3">
        <v>1</v>
      </c>
      <c r="AG241" s="3">
        <v>2</v>
      </c>
      <c r="AH241" s="3">
        <v>0</v>
      </c>
      <c r="AI241" s="3">
        <v>0</v>
      </c>
      <c r="AJ241" s="3">
        <v>0</v>
      </c>
      <c r="AK241" s="3">
        <v>1</v>
      </c>
      <c r="AL241" s="3">
        <v>1</v>
      </c>
      <c r="AM241" s="3">
        <v>2</v>
      </c>
      <c r="AN241" s="3">
        <v>0</v>
      </c>
      <c r="AO241" s="3">
        <v>0</v>
      </c>
      <c r="AP241" s="3">
        <v>0</v>
      </c>
      <c r="AQ241" s="3">
        <v>0</v>
      </c>
      <c r="AR241" s="2" t="s">
        <v>63</v>
      </c>
      <c r="AS241" s="2" t="s">
        <v>63</v>
      </c>
      <c r="AU241" s="5" t="str">
        <f>HYPERLINK("https://creighton-primo.hosted.exlibrisgroup.com/primo-explore/search?tab=default_tab&amp;search_scope=EVERYTHING&amp;vid=01CRU&amp;lang=en_US&amp;offset=0&amp;query=any,contains,991003753919702656","Catalog Record")</f>
        <v>Catalog Record</v>
      </c>
      <c r="AV241" s="5" t="str">
        <f>HYPERLINK("http://www.worldcat.org/oclc/1432951","WorldCat Record")</f>
        <v>WorldCat Record</v>
      </c>
      <c r="AW241" s="2" t="s">
        <v>3349</v>
      </c>
      <c r="AX241" s="2" t="s">
        <v>3350</v>
      </c>
      <c r="AY241" s="2" t="s">
        <v>3351</v>
      </c>
      <c r="AZ241" s="2" t="s">
        <v>3351</v>
      </c>
      <c r="BA241" s="2" t="s">
        <v>3352</v>
      </c>
      <c r="BB241" s="2" t="s">
        <v>79</v>
      </c>
      <c r="BE241" s="2" t="s">
        <v>3353</v>
      </c>
      <c r="BF241" s="2" t="s">
        <v>3354</v>
      </c>
    </row>
    <row r="242" spans="1:58" ht="39.75" customHeight="1">
      <c r="A242" s="1"/>
      <c r="B242" s="1" t="s">
        <v>58</v>
      </c>
      <c r="C242" s="1" t="s">
        <v>59</v>
      </c>
      <c r="D242" s="1" t="s">
        <v>3355</v>
      </c>
      <c r="E242" s="1" t="s">
        <v>3356</v>
      </c>
      <c r="F242" s="1" t="s">
        <v>3357</v>
      </c>
      <c r="H242" s="2" t="s">
        <v>63</v>
      </c>
      <c r="I242" s="2" t="s">
        <v>64</v>
      </c>
      <c r="J242" s="2" t="s">
        <v>63</v>
      </c>
      <c r="K242" s="2" t="s">
        <v>63</v>
      </c>
      <c r="L242" s="2" t="s">
        <v>65</v>
      </c>
      <c r="N242" s="1" t="s">
        <v>3358</v>
      </c>
      <c r="O242" s="2" t="s">
        <v>209</v>
      </c>
      <c r="Q242" s="2" t="s">
        <v>68</v>
      </c>
      <c r="R242" s="2" t="s">
        <v>106</v>
      </c>
      <c r="S242" s="1" t="s">
        <v>3359</v>
      </c>
      <c r="T242" s="2" t="s">
        <v>71</v>
      </c>
      <c r="U242" s="3">
        <v>6</v>
      </c>
      <c r="V242" s="3">
        <v>6</v>
      </c>
      <c r="W242" s="4" t="s">
        <v>3360</v>
      </c>
      <c r="X242" s="4" t="s">
        <v>3360</v>
      </c>
      <c r="Y242" s="4" t="s">
        <v>3361</v>
      </c>
      <c r="Z242" s="4" t="s">
        <v>3361</v>
      </c>
      <c r="AA242" s="3">
        <v>533</v>
      </c>
      <c r="AB242" s="3">
        <v>381</v>
      </c>
      <c r="AC242" s="3">
        <v>385</v>
      </c>
      <c r="AD242" s="3">
        <v>1</v>
      </c>
      <c r="AE242" s="3">
        <v>1</v>
      </c>
      <c r="AF242" s="3">
        <v>11</v>
      </c>
      <c r="AG242" s="3">
        <v>11</v>
      </c>
      <c r="AH242" s="3">
        <v>5</v>
      </c>
      <c r="AI242" s="3">
        <v>5</v>
      </c>
      <c r="AJ242" s="3">
        <v>2</v>
      </c>
      <c r="AK242" s="3">
        <v>2</v>
      </c>
      <c r="AL242" s="3">
        <v>7</v>
      </c>
      <c r="AM242" s="3">
        <v>7</v>
      </c>
      <c r="AN242" s="3">
        <v>0</v>
      </c>
      <c r="AO242" s="3">
        <v>0</v>
      </c>
      <c r="AP242" s="3">
        <v>0</v>
      </c>
      <c r="AQ242" s="3">
        <v>0</v>
      </c>
      <c r="AR242" s="2" t="s">
        <v>63</v>
      </c>
      <c r="AS242" s="2" t="s">
        <v>74</v>
      </c>
      <c r="AT242" s="5" t="str">
        <f>HYPERLINK("http://catalog.hathitrust.org/Record/000610542","HathiTrust Record")</f>
        <v>HathiTrust Record</v>
      </c>
      <c r="AU242" s="5" t="str">
        <f>HYPERLINK("https://creighton-primo.hosted.exlibrisgroup.com/primo-explore/search?tab=default_tab&amp;search_scope=EVERYTHING&amp;vid=01CRU&amp;lang=en_US&amp;offset=0&amp;query=any,contains,991000498199702656","Catalog Record")</f>
        <v>Catalog Record</v>
      </c>
      <c r="AV242" s="5" t="str">
        <f>HYPERLINK("http://www.worldcat.org/oclc/11158791","WorldCat Record")</f>
        <v>WorldCat Record</v>
      </c>
      <c r="AW242" s="2" t="s">
        <v>3362</v>
      </c>
      <c r="AX242" s="2" t="s">
        <v>3363</v>
      </c>
      <c r="AY242" s="2" t="s">
        <v>3364</v>
      </c>
      <c r="AZ242" s="2" t="s">
        <v>3364</v>
      </c>
      <c r="BA242" s="2" t="s">
        <v>3365</v>
      </c>
      <c r="BB242" s="2" t="s">
        <v>79</v>
      </c>
      <c r="BD242" s="2" t="s">
        <v>3366</v>
      </c>
      <c r="BE242" s="2" t="s">
        <v>3367</v>
      </c>
      <c r="BF242" s="2" t="s">
        <v>3368</v>
      </c>
    </row>
    <row r="243" spans="1:58" ht="39.75" customHeight="1">
      <c r="A243" s="1"/>
      <c r="B243" s="1" t="s">
        <v>58</v>
      </c>
      <c r="C243" s="1" t="s">
        <v>59</v>
      </c>
      <c r="D243" s="1" t="s">
        <v>3369</v>
      </c>
      <c r="E243" s="1" t="s">
        <v>3370</v>
      </c>
      <c r="F243" s="1" t="s">
        <v>3371</v>
      </c>
      <c r="H243" s="2" t="s">
        <v>63</v>
      </c>
      <c r="I243" s="2" t="s">
        <v>64</v>
      </c>
      <c r="J243" s="2" t="s">
        <v>63</v>
      </c>
      <c r="K243" s="2" t="s">
        <v>63</v>
      </c>
      <c r="L243" s="2" t="s">
        <v>65</v>
      </c>
      <c r="M243" s="1" t="s">
        <v>3372</v>
      </c>
      <c r="N243" s="1" t="s">
        <v>3373</v>
      </c>
      <c r="O243" s="2" t="s">
        <v>314</v>
      </c>
      <c r="P243" s="1" t="s">
        <v>3374</v>
      </c>
      <c r="Q243" s="2" t="s">
        <v>68</v>
      </c>
      <c r="R243" s="2" t="s">
        <v>106</v>
      </c>
      <c r="T243" s="2" t="s">
        <v>71</v>
      </c>
      <c r="U243" s="3">
        <v>2</v>
      </c>
      <c r="V243" s="3">
        <v>2</v>
      </c>
      <c r="W243" s="4" t="s">
        <v>3375</v>
      </c>
      <c r="X243" s="4" t="s">
        <v>3375</v>
      </c>
      <c r="Y243" s="4" t="s">
        <v>2061</v>
      </c>
      <c r="Z243" s="4" t="s">
        <v>2061</v>
      </c>
      <c r="AA243" s="3">
        <v>175</v>
      </c>
      <c r="AB243" s="3">
        <v>153</v>
      </c>
      <c r="AC243" s="3">
        <v>173</v>
      </c>
      <c r="AD243" s="3">
        <v>2</v>
      </c>
      <c r="AE243" s="3">
        <v>2</v>
      </c>
      <c r="AF243" s="3">
        <v>2</v>
      </c>
      <c r="AG243" s="3">
        <v>2</v>
      </c>
      <c r="AH243" s="3">
        <v>0</v>
      </c>
      <c r="AI243" s="3">
        <v>0</v>
      </c>
      <c r="AJ243" s="3">
        <v>0</v>
      </c>
      <c r="AK243" s="3">
        <v>0</v>
      </c>
      <c r="AL243" s="3">
        <v>1</v>
      </c>
      <c r="AM243" s="3">
        <v>1</v>
      </c>
      <c r="AN243" s="3">
        <v>1</v>
      </c>
      <c r="AO243" s="3">
        <v>1</v>
      </c>
      <c r="AP243" s="3">
        <v>0</v>
      </c>
      <c r="AQ243" s="3">
        <v>0</v>
      </c>
      <c r="AR243" s="2" t="s">
        <v>63</v>
      </c>
      <c r="AS243" s="2" t="s">
        <v>74</v>
      </c>
      <c r="AT243" s="5" t="str">
        <f>HYPERLINK("http://catalog.hathitrust.org/Record/012284940","HathiTrust Record")</f>
        <v>HathiTrust Record</v>
      </c>
      <c r="AU243" s="5" t="str">
        <f>HYPERLINK("https://creighton-primo.hosted.exlibrisgroup.com/primo-explore/search?tab=default_tab&amp;search_scope=EVERYTHING&amp;vid=01CRU&amp;lang=en_US&amp;offset=0&amp;query=any,contains,991004307909702656","Catalog Record")</f>
        <v>Catalog Record</v>
      </c>
      <c r="AV243" s="5" t="str">
        <f>HYPERLINK("http://www.worldcat.org/oclc/2984657","WorldCat Record")</f>
        <v>WorldCat Record</v>
      </c>
      <c r="AW243" s="2" t="s">
        <v>3376</v>
      </c>
      <c r="AX243" s="2" t="s">
        <v>3377</v>
      </c>
      <c r="AY243" s="2" t="s">
        <v>3378</v>
      </c>
      <c r="AZ243" s="2" t="s">
        <v>3378</v>
      </c>
      <c r="BA243" s="2" t="s">
        <v>3379</v>
      </c>
      <c r="BB243" s="2" t="s">
        <v>79</v>
      </c>
      <c r="BD243" s="2" t="s">
        <v>3380</v>
      </c>
      <c r="BE243" s="2" t="s">
        <v>3381</v>
      </c>
      <c r="BF243" s="2" t="s">
        <v>3382</v>
      </c>
    </row>
    <row r="244" spans="1:58" ht="39.75" customHeight="1">
      <c r="A244" s="1"/>
      <c r="B244" s="1" t="s">
        <v>58</v>
      </c>
      <c r="C244" s="1" t="s">
        <v>59</v>
      </c>
      <c r="D244" s="1" t="s">
        <v>3383</v>
      </c>
      <c r="E244" s="1" t="s">
        <v>3384</v>
      </c>
      <c r="F244" s="1" t="s">
        <v>3385</v>
      </c>
      <c r="H244" s="2" t="s">
        <v>63</v>
      </c>
      <c r="I244" s="2" t="s">
        <v>64</v>
      </c>
      <c r="J244" s="2" t="s">
        <v>63</v>
      </c>
      <c r="K244" s="2" t="s">
        <v>63</v>
      </c>
      <c r="L244" s="2" t="s">
        <v>65</v>
      </c>
      <c r="M244" s="1" t="s">
        <v>3386</v>
      </c>
      <c r="N244" s="1" t="s">
        <v>3387</v>
      </c>
      <c r="O244" s="2" t="s">
        <v>499</v>
      </c>
      <c r="P244" s="1" t="s">
        <v>484</v>
      </c>
      <c r="Q244" s="2" t="s">
        <v>68</v>
      </c>
      <c r="R244" s="2" t="s">
        <v>500</v>
      </c>
      <c r="T244" s="2" t="s">
        <v>71</v>
      </c>
      <c r="U244" s="3">
        <v>13</v>
      </c>
      <c r="V244" s="3">
        <v>13</v>
      </c>
      <c r="W244" s="4" t="s">
        <v>3388</v>
      </c>
      <c r="X244" s="4" t="s">
        <v>3388</v>
      </c>
      <c r="Y244" s="4" t="s">
        <v>3389</v>
      </c>
      <c r="Z244" s="4" t="s">
        <v>3389</v>
      </c>
      <c r="AA244" s="3">
        <v>121</v>
      </c>
      <c r="AB244" s="3">
        <v>107</v>
      </c>
      <c r="AC244" s="3">
        <v>178</v>
      </c>
      <c r="AD244" s="3">
        <v>1</v>
      </c>
      <c r="AE244" s="3">
        <v>1</v>
      </c>
      <c r="AF244" s="3">
        <v>2</v>
      </c>
      <c r="AG244" s="3">
        <v>3</v>
      </c>
      <c r="AH244" s="3">
        <v>1</v>
      </c>
      <c r="AI244" s="3">
        <v>2</v>
      </c>
      <c r="AJ244" s="3">
        <v>1</v>
      </c>
      <c r="AK244" s="3">
        <v>1</v>
      </c>
      <c r="AL244" s="3">
        <v>1</v>
      </c>
      <c r="AM244" s="3">
        <v>2</v>
      </c>
      <c r="AN244" s="3">
        <v>0</v>
      </c>
      <c r="AO244" s="3">
        <v>0</v>
      </c>
      <c r="AP244" s="3">
        <v>0</v>
      </c>
      <c r="AQ244" s="3">
        <v>0</v>
      </c>
      <c r="AR244" s="2" t="s">
        <v>63</v>
      </c>
      <c r="AS244" s="2" t="s">
        <v>63</v>
      </c>
      <c r="AU244" s="5" t="str">
        <f>HYPERLINK("https://creighton-primo.hosted.exlibrisgroup.com/primo-explore/search?tab=default_tab&amp;search_scope=EVERYTHING&amp;vid=01CRU&amp;lang=en_US&amp;offset=0&amp;query=any,contains,991003600299702656","Catalog Record")</f>
        <v>Catalog Record</v>
      </c>
      <c r="AV244" s="5" t="str">
        <f>HYPERLINK("http://www.worldcat.org/oclc/1177238","WorldCat Record")</f>
        <v>WorldCat Record</v>
      </c>
      <c r="AW244" s="2" t="s">
        <v>3390</v>
      </c>
      <c r="AX244" s="2" t="s">
        <v>3391</v>
      </c>
      <c r="AY244" s="2" t="s">
        <v>3392</v>
      </c>
      <c r="AZ244" s="2" t="s">
        <v>3392</v>
      </c>
      <c r="BA244" s="2" t="s">
        <v>3393</v>
      </c>
      <c r="BB244" s="2" t="s">
        <v>79</v>
      </c>
      <c r="BD244" s="2" t="s">
        <v>3394</v>
      </c>
      <c r="BE244" s="2" t="s">
        <v>3395</v>
      </c>
      <c r="BF244" s="2" t="s">
        <v>3396</v>
      </c>
    </row>
    <row r="245" spans="1:58" ht="39.75" customHeight="1">
      <c r="A245" s="1"/>
      <c r="B245" s="1" t="s">
        <v>58</v>
      </c>
      <c r="C245" s="1" t="s">
        <v>59</v>
      </c>
      <c r="D245" s="1" t="s">
        <v>3397</v>
      </c>
      <c r="E245" s="1" t="s">
        <v>3398</v>
      </c>
      <c r="F245" s="1" t="s">
        <v>3399</v>
      </c>
      <c r="H245" s="2" t="s">
        <v>63</v>
      </c>
      <c r="I245" s="2" t="s">
        <v>64</v>
      </c>
      <c r="J245" s="2" t="s">
        <v>63</v>
      </c>
      <c r="K245" s="2" t="s">
        <v>63</v>
      </c>
      <c r="L245" s="2" t="s">
        <v>65</v>
      </c>
      <c r="M245" s="1" t="s">
        <v>3400</v>
      </c>
      <c r="N245" s="1" t="s">
        <v>3401</v>
      </c>
      <c r="O245" s="2" t="s">
        <v>121</v>
      </c>
      <c r="Q245" s="2" t="s">
        <v>68</v>
      </c>
      <c r="R245" s="2" t="s">
        <v>106</v>
      </c>
      <c r="T245" s="2" t="s">
        <v>71</v>
      </c>
      <c r="U245" s="3">
        <v>5</v>
      </c>
      <c r="V245" s="3">
        <v>5</v>
      </c>
      <c r="W245" s="4" t="s">
        <v>3402</v>
      </c>
      <c r="X245" s="4" t="s">
        <v>3402</v>
      </c>
      <c r="Y245" s="4" t="s">
        <v>123</v>
      </c>
      <c r="Z245" s="4" t="s">
        <v>123</v>
      </c>
      <c r="AA245" s="3">
        <v>168</v>
      </c>
      <c r="AB245" s="3">
        <v>159</v>
      </c>
      <c r="AC245" s="3">
        <v>159</v>
      </c>
      <c r="AD245" s="3">
        <v>3</v>
      </c>
      <c r="AE245" s="3">
        <v>3</v>
      </c>
      <c r="AF245" s="3">
        <v>4</v>
      </c>
      <c r="AG245" s="3">
        <v>4</v>
      </c>
      <c r="AH245" s="3">
        <v>2</v>
      </c>
      <c r="AI245" s="3">
        <v>2</v>
      </c>
      <c r="AJ245" s="3">
        <v>0</v>
      </c>
      <c r="AK245" s="3">
        <v>0</v>
      </c>
      <c r="AL245" s="3">
        <v>2</v>
      </c>
      <c r="AM245" s="3">
        <v>2</v>
      </c>
      <c r="AN245" s="3">
        <v>2</v>
      </c>
      <c r="AO245" s="3">
        <v>2</v>
      </c>
      <c r="AP245" s="3">
        <v>0</v>
      </c>
      <c r="AQ245" s="3">
        <v>0</v>
      </c>
      <c r="AR245" s="2" t="s">
        <v>63</v>
      </c>
      <c r="AS245" s="2" t="s">
        <v>63</v>
      </c>
      <c r="AU245" s="5" t="str">
        <f>HYPERLINK("https://creighton-primo.hosted.exlibrisgroup.com/primo-explore/search?tab=default_tab&amp;search_scope=EVERYTHING&amp;vid=01CRU&amp;lang=en_US&amp;offset=0&amp;query=any,contains,991004500049702656","Catalog Record")</f>
        <v>Catalog Record</v>
      </c>
      <c r="AV245" s="5" t="str">
        <f>HYPERLINK("http://www.worldcat.org/oclc/3711045","WorldCat Record")</f>
        <v>WorldCat Record</v>
      </c>
      <c r="AW245" s="2" t="s">
        <v>3403</v>
      </c>
      <c r="AX245" s="2" t="s">
        <v>3404</v>
      </c>
      <c r="AY245" s="2" t="s">
        <v>3405</v>
      </c>
      <c r="AZ245" s="2" t="s">
        <v>3405</v>
      </c>
      <c r="BA245" s="2" t="s">
        <v>3406</v>
      </c>
      <c r="BB245" s="2" t="s">
        <v>79</v>
      </c>
      <c r="BD245" s="2" t="s">
        <v>3407</v>
      </c>
      <c r="BE245" s="2" t="s">
        <v>3408</v>
      </c>
      <c r="BF245" s="2" t="s">
        <v>3409</v>
      </c>
    </row>
    <row r="246" spans="1:58" ht="39.75" customHeight="1">
      <c r="A246" s="1"/>
      <c r="B246" s="1" t="s">
        <v>58</v>
      </c>
      <c r="C246" s="1" t="s">
        <v>59</v>
      </c>
      <c r="D246" s="1" t="s">
        <v>3410</v>
      </c>
      <c r="E246" s="1" t="s">
        <v>3411</v>
      </c>
      <c r="F246" s="1" t="s">
        <v>3412</v>
      </c>
      <c r="H246" s="2" t="s">
        <v>63</v>
      </c>
      <c r="I246" s="2" t="s">
        <v>64</v>
      </c>
      <c r="J246" s="2" t="s">
        <v>63</v>
      </c>
      <c r="K246" s="2" t="s">
        <v>63</v>
      </c>
      <c r="L246" s="2" t="s">
        <v>65</v>
      </c>
      <c r="M246" s="1" t="s">
        <v>3413</v>
      </c>
      <c r="N246" s="1" t="s">
        <v>3414</v>
      </c>
      <c r="O246" s="2" t="s">
        <v>121</v>
      </c>
      <c r="Q246" s="2" t="s">
        <v>68</v>
      </c>
      <c r="R246" s="2" t="s">
        <v>106</v>
      </c>
      <c r="T246" s="2" t="s">
        <v>71</v>
      </c>
      <c r="U246" s="3">
        <v>1</v>
      </c>
      <c r="V246" s="3">
        <v>1</v>
      </c>
      <c r="W246" s="4" t="s">
        <v>3415</v>
      </c>
      <c r="X246" s="4" t="s">
        <v>3415</v>
      </c>
      <c r="Y246" s="4" t="s">
        <v>3415</v>
      </c>
      <c r="Z246" s="4" t="s">
        <v>3415</v>
      </c>
      <c r="AA246" s="3">
        <v>263</v>
      </c>
      <c r="AB246" s="3">
        <v>254</v>
      </c>
      <c r="AC246" s="3">
        <v>283</v>
      </c>
      <c r="AD246" s="3">
        <v>2</v>
      </c>
      <c r="AE246" s="3">
        <v>2</v>
      </c>
      <c r="AF246" s="3">
        <v>0</v>
      </c>
      <c r="AG246" s="3">
        <v>0</v>
      </c>
      <c r="AH246" s="3">
        <v>0</v>
      </c>
      <c r="AI246" s="3">
        <v>0</v>
      </c>
      <c r="AJ246" s="3">
        <v>0</v>
      </c>
      <c r="AK246" s="3">
        <v>0</v>
      </c>
      <c r="AL246" s="3">
        <v>0</v>
      </c>
      <c r="AM246" s="3">
        <v>0</v>
      </c>
      <c r="AN246" s="3">
        <v>0</v>
      </c>
      <c r="AO246" s="3">
        <v>0</v>
      </c>
      <c r="AP246" s="3">
        <v>0</v>
      </c>
      <c r="AQ246" s="3">
        <v>0</v>
      </c>
      <c r="AR246" s="2" t="s">
        <v>63</v>
      </c>
      <c r="AS246" s="2" t="s">
        <v>74</v>
      </c>
      <c r="AT246" s="5" t="str">
        <f>HYPERLINK("http://catalog.hathitrust.org/Record/012275758","HathiTrust Record")</f>
        <v>HathiTrust Record</v>
      </c>
      <c r="AU246" s="5" t="str">
        <f>HYPERLINK("https://creighton-primo.hosted.exlibrisgroup.com/primo-explore/search?tab=default_tab&amp;search_scope=EVERYTHING&amp;vid=01CRU&amp;lang=en_US&amp;offset=0&amp;query=any,contains,991003958569702656","Catalog Record")</f>
        <v>Catalog Record</v>
      </c>
      <c r="AV246" s="5" t="str">
        <f>HYPERLINK("http://www.worldcat.org/oclc/3845127","WorldCat Record")</f>
        <v>WorldCat Record</v>
      </c>
      <c r="AW246" s="2" t="s">
        <v>3416</v>
      </c>
      <c r="AX246" s="2" t="s">
        <v>3417</v>
      </c>
      <c r="AY246" s="2" t="s">
        <v>3418</v>
      </c>
      <c r="AZ246" s="2" t="s">
        <v>3418</v>
      </c>
      <c r="BA246" s="2" t="s">
        <v>3419</v>
      </c>
      <c r="BB246" s="2" t="s">
        <v>79</v>
      </c>
      <c r="BD246" s="2" t="s">
        <v>3420</v>
      </c>
      <c r="BE246" s="2" t="s">
        <v>3421</v>
      </c>
      <c r="BF246" s="2" t="s">
        <v>3422</v>
      </c>
    </row>
    <row r="247" spans="1:58" ht="39.75" customHeight="1">
      <c r="A247" s="1"/>
      <c r="B247" s="1" t="s">
        <v>58</v>
      </c>
      <c r="C247" s="1" t="s">
        <v>59</v>
      </c>
      <c r="D247" s="1" t="s">
        <v>3423</v>
      </c>
      <c r="E247" s="1" t="s">
        <v>3424</v>
      </c>
      <c r="F247" s="1" t="s">
        <v>3425</v>
      </c>
      <c r="H247" s="2" t="s">
        <v>63</v>
      </c>
      <c r="I247" s="2" t="s">
        <v>64</v>
      </c>
      <c r="J247" s="2" t="s">
        <v>63</v>
      </c>
      <c r="K247" s="2" t="s">
        <v>63</v>
      </c>
      <c r="L247" s="2" t="s">
        <v>65</v>
      </c>
      <c r="M247" s="1" t="s">
        <v>3426</v>
      </c>
      <c r="N247" s="1" t="s">
        <v>3427</v>
      </c>
      <c r="O247" s="2" t="s">
        <v>136</v>
      </c>
      <c r="Q247" s="2" t="s">
        <v>68</v>
      </c>
      <c r="R247" s="2" t="s">
        <v>106</v>
      </c>
      <c r="T247" s="2" t="s">
        <v>71</v>
      </c>
      <c r="U247" s="3">
        <v>3</v>
      </c>
      <c r="V247" s="3">
        <v>3</v>
      </c>
      <c r="W247" s="4" t="s">
        <v>3428</v>
      </c>
      <c r="X247" s="4" t="s">
        <v>3428</v>
      </c>
      <c r="Y247" s="4" t="s">
        <v>3146</v>
      </c>
      <c r="Z247" s="4" t="s">
        <v>3146</v>
      </c>
      <c r="AA247" s="3">
        <v>400</v>
      </c>
      <c r="AB247" s="3">
        <v>375</v>
      </c>
      <c r="AC247" s="3">
        <v>428</v>
      </c>
      <c r="AD247" s="3">
        <v>3</v>
      </c>
      <c r="AE247" s="3">
        <v>4</v>
      </c>
      <c r="AF247" s="3">
        <v>2</v>
      </c>
      <c r="AG247" s="3">
        <v>2</v>
      </c>
      <c r="AH247" s="3">
        <v>1</v>
      </c>
      <c r="AI247" s="3">
        <v>1</v>
      </c>
      <c r="AJ247" s="3">
        <v>0</v>
      </c>
      <c r="AK247" s="3">
        <v>0</v>
      </c>
      <c r="AL247" s="3">
        <v>0</v>
      </c>
      <c r="AM247" s="3">
        <v>0</v>
      </c>
      <c r="AN247" s="3">
        <v>1</v>
      </c>
      <c r="AO247" s="3">
        <v>1</v>
      </c>
      <c r="AP247" s="3">
        <v>0</v>
      </c>
      <c r="AQ247" s="3">
        <v>0</v>
      </c>
      <c r="AR247" s="2" t="s">
        <v>63</v>
      </c>
      <c r="AS247" s="2" t="s">
        <v>63</v>
      </c>
      <c r="AU247" s="5" t="str">
        <f>HYPERLINK("https://creighton-primo.hosted.exlibrisgroup.com/primo-explore/search?tab=default_tab&amp;search_scope=EVERYTHING&amp;vid=01CRU&amp;lang=en_US&amp;offset=0&amp;query=any,contains,991005235759702656","Catalog Record")</f>
        <v>Catalog Record</v>
      </c>
      <c r="AV247" s="5" t="str">
        <f>HYPERLINK("http://www.worldcat.org/oclc/8379362","WorldCat Record")</f>
        <v>WorldCat Record</v>
      </c>
      <c r="AW247" s="2" t="s">
        <v>3429</v>
      </c>
      <c r="AX247" s="2" t="s">
        <v>3430</v>
      </c>
      <c r="AY247" s="2" t="s">
        <v>3431</v>
      </c>
      <c r="AZ247" s="2" t="s">
        <v>3431</v>
      </c>
      <c r="BA247" s="2" t="s">
        <v>3432</v>
      </c>
      <c r="BB247" s="2" t="s">
        <v>79</v>
      </c>
      <c r="BD247" s="2" t="s">
        <v>3433</v>
      </c>
      <c r="BE247" s="2" t="s">
        <v>3434</v>
      </c>
      <c r="BF247" s="2" t="s">
        <v>3435</v>
      </c>
    </row>
    <row r="248" spans="1:58" ht="39.75" customHeight="1">
      <c r="A248" s="1"/>
      <c r="B248" s="1" t="s">
        <v>58</v>
      </c>
      <c r="C248" s="1" t="s">
        <v>59</v>
      </c>
      <c r="D248" s="1" t="s">
        <v>3436</v>
      </c>
      <c r="E248" s="1" t="s">
        <v>3437</v>
      </c>
      <c r="F248" s="1" t="s">
        <v>3438</v>
      </c>
      <c r="H248" s="2" t="s">
        <v>63</v>
      </c>
      <c r="I248" s="2" t="s">
        <v>64</v>
      </c>
      <c r="J248" s="2" t="s">
        <v>63</v>
      </c>
      <c r="K248" s="2" t="s">
        <v>63</v>
      </c>
      <c r="L248" s="2" t="s">
        <v>65</v>
      </c>
      <c r="M248" s="1" t="s">
        <v>3439</v>
      </c>
      <c r="N248" s="1" t="s">
        <v>3440</v>
      </c>
      <c r="O248" s="2" t="s">
        <v>3441</v>
      </c>
      <c r="P248" s="1" t="s">
        <v>871</v>
      </c>
      <c r="Q248" s="2" t="s">
        <v>68</v>
      </c>
      <c r="R248" s="2" t="s">
        <v>106</v>
      </c>
      <c r="T248" s="2" t="s">
        <v>71</v>
      </c>
      <c r="U248" s="3">
        <v>3</v>
      </c>
      <c r="V248" s="3">
        <v>3</v>
      </c>
      <c r="W248" s="4" t="s">
        <v>3375</v>
      </c>
      <c r="X248" s="4" t="s">
        <v>3375</v>
      </c>
      <c r="Y248" s="4" t="s">
        <v>1328</v>
      </c>
      <c r="Z248" s="4" t="s">
        <v>1328</v>
      </c>
      <c r="AA248" s="3">
        <v>214</v>
      </c>
      <c r="AB248" s="3">
        <v>207</v>
      </c>
      <c r="AC248" s="3">
        <v>222</v>
      </c>
      <c r="AD248" s="3">
        <v>1</v>
      </c>
      <c r="AE248" s="3">
        <v>1</v>
      </c>
      <c r="AF248" s="3">
        <v>0</v>
      </c>
      <c r="AG248" s="3">
        <v>0</v>
      </c>
      <c r="AH248" s="3">
        <v>0</v>
      </c>
      <c r="AI248" s="3">
        <v>0</v>
      </c>
      <c r="AJ248" s="3">
        <v>0</v>
      </c>
      <c r="AK248" s="3">
        <v>0</v>
      </c>
      <c r="AL248" s="3">
        <v>0</v>
      </c>
      <c r="AM248" s="3">
        <v>0</v>
      </c>
      <c r="AN248" s="3">
        <v>0</v>
      </c>
      <c r="AO248" s="3">
        <v>0</v>
      </c>
      <c r="AP248" s="3">
        <v>0</v>
      </c>
      <c r="AQ248" s="3">
        <v>0</v>
      </c>
      <c r="AR248" s="2" t="s">
        <v>63</v>
      </c>
      <c r="AS248" s="2" t="s">
        <v>63</v>
      </c>
      <c r="AU248" s="5" t="str">
        <f>HYPERLINK("https://creighton-primo.hosted.exlibrisgroup.com/primo-explore/search?tab=default_tab&amp;search_scope=EVERYTHING&amp;vid=01CRU&amp;lang=en_US&amp;offset=0&amp;query=any,contains,991000818079702656","Catalog Record")</f>
        <v>Catalog Record</v>
      </c>
      <c r="AV248" s="5" t="str">
        <f>HYPERLINK("http://www.worldcat.org/oclc/143543","WorldCat Record")</f>
        <v>WorldCat Record</v>
      </c>
      <c r="AW248" s="2" t="s">
        <v>3442</v>
      </c>
      <c r="AX248" s="2" t="s">
        <v>3443</v>
      </c>
      <c r="AY248" s="2" t="s">
        <v>3444</v>
      </c>
      <c r="AZ248" s="2" t="s">
        <v>3444</v>
      </c>
      <c r="BA248" s="2" t="s">
        <v>3445</v>
      </c>
      <c r="BB248" s="2" t="s">
        <v>79</v>
      </c>
      <c r="BD248" s="2" t="s">
        <v>3446</v>
      </c>
      <c r="BE248" s="2" t="s">
        <v>3447</v>
      </c>
      <c r="BF248" s="2" t="s">
        <v>3448</v>
      </c>
    </row>
    <row r="249" spans="1:58" ht="39.75" customHeight="1">
      <c r="A249" s="1"/>
      <c r="B249" s="1" t="s">
        <v>58</v>
      </c>
      <c r="C249" s="1" t="s">
        <v>59</v>
      </c>
      <c r="D249" s="1" t="s">
        <v>3449</v>
      </c>
      <c r="E249" s="1" t="s">
        <v>3450</v>
      </c>
      <c r="F249" s="1" t="s">
        <v>3451</v>
      </c>
      <c r="H249" s="2" t="s">
        <v>63</v>
      </c>
      <c r="I249" s="2" t="s">
        <v>64</v>
      </c>
      <c r="J249" s="2" t="s">
        <v>63</v>
      </c>
      <c r="K249" s="2" t="s">
        <v>63</v>
      </c>
      <c r="L249" s="2" t="s">
        <v>65</v>
      </c>
      <c r="M249" s="1" t="s">
        <v>3452</v>
      </c>
      <c r="N249" s="1" t="s">
        <v>3453</v>
      </c>
      <c r="O249" s="2" t="s">
        <v>314</v>
      </c>
      <c r="Q249" s="2" t="s">
        <v>68</v>
      </c>
      <c r="R249" s="2" t="s">
        <v>106</v>
      </c>
      <c r="S249" s="1" t="s">
        <v>3454</v>
      </c>
      <c r="T249" s="2" t="s">
        <v>71</v>
      </c>
      <c r="U249" s="3">
        <v>2</v>
      </c>
      <c r="V249" s="3">
        <v>2</v>
      </c>
      <c r="W249" s="4" t="s">
        <v>3455</v>
      </c>
      <c r="X249" s="4" t="s">
        <v>3455</v>
      </c>
      <c r="Y249" s="4" t="s">
        <v>333</v>
      </c>
      <c r="Z249" s="4" t="s">
        <v>333</v>
      </c>
      <c r="AA249" s="3">
        <v>137</v>
      </c>
      <c r="AB249" s="3">
        <v>111</v>
      </c>
      <c r="AC249" s="3">
        <v>124</v>
      </c>
      <c r="AD249" s="3">
        <v>4</v>
      </c>
      <c r="AE249" s="3">
        <v>4</v>
      </c>
      <c r="AF249" s="3">
        <v>9</v>
      </c>
      <c r="AG249" s="3">
        <v>10</v>
      </c>
      <c r="AH249" s="3">
        <v>2</v>
      </c>
      <c r="AI249" s="3">
        <v>2</v>
      </c>
      <c r="AJ249" s="3">
        <v>1</v>
      </c>
      <c r="AK249" s="3">
        <v>2</v>
      </c>
      <c r="AL249" s="3">
        <v>5</v>
      </c>
      <c r="AM249" s="3">
        <v>6</v>
      </c>
      <c r="AN249" s="3">
        <v>3</v>
      </c>
      <c r="AO249" s="3">
        <v>3</v>
      </c>
      <c r="AP249" s="3">
        <v>0</v>
      </c>
      <c r="AQ249" s="3">
        <v>0</v>
      </c>
      <c r="AR249" s="2" t="s">
        <v>63</v>
      </c>
      <c r="AS249" s="2" t="s">
        <v>63</v>
      </c>
      <c r="AU249" s="5" t="str">
        <f>HYPERLINK("https://creighton-primo.hosted.exlibrisgroup.com/primo-explore/search?tab=default_tab&amp;search_scope=EVERYTHING&amp;vid=01CRU&amp;lang=en_US&amp;offset=0&amp;query=any,contains,991004365769702656","Catalog Record")</f>
        <v>Catalog Record</v>
      </c>
      <c r="AV249" s="5" t="str">
        <f>HYPERLINK("http://www.worldcat.org/oclc/3169440","WorldCat Record")</f>
        <v>WorldCat Record</v>
      </c>
      <c r="AW249" s="2" t="s">
        <v>3456</v>
      </c>
      <c r="AX249" s="2" t="s">
        <v>3457</v>
      </c>
      <c r="AY249" s="2" t="s">
        <v>3458</v>
      </c>
      <c r="AZ249" s="2" t="s">
        <v>3458</v>
      </c>
      <c r="BA249" s="2" t="s">
        <v>3459</v>
      </c>
      <c r="BB249" s="2" t="s">
        <v>79</v>
      </c>
      <c r="BD249" s="2" t="s">
        <v>3460</v>
      </c>
      <c r="BE249" s="2" t="s">
        <v>3461</v>
      </c>
      <c r="BF249" s="2" t="s">
        <v>3462</v>
      </c>
    </row>
    <row r="250" spans="1:58" ht="39.75" customHeight="1">
      <c r="A250" s="1"/>
      <c r="B250" s="1" t="s">
        <v>58</v>
      </c>
      <c r="C250" s="1" t="s">
        <v>59</v>
      </c>
      <c r="D250" s="1" t="s">
        <v>3463</v>
      </c>
      <c r="E250" s="1" t="s">
        <v>3464</v>
      </c>
      <c r="F250" s="1" t="s">
        <v>3465</v>
      </c>
      <c r="H250" s="2" t="s">
        <v>63</v>
      </c>
      <c r="I250" s="2" t="s">
        <v>64</v>
      </c>
      <c r="J250" s="2" t="s">
        <v>63</v>
      </c>
      <c r="K250" s="2" t="s">
        <v>63</v>
      </c>
      <c r="L250" s="2" t="s">
        <v>65</v>
      </c>
      <c r="M250" s="1" t="s">
        <v>3466</v>
      </c>
      <c r="N250" s="1" t="s">
        <v>3467</v>
      </c>
      <c r="O250" s="2" t="s">
        <v>151</v>
      </c>
      <c r="Q250" s="2" t="s">
        <v>68</v>
      </c>
      <c r="R250" s="2" t="s">
        <v>2034</v>
      </c>
      <c r="T250" s="2" t="s">
        <v>71</v>
      </c>
      <c r="U250" s="3">
        <v>16</v>
      </c>
      <c r="V250" s="3">
        <v>16</v>
      </c>
      <c r="W250" s="4" t="s">
        <v>3468</v>
      </c>
      <c r="X250" s="4" t="s">
        <v>3468</v>
      </c>
      <c r="Y250" s="4" t="s">
        <v>3469</v>
      </c>
      <c r="Z250" s="4" t="s">
        <v>3469</v>
      </c>
      <c r="AA250" s="3">
        <v>86</v>
      </c>
      <c r="AB250" s="3">
        <v>80</v>
      </c>
      <c r="AC250" s="3">
        <v>80</v>
      </c>
      <c r="AD250" s="3">
        <v>1</v>
      </c>
      <c r="AE250" s="3">
        <v>1</v>
      </c>
      <c r="AF250" s="3">
        <v>0</v>
      </c>
      <c r="AG250" s="3">
        <v>0</v>
      </c>
      <c r="AH250" s="3">
        <v>0</v>
      </c>
      <c r="AI250" s="3">
        <v>0</v>
      </c>
      <c r="AJ250" s="3">
        <v>0</v>
      </c>
      <c r="AK250" s="3">
        <v>0</v>
      </c>
      <c r="AL250" s="3">
        <v>0</v>
      </c>
      <c r="AM250" s="3">
        <v>0</v>
      </c>
      <c r="AN250" s="3">
        <v>0</v>
      </c>
      <c r="AO250" s="3">
        <v>0</v>
      </c>
      <c r="AP250" s="3">
        <v>0</v>
      </c>
      <c r="AQ250" s="3">
        <v>0</v>
      </c>
      <c r="AR250" s="2" t="s">
        <v>63</v>
      </c>
      <c r="AS250" s="2" t="s">
        <v>63</v>
      </c>
      <c r="AU250" s="5" t="str">
        <f>HYPERLINK("https://creighton-primo.hosted.exlibrisgroup.com/primo-explore/search?tab=default_tab&amp;search_scope=EVERYTHING&amp;vid=01CRU&amp;lang=en_US&amp;offset=0&amp;query=any,contains,991000661969702656","Catalog Record")</f>
        <v>Catalog Record</v>
      </c>
      <c r="AV250" s="5" t="str">
        <f>HYPERLINK("http://www.worldcat.org/oclc/12254863","WorldCat Record")</f>
        <v>WorldCat Record</v>
      </c>
      <c r="AW250" s="2" t="s">
        <v>3470</v>
      </c>
      <c r="AX250" s="2" t="s">
        <v>3471</v>
      </c>
      <c r="AY250" s="2" t="s">
        <v>3472</v>
      </c>
      <c r="AZ250" s="2" t="s">
        <v>3472</v>
      </c>
      <c r="BA250" s="2" t="s">
        <v>3473</v>
      </c>
      <c r="BB250" s="2" t="s">
        <v>79</v>
      </c>
      <c r="BD250" s="2" t="s">
        <v>3474</v>
      </c>
      <c r="BE250" s="2" t="s">
        <v>3475</v>
      </c>
      <c r="BF250" s="2" t="s">
        <v>3476</v>
      </c>
    </row>
    <row r="251" spans="1:58" ht="39.75" customHeight="1">
      <c r="A251" s="1"/>
      <c r="B251" s="1" t="s">
        <v>58</v>
      </c>
      <c r="C251" s="1" t="s">
        <v>59</v>
      </c>
      <c r="D251" s="1" t="s">
        <v>3477</v>
      </c>
      <c r="E251" s="1" t="s">
        <v>3478</v>
      </c>
      <c r="F251" s="1" t="s">
        <v>3479</v>
      </c>
      <c r="H251" s="2" t="s">
        <v>63</v>
      </c>
      <c r="I251" s="2" t="s">
        <v>64</v>
      </c>
      <c r="J251" s="2" t="s">
        <v>63</v>
      </c>
      <c r="K251" s="2" t="s">
        <v>63</v>
      </c>
      <c r="L251" s="2" t="s">
        <v>65</v>
      </c>
      <c r="M251" s="1" t="s">
        <v>3480</v>
      </c>
      <c r="N251" s="1" t="s">
        <v>3481</v>
      </c>
      <c r="O251" s="2" t="s">
        <v>166</v>
      </c>
      <c r="Q251" s="2" t="s">
        <v>68</v>
      </c>
      <c r="R251" s="2" t="s">
        <v>799</v>
      </c>
      <c r="T251" s="2" t="s">
        <v>71</v>
      </c>
      <c r="U251" s="3">
        <v>11</v>
      </c>
      <c r="V251" s="3">
        <v>11</v>
      </c>
      <c r="W251" s="4" t="s">
        <v>953</v>
      </c>
      <c r="X251" s="4" t="s">
        <v>953</v>
      </c>
      <c r="Y251" s="4" t="s">
        <v>241</v>
      </c>
      <c r="Z251" s="4" t="s">
        <v>241</v>
      </c>
      <c r="AA251" s="3">
        <v>56</v>
      </c>
      <c r="AB251" s="3">
        <v>54</v>
      </c>
      <c r="AC251" s="3">
        <v>54</v>
      </c>
      <c r="AD251" s="3">
        <v>1</v>
      </c>
      <c r="AE251" s="3">
        <v>1</v>
      </c>
      <c r="AF251" s="3">
        <v>0</v>
      </c>
      <c r="AG251" s="3">
        <v>0</v>
      </c>
      <c r="AH251" s="3">
        <v>0</v>
      </c>
      <c r="AI251" s="3">
        <v>0</v>
      </c>
      <c r="AJ251" s="3">
        <v>0</v>
      </c>
      <c r="AK251" s="3">
        <v>0</v>
      </c>
      <c r="AL251" s="3">
        <v>0</v>
      </c>
      <c r="AM251" s="3">
        <v>0</v>
      </c>
      <c r="AN251" s="3">
        <v>0</v>
      </c>
      <c r="AO251" s="3">
        <v>0</v>
      </c>
      <c r="AP251" s="3">
        <v>0</v>
      </c>
      <c r="AQ251" s="3">
        <v>0</v>
      </c>
      <c r="AR251" s="2" t="s">
        <v>63</v>
      </c>
      <c r="AS251" s="2" t="s">
        <v>63</v>
      </c>
      <c r="AU251" s="5" t="str">
        <f>HYPERLINK("https://creighton-primo.hosted.exlibrisgroup.com/primo-explore/search?tab=default_tab&amp;search_scope=EVERYTHING&amp;vid=01CRU&amp;lang=en_US&amp;offset=0&amp;query=any,contains,991001253649702656","Catalog Record")</f>
        <v>Catalog Record</v>
      </c>
      <c r="AV251" s="5" t="str">
        <f>HYPERLINK("http://www.worldcat.org/oclc/17723355","WorldCat Record")</f>
        <v>WorldCat Record</v>
      </c>
      <c r="AW251" s="2" t="s">
        <v>3482</v>
      </c>
      <c r="AX251" s="2" t="s">
        <v>3483</v>
      </c>
      <c r="AY251" s="2" t="s">
        <v>3484</v>
      </c>
      <c r="AZ251" s="2" t="s">
        <v>3484</v>
      </c>
      <c r="BA251" s="2" t="s">
        <v>3485</v>
      </c>
      <c r="BB251" s="2" t="s">
        <v>79</v>
      </c>
      <c r="BD251" s="2" t="s">
        <v>3486</v>
      </c>
      <c r="BE251" s="2" t="s">
        <v>3487</v>
      </c>
      <c r="BF251" s="2" t="s">
        <v>3488</v>
      </c>
    </row>
    <row r="252" spans="1:58" ht="39.75" customHeight="1">
      <c r="A252" s="1"/>
      <c r="B252" s="1" t="s">
        <v>58</v>
      </c>
      <c r="C252" s="1" t="s">
        <v>59</v>
      </c>
      <c r="D252" s="1" t="s">
        <v>3489</v>
      </c>
      <c r="E252" s="1" t="s">
        <v>3490</v>
      </c>
      <c r="F252" s="1" t="s">
        <v>3491</v>
      </c>
      <c r="H252" s="2" t="s">
        <v>63</v>
      </c>
      <c r="I252" s="2" t="s">
        <v>64</v>
      </c>
      <c r="J252" s="2" t="s">
        <v>63</v>
      </c>
      <c r="K252" s="2" t="s">
        <v>63</v>
      </c>
      <c r="L252" s="2" t="s">
        <v>65</v>
      </c>
      <c r="M252" s="1" t="s">
        <v>3492</v>
      </c>
      <c r="N252" s="1" t="s">
        <v>3493</v>
      </c>
      <c r="O252" s="2" t="s">
        <v>105</v>
      </c>
      <c r="Q252" s="2" t="s">
        <v>68</v>
      </c>
      <c r="R252" s="2" t="s">
        <v>799</v>
      </c>
      <c r="T252" s="2" t="s">
        <v>71</v>
      </c>
      <c r="U252" s="3">
        <v>7</v>
      </c>
      <c r="V252" s="3">
        <v>7</v>
      </c>
      <c r="W252" s="4" t="s">
        <v>3494</v>
      </c>
      <c r="X252" s="4" t="s">
        <v>3494</v>
      </c>
      <c r="Y252" s="4" t="s">
        <v>3495</v>
      </c>
      <c r="Z252" s="4" t="s">
        <v>3495</v>
      </c>
      <c r="AA252" s="3">
        <v>11</v>
      </c>
      <c r="AB252" s="3">
        <v>6</v>
      </c>
      <c r="AC252" s="3">
        <v>7</v>
      </c>
      <c r="AD252" s="3">
        <v>1</v>
      </c>
      <c r="AE252" s="3">
        <v>1</v>
      </c>
      <c r="AF252" s="3">
        <v>0</v>
      </c>
      <c r="AG252" s="3">
        <v>0</v>
      </c>
      <c r="AH252" s="3">
        <v>0</v>
      </c>
      <c r="AI252" s="3">
        <v>0</v>
      </c>
      <c r="AJ252" s="3">
        <v>0</v>
      </c>
      <c r="AK252" s="3">
        <v>0</v>
      </c>
      <c r="AL252" s="3">
        <v>0</v>
      </c>
      <c r="AM252" s="3">
        <v>0</v>
      </c>
      <c r="AN252" s="3">
        <v>0</v>
      </c>
      <c r="AO252" s="3">
        <v>0</v>
      </c>
      <c r="AP252" s="3">
        <v>0</v>
      </c>
      <c r="AQ252" s="3">
        <v>0</v>
      </c>
      <c r="AR252" s="2" t="s">
        <v>63</v>
      </c>
      <c r="AS252" s="2" t="s">
        <v>74</v>
      </c>
      <c r="AT252" s="5" t="str">
        <f>HYPERLINK("http://catalog.hathitrust.org/Record/007062000","HathiTrust Record")</f>
        <v>HathiTrust Record</v>
      </c>
      <c r="AU252" s="5" t="str">
        <f>HYPERLINK("https://creighton-primo.hosted.exlibrisgroup.com/primo-explore/search?tab=default_tab&amp;search_scope=EVERYTHING&amp;vid=01CRU&amp;lang=en_US&amp;offset=0&amp;query=any,contains,991000962679702656","Catalog Record")</f>
        <v>Catalog Record</v>
      </c>
      <c r="AV252" s="5" t="str">
        <f>HYPERLINK("http://www.worldcat.org/oclc/14867855","WorldCat Record")</f>
        <v>WorldCat Record</v>
      </c>
      <c r="AW252" s="2" t="s">
        <v>3496</v>
      </c>
      <c r="AX252" s="2" t="s">
        <v>3497</v>
      </c>
      <c r="AY252" s="2" t="s">
        <v>3498</v>
      </c>
      <c r="AZ252" s="2" t="s">
        <v>3498</v>
      </c>
      <c r="BA252" s="2" t="s">
        <v>3499</v>
      </c>
      <c r="BB252" s="2" t="s">
        <v>79</v>
      </c>
      <c r="BD252" s="2" t="s">
        <v>3500</v>
      </c>
      <c r="BE252" s="2" t="s">
        <v>3501</v>
      </c>
      <c r="BF252" s="2" t="s">
        <v>3502</v>
      </c>
    </row>
    <row r="253" spans="1:58" ht="39.75" customHeight="1">
      <c r="A253" s="1"/>
      <c r="B253" s="1" t="s">
        <v>58</v>
      </c>
      <c r="C253" s="1" t="s">
        <v>59</v>
      </c>
      <c r="D253" s="1" t="s">
        <v>3503</v>
      </c>
      <c r="E253" s="1" t="s">
        <v>3504</v>
      </c>
      <c r="F253" s="1" t="s">
        <v>3505</v>
      </c>
      <c r="H253" s="2" t="s">
        <v>63</v>
      </c>
      <c r="I253" s="2" t="s">
        <v>64</v>
      </c>
      <c r="J253" s="2" t="s">
        <v>63</v>
      </c>
      <c r="K253" s="2" t="s">
        <v>63</v>
      </c>
      <c r="L253" s="2" t="s">
        <v>65</v>
      </c>
      <c r="M253" s="1" t="s">
        <v>3506</v>
      </c>
      <c r="N253" s="1" t="s">
        <v>3507</v>
      </c>
      <c r="O253" s="2" t="s">
        <v>441</v>
      </c>
      <c r="Q253" s="2" t="s">
        <v>68</v>
      </c>
      <c r="R253" s="2" t="s">
        <v>331</v>
      </c>
      <c r="T253" s="2" t="s">
        <v>71</v>
      </c>
      <c r="U253" s="3">
        <v>13</v>
      </c>
      <c r="V253" s="3">
        <v>13</v>
      </c>
      <c r="W253" s="4" t="s">
        <v>3508</v>
      </c>
      <c r="X253" s="4" t="s">
        <v>3508</v>
      </c>
      <c r="Y253" s="4" t="s">
        <v>3509</v>
      </c>
      <c r="Z253" s="4" t="s">
        <v>3509</v>
      </c>
      <c r="AA253" s="3">
        <v>170</v>
      </c>
      <c r="AB253" s="3">
        <v>140</v>
      </c>
      <c r="AC253" s="3">
        <v>143</v>
      </c>
      <c r="AD253" s="3">
        <v>2</v>
      </c>
      <c r="AE253" s="3">
        <v>2</v>
      </c>
      <c r="AF253" s="3">
        <v>2</v>
      </c>
      <c r="AG253" s="3">
        <v>2</v>
      </c>
      <c r="AH253" s="3">
        <v>1</v>
      </c>
      <c r="AI253" s="3">
        <v>1</v>
      </c>
      <c r="AJ253" s="3">
        <v>0</v>
      </c>
      <c r="AK253" s="3">
        <v>0</v>
      </c>
      <c r="AL253" s="3">
        <v>1</v>
      </c>
      <c r="AM253" s="3">
        <v>1</v>
      </c>
      <c r="AN253" s="3">
        <v>1</v>
      </c>
      <c r="AO253" s="3">
        <v>1</v>
      </c>
      <c r="AP253" s="3">
        <v>0</v>
      </c>
      <c r="AQ253" s="3">
        <v>0</v>
      </c>
      <c r="AR253" s="2" t="s">
        <v>63</v>
      </c>
      <c r="AS253" s="2" t="s">
        <v>74</v>
      </c>
      <c r="AT253" s="5" t="str">
        <f>HYPERLINK("http://catalog.hathitrust.org/Record/004489146","HathiTrust Record")</f>
        <v>HathiTrust Record</v>
      </c>
      <c r="AU253" s="5" t="str">
        <f>HYPERLINK("https://creighton-primo.hosted.exlibrisgroup.com/primo-explore/search?tab=default_tab&amp;search_scope=EVERYTHING&amp;vid=01CRU&amp;lang=en_US&amp;offset=0&amp;query=any,contains,991001743509702656","Catalog Record")</f>
        <v>Catalog Record</v>
      </c>
      <c r="AV253" s="5" t="str">
        <f>HYPERLINK("http://www.worldcat.org/oclc/22106429","WorldCat Record")</f>
        <v>WorldCat Record</v>
      </c>
      <c r="AW253" s="2" t="s">
        <v>3510</v>
      </c>
      <c r="AX253" s="2" t="s">
        <v>3511</v>
      </c>
      <c r="AY253" s="2" t="s">
        <v>3512</v>
      </c>
      <c r="AZ253" s="2" t="s">
        <v>3512</v>
      </c>
      <c r="BA253" s="2" t="s">
        <v>3513</v>
      </c>
      <c r="BB253" s="2" t="s">
        <v>79</v>
      </c>
      <c r="BD253" s="2" t="s">
        <v>3514</v>
      </c>
      <c r="BE253" s="2" t="s">
        <v>3515</v>
      </c>
      <c r="BF253" s="2" t="s">
        <v>3516</v>
      </c>
    </row>
    <row r="254" spans="1:58" ht="39.75" customHeight="1">
      <c r="A254" s="1"/>
      <c r="B254" s="1" t="s">
        <v>58</v>
      </c>
      <c r="C254" s="1" t="s">
        <v>59</v>
      </c>
      <c r="D254" s="1" t="s">
        <v>3517</v>
      </c>
      <c r="E254" s="1" t="s">
        <v>3518</v>
      </c>
      <c r="F254" s="1" t="s">
        <v>3519</v>
      </c>
      <c r="H254" s="2" t="s">
        <v>63</v>
      </c>
      <c r="I254" s="2" t="s">
        <v>64</v>
      </c>
      <c r="J254" s="2" t="s">
        <v>63</v>
      </c>
      <c r="K254" s="2" t="s">
        <v>63</v>
      </c>
      <c r="L254" s="2" t="s">
        <v>65</v>
      </c>
      <c r="M254" s="1" t="s">
        <v>3520</v>
      </c>
      <c r="N254" s="1" t="s">
        <v>3521</v>
      </c>
      <c r="O254" s="2" t="s">
        <v>105</v>
      </c>
      <c r="Q254" s="2" t="s">
        <v>68</v>
      </c>
      <c r="R254" s="2" t="s">
        <v>3522</v>
      </c>
      <c r="T254" s="2" t="s">
        <v>71</v>
      </c>
      <c r="U254" s="3">
        <v>16</v>
      </c>
      <c r="V254" s="3">
        <v>16</v>
      </c>
      <c r="W254" s="4" t="s">
        <v>3523</v>
      </c>
      <c r="X254" s="4" t="s">
        <v>3523</v>
      </c>
      <c r="Y254" s="4" t="s">
        <v>3524</v>
      </c>
      <c r="Z254" s="4" t="s">
        <v>3524</v>
      </c>
      <c r="AA254" s="3">
        <v>207</v>
      </c>
      <c r="AB254" s="3">
        <v>180</v>
      </c>
      <c r="AC254" s="3">
        <v>181</v>
      </c>
      <c r="AD254" s="3">
        <v>3</v>
      </c>
      <c r="AE254" s="3">
        <v>3</v>
      </c>
      <c r="AF254" s="3">
        <v>5</v>
      </c>
      <c r="AG254" s="3">
        <v>5</v>
      </c>
      <c r="AH254" s="3">
        <v>2</v>
      </c>
      <c r="AI254" s="3">
        <v>2</v>
      </c>
      <c r="AJ254" s="3">
        <v>0</v>
      </c>
      <c r="AK254" s="3">
        <v>0</v>
      </c>
      <c r="AL254" s="3">
        <v>1</v>
      </c>
      <c r="AM254" s="3">
        <v>1</v>
      </c>
      <c r="AN254" s="3">
        <v>2</v>
      </c>
      <c r="AO254" s="3">
        <v>2</v>
      </c>
      <c r="AP254" s="3">
        <v>0</v>
      </c>
      <c r="AQ254" s="3">
        <v>0</v>
      </c>
      <c r="AR254" s="2" t="s">
        <v>63</v>
      </c>
      <c r="AS254" s="2" t="s">
        <v>63</v>
      </c>
      <c r="AU254" s="5" t="str">
        <f>HYPERLINK("https://creighton-primo.hosted.exlibrisgroup.com/primo-explore/search?tab=default_tab&amp;search_scope=EVERYTHING&amp;vid=01CRU&amp;lang=en_US&amp;offset=0&amp;query=any,contains,991000962769702656","Catalog Record")</f>
        <v>Catalog Record</v>
      </c>
      <c r="AV254" s="5" t="str">
        <f>HYPERLINK("http://www.worldcat.org/oclc/14868177","WorldCat Record")</f>
        <v>WorldCat Record</v>
      </c>
      <c r="AW254" s="2" t="s">
        <v>3525</v>
      </c>
      <c r="AX254" s="2" t="s">
        <v>3526</v>
      </c>
      <c r="AY254" s="2" t="s">
        <v>3527</v>
      </c>
      <c r="AZ254" s="2" t="s">
        <v>3527</v>
      </c>
      <c r="BA254" s="2" t="s">
        <v>3528</v>
      </c>
      <c r="BB254" s="2" t="s">
        <v>79</v>
      </c>
      <c r="BD254" s="2" t="s">
        <v>3529</v>
      </c>
      <c r="BE254" s="2" t="s">
        <v>3530</v>
      </c>
      <c r="BF254" s="2" t="s">
        <v>3531</v>
      </c>
    </row>
    <row r="255" spans="1:58" ht="39.75" customHeight="1">
      <c r="A255" s="1"/>
      <c r="B255" s="1" t="s">
        <v>58</v>
      </c>
      <c r="C255" s="1" t="s">
        <v>59</v>
      </c>
      <c r="D255" s="1" t="s">
        <v>3532</v>
      </c>
      <c r="E255" s="1" t="s">
        <v>3533</v>
      </c>
      <c r="F255" s="1" t="s">
        <v>3534</v>
      </c>
      <c r="H255" s="2" t="s">
        <v>63</v>
      </c>
      <c r="I255" s="2" t="s">
        <v>64</v>
      </c>
      <c r="J255" s="2" t="s">
        <v>63</v>
      </c>
      <c r="K255" s="2" t="s">
        <v>63</v>
      </c>
      <c r="L255" s="2" t="s">
        <v>65</v>
      </c>
      <c r="M255" s="1" t="s">
        <v>3535</v>
      </c>
      <c r="N255" s="1" t="s">
        <v>3536</v>
      </c>
      <c r="O255" s="2" t="s">
        <v>1090</v>
      </c>
      <c r="Q255" s="2" t="s">
        <v>68</v>
      </c>
      <c r="R255" s="2" t="s">
        <v>500</v>
      </c>
      <c r="T255" s="2" t="s">
        <v>71</v>
      </c>
      <c r="U255" s="3">
        <v>7</v>
      </c>
      <c r="V255" s="3">
        <v>7</v>
      </c>
      <c r="W255" s="4" t="s">
        <v>3537</v>
      </c>
      <c r="X255" s="4" t="s">
        <v>3537</v>
      </c>
      <c r="Y255" s="4" t="s">
        <v>3146</v>
      </c>
      <c r="Z255" s="4" t="s">
        <v>3146</v>
      </c>
      <c r="AA255" s="3">
        <v>149</v>
      </c>
      <c r="AB255" s="3">
        <v>133</v>
      </c>
      <c r="AC255" s="3">
        <v>139</v>
      </c>
      <c r="AD255" s="3">
        <v>3</v>
      </c>
      <c r="AE255" s="3">
        <v>3</v>
      </c>
      <c r="AF255" s="3">
        <v>1</v>
      </c>
      <c r="AG255" s="3">
        <v>1</v>
      </c>
      <c r="AH255" s="3">
        <v>0</v>
      </c>
      <c r="AI255" s="3">
        <v>0</v>
      </c>
      <c r="AJ255" s="3">
        <v>0</v>
      </c>
      <c r="AK255" s="3">
        <v>0</v>
      </c>
      <c r="AL255" s="3">
        <v>0</v>
      </c>
      <c r="AM255" s="3">
        <v>0</v>
      </c>
      <c r="AN255" s="3">
        <v>1</v>
      </c>
      <c r="AO255" s="3">
        <v>1</v>
      </c>
      <c r="AP255" s="3">
        <v>0</v>
      </c>
      <c r="AQ255" s="3">
        <v>0</v>
      </c>
      <c r="AR255" s="2" t="s">
        <v>63</v>
      </c>
      <c r="AS255" s="2" t="s">
        <v>63</v>
      </c>
      <c r="AU255" s="5" t="str">
        <f>HYPERLINK("https://creighton-primo.hosted.exlibrisgroup.com/primo-explore/search?tab=default_tab&amp;search_scope=EVERYTHING&amp;vid=01CRU&amp;lang=en_US&amp;offset=0&amp;query=any,contains,991004651899702656","Catalog Record")</f>
        <v>Catalog Record</v>
      </c>
      <c r="AV255" s="5" t="str">
        <f>HYPERLINK("http://www.worldcat.org/oclc/4494292","WorldCat Record")</f>
        <v>WorldCat Record</v>
      </c>
      <c r="AW255" s="2" t="s">
        <v>3538</v>
      </c>
      <c r="AX255" s="2" t="s">
        <v>3539</v>
      </c>
      <c r="AY255" s="2" t="s">
        <v>3540</v>
      </c>
      <c r="AZ255" s="2" t="s">
        <v>3540</v>
      </c>
      <c r="BA255" s="2" t="s">
        <v>3541</v>
      </c>
      <c r="BB255" s="2" t="s">
        <v>79</v>
      </c>
      <c r="BD255" s="2" t="s">
        <v>3542</v>
      </c>
      <c r="BE255" s="2" t="s">
        <v>3543</v>
      </c>
      <c r="BF255" s="2" t="s">
        <v>3544</v>
      </c>
    </row>
    <row r="256" spans="1:58" ht="39.75" customHeight="1">
      <c r="A256" s="1"/>
      <c r="B256" s="1" t="s">
        <v>58</v>
      </c>
      <c r="C256" s="1" t="s">
        <v>59</v>
      </c>
      <c r="D256" s="1" t="s">
        <v>3545</v>
      </c>
      <c r="E256" s="1" t="s">
        <v>3546</v>
      </c>
      <c r="F256" s="1" t="s">
        <v>3547</v>
      </c>
      <c r="H256" s="2" t="s">
        <v>63</v>
      </c>
      <c r="I256" s="2" t="s">
        <v>64</v>
      </c>
      <c r="J256" s="2" t="s">
        <v>63</v>
      </c>
      <c r="K256" s="2" t="s">
        <v>63</v>
      </c>
      <c r="L256" s="2" t="s">
        <v>65</v>
      </c>
      <c r="M256" s="1" t="s">
        <v>3548</v>
      </c>
      <c r="N256" s="1" t="s">
        <v>3549</v>
      </c>
      <c r="O256" s="2" t="s">
        <v>166</v>
      </c>
      <c r="P256" s="1" t="s">
        <v>3550</v>
      </c>
      <c r="Q256" s="2" t="s">
        <v>68</v>
      </c>
      <c r="R256" s="2" t="s">
        <v>1541</v>
      </c>
      <c r="T256" s="2" t="s">
        <v>71</v>
      </c>
      <c r="U256" s="3">
        <v>8</v>
      </c>
      <c r="V256" s="3">
        <v>8</v>
      </c>
      <c r="W256" s="4" t="s">
        <v>3551</v>
      </c>
      <c r="X256" s="4" t="s">
        <v>3551</v>
      </c>
      <c r="Y256" s="4" t="s">
        <v>3552</v>
      </c>
      <c r="Z256" s="4" t="s">
        <v>3552</v>
      </c>
      <c r="AA256" s="3">
        <v>31</v>
      </c>
      <c r="AB256" s="3">
        <v>28</v>
      </c>
      <c r="AC256" s="3">
        <v>120</v>
      </c>
      <c r="AD256" s="3">
        <v>2</v>
      </c>
      <c r="AE256" s="3">
        <v>2</v>
      </c>
      <c r="AF256" s="3">
        <v>0</v>
      </c>
      <c r="AG256" s="3">
        <v>0</v>
      </c>
      <c r="AH256" s="3">
        <v>0</v>
      </c>
      <c r="AI256" s="3">
        <v>0</v>
      </c>
      <c r="AJ256" s="3">
        <v>0</v>
      </c>
      <c r="AK256" s="3">
        <v>0</v>
      </c>
      <c r="AL256" s="3">
        <v>0</v>
      </c>
      <c r="AM256" s="3">
        <v>0</v>
      </c>
      <c r="AN256" s="3">
        <v>0</v>
      </c>
      <c r="AO256" s="3">
        <v>0</v>
      </c>
      <c r="AP256" s="3">
        <v>0</v>
      </c>
      <c r="AQ256" s="3">
        <v>0</v>
      </c>
      <c r="AR256" s="2" t="s">
        <v>63</v>
      </c>
      <c r="AS256" s="2" t="s">
        <v>63</v>
      </c>
      <c r="AU256" s="5" t="str">
        <f>HYPERLINK("https://creighton-primo.hosted.exlibrisgroup.com/primo-explore/search?tab=default_tab&amp;search_scope=EVERYTHING&amp;vid=01CRU&amp;lang=en_US&amp;offset=0&amp;query=any,contains,991001548799702656","Catalog Record")</f>
        <v>Catalog Record</v>
      </c>
      <c r="AV256" s="5" t="str">
        <f>HYPERLINK("http://www.worldcat.org/oclc/20191365","WorldCat Record")</f>
        <v>WorldCat Record</v>
      </c>
      <c r="AW256" s="2" t="s">
        <v>3553</v>
      </c>
      <c r="AX256" s="2" t="s">
        <v>3554</v>
      </c>
      <c r="AY256" s="2" t="s">
        <v>3555</v>
      </c>
      <c r="AZ256" s="2" t="s">
        <v>3555</v>
      </c>
      <c r="BA256" s="2" t="s">
        <v>3556</v>
      </c>
      <c r="BB256" s="2" t="s">
        <v>79</v>
      </c>
      <c r="BD256" s="2" t="s">
        <v>3557</v>
      </c>
      <c r="BE256" s="2" t="s">
        <v>3558</v>
      </c>
      <c r="BF256" s="2" t="s">
        <v>3559</v>
      </c>
    </row>
    <row r="257" spans="1:58" ht="39.75" customHeight="1">
      <c r="A257" s="1"/>
      <c r="B257" s="1" t="s">
        <v>58</v>
      </c>
      <c r="C257" s="1" t="s">
        <v>59</v>
      </c>
      <c r="D257" s="1" t="s">
        <v>3560</v>
      </c>
      <c r="E257" s="1" t="s">
        <v>3561</v>
      </c>
      <c r="F257" s="1" t="s">
        <v>3562</v>
      </c>
      <c r="H257" s="2" t="s">
        <v>63</v>
      </c>
      <c r="I257" s="2" t="s">
        <v>64</v>
      </c>
      <c r="J257" s="2" t="s">
        <v>63</v>
      </c>
      <c r="K257" s="2" t="s">
        <v>63</v>
      </c>
      <c r="L257" s="2" t="s">
        <v>65</v>
      </c>
      <c r="M257" s="1" t="s">
        <v>3563</v>
      </c>
      <c r="N257" s="1" t="s">
        <v>3564</v>
      </c>
      <c r="O257" s="2" t="s">
        <v>105</v>
      </c>
      <c r="Q257" s="2" t="s">
        <v>68</v>
      </c>
      <c r="R257" s="2" t="s">
        <v>1487</v>
      </c>
      <c r="T257" s="2" t="s">
        <v>71</v>
      </c>
      <c r="U257" s="3">
        <v>11</v>
      </c>
      <c r="V257" s="3">
        <v>11</v>
      </c>
      <c r="W257" s="4" t="s">
        <v>3565</v>
      </c>
      <c r="X257" s="4" t="s">
        <v>3565</v>
      </c>
      <c r="Y257" s="4" t="s">
        <v>139</v>
      </c>
      <c r="Z257" s="4" t="s">
        <v>139</v>
      </c>
      <c r="AA257" s="3">
        <v>120</v>
      </c>
      <c r="AB257" s="3">
        <v>110</v>
      </c>
      <c r="AC257" s="3">
        <v>116</v>
      </c>
      <c r="AD257" s="3">
        <v>2</v>
      </c>
      <c r="AE257" s="3">
        <v>2</v>
      </c>
      <c r="AF257" s="3">
        <v>2</v>
      </c>
      <c r="AG257" s="3">
        <v>2</v>
      </c>
      <c r="AH257" s="3">
        <v>1</v>
      </c>
      <c r="AI257" s="3">
        <v>1</v>
      </c>
      <c r="AJ257" s="3">
        <v>0</v>
      </c>
      <c r="AK257" s="3">
        <v>0</v>
      </c>
      <c r="AL257" s="3">
        <v>1</v>
      </c>
      <c r="AM257" s="3">
        <v>1</v>
      </c>
      <c r="AN257" s="3">
        <v>1</v>
      </c>
      <c r="AO257" s="3">
        <v>1</v>
      </c>
      <c r="AP257" s="3">
        <v>0</v>
      </c>
      <c r="AQ257" s="3">
        <v>0</v>
      </c>
      <c r="AR257" s="2" t="s">
        <v>63</v>
      </c>
      <c r="AS257" s="2" t="s">
        <v>74</v>
      </c>
      <c r="AT257" s="5" t="str">
        <f>HYPERLINK("http://catalog.hathitrust.org/Record/102084381","HathiTrust Record")</f>
        <v>HathiTrust Record</v>
      </c>
      <c r="AU257" s="5" t="str">
        <f>HYPERLINK("https://creighton-primo.hosted.exlibrisgroup.com/primo-explore/search?tab=default_tab&amp;search_scope=EVERYTHING&amp;vid=01CRU&amp;lang=en_US&amp;offset=0&amp;query=any,contains,991001001449702656","Catalog Record")</f>
        <v>Catalog Record</v>
      </c>
      <c r="AV257" s="5" t="str">
        <f>HYPERLINK("http://www.worldcat.org/oclc/15202393","WorldCat Record")</f>
        <v>WorldCat Record</v>
      </c>
      <c r="AW257" s="2" t="s">
        <v>3566</v>
      </c>
      <c r="AX257" s="2" t="s">
        <v>3567</v>
      </c>
      <c r="AY257" s="2" t="s">
        <v>3568</v>
      </c>
      <c r="AZ257" s="2" t="s">
        <v>3568</v>
      </c>
      <c r="BA257" s="2" t="s">
        <v>3569</v>
      </c>
      <c r="BB257" s="2" t="s">
        <v>79</v>
      </c>
      <c r="BD257" s="2" t="s">
        <v>3570</v>
      </c>
      <c r="BE257" s="2" t="s">
        <v>3571</v>
      </c>
      <c r="BF257" s="2" t="s">
        <v>3572</v>
      </c>
    </row>
    <row r="258" spans="1:58" ht="39.75" customHeight="1">
      <c r="A258" s="1"/>
      <c r="B258" s="1" t="s">
        <v>58</v>
      </c>
      <c r="C258" s="1" t="s">
        <v>59</v>
      </c>
      <c r="D258" s="1" t="s">
        <v>3573</v>
      </c>
      <c r="E258" s="1" t="s">
        <v>3574</v>
      </c>
      <c r="F258" s="1" t="s">
        <v>3575</v>
      </c>
      <c r="H258" s="2" t="s">
        <v>63</v>
      </c>
      <c r="I258" s="2" t="s">
        <v>64</v>
      </c>
      <c r="J258" s="2" t="s">
        <v>63</v>
      </c>
      <c r="K258" s="2" t="s">
        <v>63</v>
      </c>
      <c r="L258" s="2" t="s">
        <v>65</v>
      </c>
      <c r="M258" s="1" t="s">
        <v>3576</v>
      </c>
      <c r="N258" s="1" t="s">
        <v>3577</v>
      </c>
      <c r="O258" s="2" t="s">
        <v>1090</v>
      </c>
      <c r="Q258" s="2" t="s">
        <v>68</v>
      </c>
      <c r="R258" s="2" t="s">
        <v>106</v>
      </c>
      <c r="T258" s="2" t="s">
        <v>71</v>
      </c>
      <c r="U258" s="3">
        <v>7</v>
      </c>
      <c r="V258" s="3">
        <v>7</v>
      </c>
      <c r="W258" s="4" t="s">
        <v>3578</v>
      </c>
      <c r="X258" s="4" t="s">
        <v>3578</v>
      </c>
      <c r="Y258" s="4" t="s">
        <v>714</v>
      </c>
      <c r="Z258" s="4" t="s">
        <v>714</v>
      </c>
      <c r="AA258" s="3">
        <v>217</v>
      </c>
      <c r="AB258" s="3">
        <v>209</v>
      </c>
      <c r="AC258" s="3">
        <v>361</v>
      </c>
      <c r="AD258" s="3">
        <v>3</v>
      </c>
      <c r="AE258" s="3">
        <v>5</v>
      </c>
      <c r="AF258" s="3">
        <v>2</v>
      </c>
      <c r="AG258" s="3">
        <v>2</v>
      </c>
      <c r="AH258" s="3">
        <v>2</v>
      </c>
      <c r="AI258" s="3">
        <v>2</v>
      </c>
      <c r="AJ258" s="3">
        <v>1</v>
      </c>
      <c r="AK258" s="3">
        <v>1</v>
      </c>
      <c r="AL258" s="3">
        <v>0</v>
      </c>
      <c r="AM258" s="3">
        <v>0</v>
      </c>
      <c r="AN258" s="3">
        <v>0</v>
      </c>
      <c r="AO258" s="3">
        <v>0</v>
      </c>
      <c r="AP258" s="3">
        <v>0</v>
      </c>
      <c r="AQ258" s="3">
        <v>0</v>
      </c>
      <c r="AR258" s="2" t="s">
        <v>63</v>
      </c>
      <c r="AS258" s="2" t="s">
        <v>63</v>
      </c>
      <c r="AU258" s="5" t="str">
        <f>HYPERLINK("https://creighton-primo.hosted.exlibrisgroup.com/primo-explore/search?tab=default_tab&amp;search_scope=EVERYTHING&amp;vid=01CRU&amp;lang=en_US&amp;offset=0&amp;query=any,contains,991004921839702656","Catalog Record")</f>
        <v>Catalog Record</v>
      </c>
      <c r="AV258" s="5" t="str">
        <f>HYPERLINK("http://www.worldcat.org/oclc/6051195","WorldCat Record")</f>
        <v>WorldCat Record</v>
      </c>
      <c r="AW258" s="2" t="s">
        <v>3579</v>
      </c>
      <c r="AX258" s="2" t="s">
        <v>3580</v>
      </c>
      <c r="AY258" s="2" t="s">
        <v>3581</v>
      </c>
      <c r="AZ258" s="2" t="s">
        <v>3581</v>
      </c>
      <c r="BA258" s="2" t="s">
        <v>3582</v>
      </c>
      <c r="BB258" s="2" t="s">
        <v>79</v>
      </c>
      <c r="BD258" s="2" t="s">
        <v>3583</v>
      </c>
      <c r="BE258" s="2" t="s">
        <v>3584</v>
      </c>
      <c r="BF258" s="2" t="s">
        <v>3585</v>
      </c>
    </row>
    <row r="259" spans="1:58" ht="39.75" customHeight="1">
      <c r="A259" s="1"/>
      <c r="B259" s="1" t="s">
        <v>58</v>
      </c>
      <c r="C259" s="1" t="s">
        <v>59</v>
      </c>
      <c r="D259" s="1" t="s">
        <v>3586</v>
      </c>
      <c r="E259" s="1" t="s">
        <v>3587</v>
      </c>
      <c r="F259" s="1" t="s">
        <v>3588</v>
      </c>
      <c r="H259" s="2" t="s">
        <v>63</v>
      </c>
      <c r="I259" s="2" t="s">
        <v>64</v>
      </c>
      <c r="J259" s="2" t="s">
        <v>63</v>
      </c>
      <c r="K259" s="2" t="s">
        <v>63</v>
      </c>
      <c r="L259" s="2" t="s">
        <v>65</v>
      </c>
      <c r="M259" s="1" t="s">
        <v>3589</v>
      </c>
      <c r="N259" s="1" t="s">
        <v>3590</v>
      </c>
      <c r="O259" s="2" t="s">
        <v>740</v>
      </c>
      <c r="Q259" s="2" t="s">
        <v>68</v>
      </c>
      <c r="R259" s="2" t="s">
        <v>1541</v>
      </c>
      <c r="T259" s="2" t="s">
        <v>71</v>
      </c>
      <c r="U259" s="3">
        <v>2</v>
      </c>
      <c r="V259" s="3">
        <v>2</v>
      </c>
      <c r="W259" s="4" t="s">
        <v>3591</v>
      </c>
      <c r="X259" s="4" t="s">
        <v>3591</v>
      </c>
      <c r="Y259" s="4" t="s">
        <v>3592</v>
      </c>
      <c r="Z259" s="4" t="s">
        <v>3592</v>
      </c>
      <c r="AA259" s="3">
        <v>35</v>
      </c>
      <c r="AB259" s="3">
        <v>34</v>
      </c>
      <c r="AC259" s="3">
        <v>34</v>
      </c>
      <c r="AD259" s="3">
        <v>2</v>
      </c>
      <c r="AE259" s="3">
        <v>2</v>
      </c>
      <c r="AF259" s="3">
        <v>1</v>
      </c>
      <c r="AG259" s="3">
        <v>1</v>
      </c>
      <c r="AH259" s="3">
        <v>0</v>
      </c>
      <c r="AI259" s="3">
        <v>0</v>
      </c>
      <c r="AJ259" s="3">
        <v>0</v>
      </c>
      <c r="AK259" s="3">
        <v>0</v>
      </c>
      <c r="AL259" s="3">
        <v>0</v>
      </c>
      <c r="AM259" s="3">
        <v>0</v>
      </c>
      <c r="AN259" s="3">
        <v>1</v>
      </c>
      <c r="AO259" s="3">
        <v>1</v>
      </c>
      <c r="AP259" s="3">
        <v>0</v>
      </c>
      <c r="AQ259" s="3">
        <v>0</v>
      </c>
      <c r="AR259" s="2" t="s">
        <v>63</v>
      </c>
      <c r="AS259" s="2" t="s">
        <v>63</v>
      </c>
      <c r="AU259" s="5" t="str">
        <f>HYPERLINK("https://creighton-primo.hosted.exlibrisgroup.com/primo-explore/search?tab=default_tab&amp;search_scope=EVERYTHING&amp;vid=01CRU&amp;lang=en_US&amp;offset=0&amp;query=any,contains,991001141959702656","Catalog Record")</f>
        <v>Catalog Record</v>
      </c>
      <c r="AV259" s="5" t="str">
        <f>HYPERLINK("http://www.worldcat.org/oclc/16750072","WorldCat Record")</f>
        <v>WorldCat Record</v>
      </c>
      <c r="AW259" s="2" t="s">
        <v>3593</v>
      </c>
      <c r="AX259" s="2" t="s">
        <v>3594</v>
      </c>
      <c r="AY259" s="2" t="s">
        <v>3595</v>
      </c>
      <c r="AZ259" s="2" t="s">
        <v>3595</v>
      </c>
      <c r="BA259" s="2" t="s">
        <v>3596</v>
      </c>
      <c r="BB259" s="2" t="s">
        <v>79</v>
      </c>
      <c r="BD259" s="2" t="s">
        <v>3597</v>
      </c>
      <c r="BE259" s="2" t="s">
        <v>3598</v>
      </c>
      <c r="BF259" s="2" t="s">
        <v>3599</v>
      </c>
    </row>
    <row r="260" spans="1:58" ht="39.75" customHeight="1">
      <c r="A260" s="1"/>
      <c r="B260" s="1" t="s">
        <v>58</v>
      </c>
      <c r="C260" s="1" t="s">
        <v>59</v>
      </c>
      <c r="D260" s="1" t="s">
        <v>3600</v>
      </c>
      <c r="E260" s="1" t="s">
        <v>3601</v>
      </c>
      <c r="F260" s="1" t="s">
        <v>3602</v>
      </c>
      <c r="H260" s="2" t="s">
        <v>63</v>
      </c>
      <c r="I260" s="2" t="s">
        <v>64</v>
      </c>
      <c r="J260" s="2" t="s">
        <v>63</v>
      </c>
      <c r="K260" s="2" t="s">
        <v>63</v>
      </c>
      <c r="L260" s="2" t="s">
        <v>65</v>
      </c>
      <c r="M260" s="1" t="s">
        <v>3603</v>
      </c>
      <c r="N260" s="1" t="s">
        <v>3604</v>
      </c>
      <c r="O260" s="2" t="s">
        <v>151</v>
      </c>
      <c r="P260" s="1" t="s">
        <v>255</v>
      </c>
      <c r="Q260" s="2" t="s">
        <v>68</v>
      </c>
      <c r="R260" s="2" t="s">
        <v>106</v>
      </c>
      <c r="T260" s="2" t="s">
        <v>71</v>
      </c>
      <c r="U260" s="3">
        <v>8</v>
      </c>
      <c r="V260" s="3">
        <v>8</v>
      </c>
      <c r="W260" s="4" t="s">
        <v>3605</v>
      </c>
      <c r="X260" s="4" t="s">
        <v>3605</v>
      </c>
      <c r="Y260" s="4" t="s">
        <v>458</v>
      </c>
      <c r="Z260" s="4" t="s">
        <v>458</v>
      </c>
      <c r="AA260" s="3">
        <v>501</v>
      </c>
      <c r="AB260" s="3">
        <v>422</v>
      </c>
      <c r="AC260" s="3">
        <v>445</v>
      </c>
      <c r="AD260" s="3">
        <v>5</v>
      </c>
      <c r="AE260" s="3">
        <v>5</v>
      </c>
      <c r="AF260" s="3">
        <v>9</v>
      </c>
      <c r="AG260" s="3">
        <v>9</v>
      </c>
      <c r="AH260" s="3">
        <v>5</v>
      </c>
      <c r="AI260" s="3">
        <v>5</v>
      </c>
      <c r="AJ260" s="3">
        <v>0</v>
      </c>
      <c r="AK260" s="3">
        <v>0</v>
      </c>
      <c r="AL260" s="3">
        <v>1</v>
      </c>
      <c r="AM260" s="3">
        <v>1</v>
      </c>
      <c r="AN260" s="3">
        <v>4</v>
      </c>
      <c r="AO260" s="3">
        <v>4</v>
      </c>
      <c r="AP260" s="3">
        <v>0</v>
      </c>
      <c r="AQ260" s="3">
        <v>0</v>
      </c>
      <c r="AR260" s="2" t="s">
        <v>63</v>
      </c>
      <c r="AS260" s="2" t="s">
        <v>74</v>
      </c>
      <c r="AT260" s="5" t="str">
        <f>HYPERLINK("http://catalog.hathitrust.org/Record/101876726","HathiTrust Record")</f>
        <v>HathiTrust Record</v>
      </c>
      <c r="AU260" s="5" t="str">
        <f>HYPERLINK("https://creighton-primo.hosted.exlibrisgroup.com/primo-explore/search?tab=default_tab&amp;search_scope=EVERYTHING&amp;vid=01CRU&amp;lang=en_US&amp;offset=0&amp;query=any,contains,991000369329702656","Catalog Record")</f>
        <v>Catalog Record</v>
      </c>
      <c r="AV260" s="5" t="str">
        <f>HYPERLINK("http://www.worldcat.org/oclc/10422655","WorldCat Record")</f>
        <v>WorldCat Record</v>
      </c>
      <c r="AW260" s="2" t="s">
        <v>3606</v>
      </c>
      <c r="AX260" s="2" t="s">
        <v>3607</v>
      </c>
      <c r="AY260" s="2" t="s">
        <v>3608</v>
      </c>
      <c r="AZ260" s="2" t="s">
        <v>3608</v>
      </c>
      <c r="BA260" s="2" t="s">
        <v>3609</v>
      </c>
      <c r="BB260" s="2" t="s">
        <v>79</v>
      </c>
      <c r="BD260" s="2" t="s">
        <v>3610</v>
      </c>
      <c r="BE260" s="2" t="s">
        <v>3611</v>
      </c>
      <c r="BF260" s="2" t="s">
        <v>3612</v>
      </c>
    </row>
    <row r="261" spans="1:58" ht="39.75" customHeight="1">
      <c r="A261" s="1"/>
      <c r="B261" s="1" t="s">
        <v>58</v>
      </c>
      <c r="C261" s="1" t="s">
        <v>59</v>
      </c>
      <c r="D261" s="1" t="s">
        <v>3613</v>
      </c>
      <c r="E261" s="1" t="s">
        <v>3614</v>
      </c>
      <c r="F261" s="1" t="s">
        <v>3615</v>
      </c>
      <c r="H261" s="2" t="s">
        <v>63</v>
      </c>
      <c r="I261" s="2" t="s">
        <v>64</v>
      </c>
      <c r="J261" s="2" t="s">
        <v>63</v>
      </c>
      <c r="K261" s="2" t="s">
        <v>63</v>
      </c>
      <c r="L261" s="2" t="s">
        <v>65</v>
      </c>
      <c r="M261" s="1" t="s">
        <v>3603</v>
      </c>
      <c r="N261" s="1" t="s">
        <v>3616</v>
      </c>
      <c r="O261" s="2" t="s">
        <v>1301</v>
      </c>
      <c r="Q261" s="2" t="s">
        <v>68</v>
      </c>
      <c r="R261" s="2" t="s">
        <v>195</v>
      </c>
      <c r="T261" s="2" t="s">
        <v>71</v>
      </c>
      <c r="U261" s="3">
        <v>6</v>
      </c>
      <c r="V261" s="3">
        <v>6</v>
      </c>
      <c r="W261" s="4" t="s">
        <v>3508</v>
      </c>
      <c r="X261" s="4" t="s">
        <v>3508</v>
      </c>
      <c r="Y261" s="4" t="s">
        <v>458</v>
      </c>
      <c r="Z261" s="4" t="s">
        <v>458</v>
      </c>
      <c r="AA261" s="3">
        <v>100</v>
      </c>
      <c r="AB261" s="3">
        <v>79</v>
      </c>
      <c r="AC261" s="3">
        <v>82</v>
      </c>
      <c r="AD261" s="3">
        <v>3</v>
      </c>
      <c r="AE261" s="3">
        <v>3</v>
      </c>
      <c r="AF261" s="3">
        <v>2</v>
      </c>
      <c r="AG261" s="3">
        <v>2</v>
      </c>
      <c r="AH261" s="3">
        <v>0</v>
      </c>
      <c r="AI261" s="3">
        <v>0</v>
      </c>
      <c r="AJ261" s="3">
        <v>0</v>
      </c>
      <c r="AK261" s="3">
        <v>0</v>
      </c>
      <c r="AL261" s="3">
        <v>0</v>
      </c>
      <c r="AM261" s="3">
        <v>0</v>
      </c>
      <c r="AN261" s="3">
        <v>2</v>
      </c>
      <c r="AO261" s="3">
        <v>2</v>
      </c>
      <c r="AP261" s="3">
        <v>0</v>
      </c>
      <c r="AQ261" s="3">
        <v>0</v>
      </c>
      <c r="AR261" s="2" t="s">
        <v>63</v>
      </c>
      <c r="AS261" s="2" t="s">
        <v>74</v>
      </c>
      <c r="AT261" s="5" t="str">
        <f>HYPERLINK("http://catalog.hathitrust.org/Record/004513688","HathiTrust Record")</f>
        <v>HathiTrust Record</v>
      </c>
      <c r="AU261" s="5" t="str">
        <f>HYPERLINK("https://creighton-primo.hosted.exlibrisgroup.com/primo-explore/search?tab=default_tab&amp;search_scope=EVERYTHING&amp;vid=01CRU&amp;lang=en_US&amp;offset=0&amp;query=any,contains,991001393269702656","Catalog Record")</f>
        <v>Catalog Record</v>
      </c>
      <c r="AV261" s="5" t="str">
        <f>HYPERLINK("http://www.worldcat.org/oclc/18779601","WorldCat Record")</f>
        <v>WorldCat Record</v>
      </c>
      <c r="AW261" s="2" t="s">
        <v>3617</v>
      </c>
      <c r="AX261" s="2" t="s">
        <v>3618</v>
      </c>
      <c r="AY261" s="2" t="s">
        <v>3619</v>
      </c>
      <c r="AZ261" s="2" t="s">
        <v>3619</v>
      </c>
      <c r="BA261" s="2" t="s">
        <v>3620</v>
      </c>
      <c r="BB261" s="2" t="s">
        <v>79</v>
      </c>
      <c r="BD261" s="2" t="s">
        <v>3621</v>
      </c>
      <c r="BE261" s="2" t="s">
        <v>3622</v>
      </c>
      <c r="BF261" s="2" t="s">
        <v>3623</v>
      </c>
    </row>
    <row r="262" spans="1:58" ht="39.75" customHeight="1">
      <c r="A262" s="1"/>
      <c r="B262" s="1" t="s">
        <v>58</v>
      </c>
      <c r="C262" s="1" t="s">
        <v>59</v>
      </c>
      <c r="D262" s="1" t="s">
        <v>3624</v>
      </c>
      <c r="E262" s="1" t="s">
        <v>3625</v>
      </c>
      <c r="F262" s="1" t="s">
        <v>3626</v>
      </c>
      <c r="H262" s="2" t="s">
        <v>63</v>
      </c>
      <c r="I262" s="2" t="s">
        <v>64</v>
      </c>
      <c r="J262" s="2" t="s">
        <v>63</v>
      </c>
      <c r="K262" s="2" t="s">
        <v>63</v>
      </c>
      <c r="L262" s="2" t="s">
        <v>65</v>
      </c>
      <c r="M262" s="1" t="s">
        <v>3627</v>
      </c>
      <c r="N262" s="1" t="s">
        <v>3628</v>
      </c>
      <c r="O262" s="2" t="s">
        <v>151</v>
      </c>
      <c r="Q262" s="2" t="s">
        <v>68</v>
      </c>
      <c r="R262" s="2" t="s">
        <v>167</v>
      </c>
      <c r="T262" s="2" t="s">
        <v>71</v>
      </c>
      <c r="U262" s="3">
        <v>6</v>
      </c>
      <c r="V262" s="3">
        <v>6</v>
      </c>
      <c r="W262" s="4" t="s">
        <v>2140</v>
      </c>
      <c r="X262" s="4" t="s">
        <v>2140</v>
      </c>
      <c r="Y262" s="4" t="s">
        <v>3629</v>
      </c>
      <c r="Z262" s="4" t="s">
        <v>3629</v>
      </c>
      <c r="AA262" s="3">
        <v>16</v>
      </c>
      <c r="AB262" s="3">
        <v>16</v>
      </c>
      <c r="AC262" s="3">
        <v>290</v>
      </c>
      <c r="AD262" s="3">
        <v>1</v>
      </c>
      <c r="AE262" s="3">
        <v>3</v>
      </c>
      <c r="AF262" s="3">
        <v>0</v>
      </c>
      <c r="AG262" s="3">
        <v>1</v>
      </c>
      <c r="AH262" s="3">
        <v>0</v>
      </c>
      <c r="AI262" s="3">
        <v>1</v>
      </c>
      <c r="AJ262" s="3">
        <v>0</v>
      </c>
      <c r="AK262" s="3">
        <v>0</v>
      </c>
      <c r="AL262" s="3">
        <v>0</v>
      </c>
      <c r="AM262" s="3">
        <v>0</v>
      </c>
      <c r="AN262" s="3">
        <v>0</v>
      </c>
      <c r="AO262" s="3">
        <v>0</v>
      </c>
      <c r="AP262" s="3">
        <v>0</v>
      </c>
      <c r="AQ262" s="3">
        <v>0</v>
      </c>
      <c r="AR262" s="2" t="s">
        <v>63</v>
      </c>
      <c r="AS262" s="2" t="s">
        <v>63</v>
      </c>
      <c r="AU262" s="5" t="str">
        <f>HYPERLINK("https://creighton-primo.hosted.exlibrisgroup.com/primo-explore/search?tab=default_tab&amp;search_scope=EVERYTHING&amp;vid=01CRU&amp;lang=en_US&amp;offset=0&amp;query=any,contains,991000771689702656","Catalog Record")</f>
        <v>Catalog Record</v>
      </c>
      <c r="AV262" s="5" t="str">
        <f>HYPERLINK("http://www.worldcat.org/oclc/13017672","WorldCat Record")</f>
        <v>WorldCat Record</v>
      </c>
      <c r="AW262" s="2" t="s">
        <v>3630</v>
      </c>
      <c r="AX262" s="2" t="s">
        <v>3631</v>
      </c>
      <c r="AY262" s="2" t="s">
        <v>3632</v>
      </c>
      <c r="AZ262" s="2" t="s">
        <v>3632</v>
      </c>
      <c r="BA262" s="2" t="s">
        <v>3633</v>
      </c>
      <c r="BB262" s="2" t="s">
        <v>79</v>
      </c>
      <c r="BD262" s="2" t="s">
        <v>3634</v>
      </c>
      <c r="BE262" s="2" t="s">
        <v>3635</v>
      </c>
      <c r="BF262" s="2" t="s">
        <v>3636</v>
      </c>
    </row>
    <row r="263" spans="1:58" ht="39.75" customHeight="1">
      <c r="A263" s="1"/>
      <c r="B263" s="1" t="s">
        <v>58</v>
      </c>
      <c r="C263" s="1" t="s">
        <v>59</v>
      </c>
      <c r="D263" s="1" t="s">
        <v>3637</v>
      </c>
      <c r="E263" s="1" t="s">
        <v>3638</v>
      </c>
      <c r="F263" s="1" t="s">
        <v>3639</v>
      </c>
      <c r="H263" s="2" t="s">
        <v>63</v>
      </c>
      <c r="I263" s="2" t="s">
        <v>64</v>
      </c>
      <c r="J263" s="2" t="s">
        <v>63</v>
      </c>
      <c r="K263" s="2" t="s">
        <v>74</v>
      </c>
      <c r="L263" s="2" t="s">
        <v>65</v>
      </c>
      <c r="M263" s="1" t="s">
        <v>3640</v>
      </c>
      <c r="N263" s="1" t="s">
        <v>3641</v>
      </c>
      <c r="O263" s="2" t="s">
        <v>726</v>
      </c>
      <c r="Q263" s="2" t="s">
        <v>68</v>
      </c>
      <c r="R263" s="2" t="s">
        <v>106</v>
      </c>
      <c r="T263" s="2" t="s">
        <v>71</v>
      </c>
      <c r="U263" s="3">
        <v>28</v>
      </c>
      <c r="V263" s="3">
        <v>28</v>
      </c>
      <c r="W263" s="4" t="s">
        <v>3642</v>
      </c>
      <c r="X263" s="4" t="s">
        <v>3642</v>
      </c>
      <c r="Y263" s="4" t="s">
        <v>3643</v>
      </c>
      <c r="Z263" s="4" t="s">
        <v>3643</v>
      </c>
      <c r="AA263" s="3">
        <v>425</v>
      </c>
      <c r="AB263" s="3">
        <v>374</v>
      </c>
      <c r="AC263" s="3">
        <v>1947</v>
      </c>
      <c r="AD263" s="3">
        <v>2</v>
      </c>
      <c r="AE263" s="3">
        <v>15</v>
      </c>
      <c r="AF263" s="3">
        <v>7</v>
      </c>
      <c r="AG263" s="3">
        <v>27</v>
      </c>
      <c r="AH263" s="3">
        <v>4</v>
      </c>
      <c r="AI263" s="3">
        <v>12</v>
      </c>
      <c r="AJ263" s="3">
        <v>1</v>
      </c>
      <c r="AK263" s="3">
        <v>5</v>
      </c>
      <c r="AL263" s="3">
        <v>4</v>
      </c>
      <c r="AM263" s="3">
        <v>17</v>
      </c>
      <c r="AN263" s="3">
        <v>0</v>
      </c>
      <c r="AO263" s="3">
        <v>2</v>
      </c>
      <c r="AP263" s="3">
        <v>0</v>
      </c>
      <c r="AQ263" s="3">
        <v>0</v>
      </c>
      <c r="AR263" s="2" t="s">
        <v>63</v>
      </c>
      <c r="AS263" s="2" t="s">
        <v>63</v>
      </c>
      <c r="AU263" s="5" t="str">
        <f>HYPERLINK("https://creighton-primo.hosted.exlibrisgroup.com/primo-explore/search?tab=default_tab&amp;search_scope=EVERYTHING&amp;vid=01CRU&amp;lang=en_US&amp;offset=0&amp;query=any,contains,991001005259702656","Catalog Record")</f>
        <v>Catalog Record</v>
      </c>
      <c r="AV263" s="5" t="str">
        <f>HYPERLINK("http://www.worldcat.org/oclc/12882170","WorldCat Record")</f>
        <v>WorldCat Record</v>
      </c>
      <c r="AW263" s="2" t="s">
        <v>3644</v>
      </c>
      <c r="AX263" s="2" t="s">
        <v>3645</v>
      </c>
      <c r="AY263" s="2" t="s">
        <v>3646</v>
      </c>
      <c r="AZ263" s="2" t="s">
        <v>3646</v>
      </c>
      <c r="BA263" s="2" t="s">
        <v>3647</v>
      </c>
      <c r="BB263" s="2" t="s">
        <v>79</v>
      </c>
      <c r="BE263" s="2" t="s">
        <v>3648</v>
      </c>
      <c r="BF263" s="2" t="s">
        <v>3649</v>
      </c>
    </row>
    <row r="264" spans="1:58" ht="39.75" customHeight="1">
      <c r="A264" s="1"/>
      <c r="B264" s="1" t="s">
        <v>58</v>
      </c>
      <c r="C264" s="1" t="s">
        <v>59</v>
      </c>
      <c r="D264" s="1" t="s">
        <v>3650</v>
      </c>
      <c r="E264" s="1" t="s">
        <v>3651</v>
      </c>
      <c r="F264" s="1" t="s">
        <v>3652</v>
      </c>
      <c r="H264" s="2" t="s">
        <v>63</v>
      </c>
      <c r="I264" s="2" t="s">
        <v>64</v>
      </c>
      <c r="J264" s="2" t="s">
        <v>63</v>
      </c>
      <c r="K264" s="2" t="s">
        <v>63</v>
      </c>
      <c r="L264" s="2" t="s">
        <v>65</v>
      </c>
      <c r="M264" s="1" t="s">
        <v>3653</v>
      </c>
      <c r="N264" s="1" t="s">
        <v>3654</v>
      </c>
      <c r="O264" s="2" t="s">
        <v>798</v>
      </c>
      <c r="P264" s="1" t="s">
        <v>255</v>
      </c>
      <c r="Q264" s="2" t="s">
        <v>68</v>
      </c>
      <c r="R264" s="2" t="s">
        <v>799</v>
      </c>
      <c r="T264" s="2" t="s">
        <v>71</v>
      </c>
      <c r="U264" s="3">
        <v>6</v>
      </c>
      <c r="V264" s="3">
        <v>6</v>
      </c>
      <c r="W264" s="4" t="s">
        <v>3655</v>
      </c>
      <c r="X264" s="4" t="s">
        <v>3655</v>
      </c>
      <c r="Y264" s="4" t="s">
        <v>2792</v>
      </c>
      <c r="Z264" s="4" t="s">
        <v>2792</v>
      </c>
      <c r="AA264" s="3">
        <v>49</v>
      </c>
      <c r="AB264" s="3">
        <v>48</v>
      </c>
      <c r="AC264" s="3">
        <v>168</v>
      </c>
      <c r="AD264" s="3">
        <v>1</v>
      </c>
      <c r="AE264" s="3">
        <v>2</v>
      </c>
      <c r="AF264" s="3">
        <v>1</v>
      </c>
      <c r="AG264" s="3">
        <v>2</v>
      </c>
      <c r="AH264" s="3">
        <v>0</v>
      </c>
      <c r="AI264" s="3">
        <v>0</v>
      </c>
      <c r="AJ264" s="3">
        <v>0</v>
      </c>
      <c r="AK264" s="3">
        <v>0</v>
      </c>
      <c r="AL264" s="3">
        <v>1</v>
      </c>
      <c r="AM264" s="3">
        <v>1</v>
      </c>
      <c r="AN264" s="3">
        <v>0</v>
      </c>
      <c r="AO264" s="3">
        <v>1</v>
      </c>
      <c r="AP264" s="3">
        <v>0</v>
      </c>
      <c r="AQ264" s="3">
        <v>0</v>
      </c>
      <c r="AR264" s="2" t="s">
        <v>63</v>
      </c>
      <c r="AS264" s="2" t="s">
        <v>63</v>
      </c>
      <c r="AU264" s="5" t="str">
        <f>HYPERLINK("https://creighton-primo.hosted.exlibrisgroup.com/primo-explore/search?tab=default_tab&amp;search_scope=EVERYTHING&amp;vid=01CRU&amp;lang=en_US&amp;offset=0&amp;query=any,contains,991003206029702656","Catalog Record")</f>
        <v>Catalog Record</v>
      </c>
      <c r="AV264" s="5" t="str">
        <f>HYPERLINK("http://www.worldcat.org/oclc/28586984","WorldCat Record")</f>
        <v>WorldCat Record</v>
      </c>
      <c r="AW264" s="2" t="s">
        <v>3656</v>
      </c>
      <c r="AX264" s="2" t="s">
        <v>3657</v>
      </c>
      <c r="AY264" s="2" t="s">
        <v>3658</v>
      </c>
      <c r="AZ264" s="2" t="s">
        <v>3658</v>
      </c>
      <c r="BA264" s="2" t="s">
        <v>3659</v>
      </c>
      <c r="BB264" s="2" t="s">
        <v>79</v>
      </c>
      <c r="BD264" s="2" t="s">
        <v>3660</v>
      </c>
      <c r="BE264" s="2" t="s">
        <v>3661</v>
      </c>
      <c r="BF264" s="2" t="s">
        <v>3662</v>
      </c>
    </row>
    <row r="265" spans="1:58" ht="39.75" customHeight="1">
      <c r="A265" s="1"/>
      <c r="B265" s="1" t="s">
        <v>58</v>
      </c>
      <c r="C265" s="1" t="s">
        <v>59</v>
      </c>
      <c r="D265" s="1" t="s">
        <v>3663</v>
      </c>
      <c r="E265" s="1" t="s">
        <v>3664</v>
      </c>
      <c r="F265" s="1" t="s">
        <v>3665</v>
      </c>
      <c r="H265" s="2" t="s">
        <v>63</v>
      </c>
      <c r="I265" s="2" t="s">
        <v>64</v>
      </c>
      <c r="J265" s="2" t="s">
        <v>63</v>
      </c>
      <c r="K265" s="2" t="s">
        <v>63</v>
      </c>
      <c r="L265" s="2" t="s">
        <v>65</v>
      </c>
      <c r="N265" s="1" t="s">
        <v>3666</v>
      </c>
      <c r="O265" s="2" t="s">
        <v>767</v>
      </c>
      <c r="Q265" s="2" t="s">
        <v>68</v>
      </c>
      <c r="R265" s="2" t="s">
        <v>106</v>
      </c>
      <c r="T265" s="2" t="s">
        <v>71</v>
      </c>
      <c r="U265" s="3">
        <v>2</v>
      </c>
      <c r="V265" s="3">
        <v>2</v>
      </c>
      <c r="W265" s="4" t="s">
        <v>3667</v>
      </c>
      <c r="X265" s="4" t="s">
        <v>3667</v>
      </c>
      <c r="Y265" s="4" t="s">
        <v>3668</v>
      </c>
      <c r="Z265" s="4" t="s">
        <v>3668</v>
      </c>
      <c r="AA265" s="3">
        <v>344</v>
      </c>
      <c r="AB265" s="3">
        <v>301</v>
      </c>
      <c r="AC265" s="3">
        <v>314</v>
      </c>
      <c r="AD265" s="3">
        <v>5</v>
      </c>
      <c r="AE265" s="3">
        <v>5</v>
      </c>
      <c r="AF265" s="3">
        <v>15</v>
      </c>
      <c r="AG265" s="3">
        <v>15</v>
      </c>
      <c r="AH265" s="3">
        <v>4</v>
      </c>
      <c r="AI265" s="3">
        <v>4</v>
      </c>
      <c r="AJ265" s="3">
        <v>3</v>
      </c>
      <c r="AK265" s="3">
        <v>3</v>
      </c>
      <c r="AL265" s="3">
        <v>6</v>
      </c>
      <c r="AM265" s="3">
        <v>6</v>
      </c>
      <c r="AN265" s="3">
        <v>4</v>
      </c>
      <c r="AO265" s="3">
        <v>4</v>
      </c>
      <c r="AP265" s="3">
        <v>0</v>
      </c>
      <c r="AQ265" s="3">
        <v>0</v>
      </c>
      <c r="AR265" s="2" t="s">
        <v>63</v>
      </c>
      <c r="AS265" s="2" t="s">
        <v>74</v>
      </c>
      <c r="AT265" s="5" t="str">
        <f>HYPERLINK("http://catalog.hathitrust.org/Record/000236532","HathiTrust Record")</f>
        <v>HathiTrust Record</v>
      </c>
      <c r="AU265" s="5" t="str">
        <f>HYPERLINK("https://creighton-primo.hosted.exlibrisgroup.com/primo-explore/search?tab=default_tab&amp;search_scope=EVERYTHING&amp;vid=01CRU&amp;lang=en_US&amp;offset=0&amp;query=any,contains,991005245449702656","Catalog Record")</f>
        <v>Catalog Record</v>
      </c>
      <c r="AV265" s="5" t="str">
        <f>HYPERLINK("http://www.worldcat.org/oclc/8452114","WorldCat Record")</f>
        <v>WorldCat Record</v>
      </c>
      <c r="AW265" s="2" t="s">
        <v>3669</v>
      </c>
      <c r="AX265" s="2" t="s">
        <v>3670</v>
      </c>
      <c r="AY265" s="2" t="s">
        <v>3671</v>
      </c>
      <c r="AZ265" s="2" t="s">
        <v>3671</v>
      </c>
      <c r="BA265" s="2" t="s">
        <v>3672</v>
      </c>
      <c r="BB265" s="2" t="s">
        <v>79</v>
      </c>
      <c r="BD265" s="2" t="s">
        <v>3673</v>
      </c>
      <c r="BE265" s="2" t="s">
        <v>3674</v>
      </c>
      <c r="BF265" s="2" t="s">
        <v>3675</v>
      </c>
    </row>
    <row r="266" spans="1:58" ht="39.75" customHeight="1">
      <c r="A266" s="1"/>
      <c r="B266" s="1" t="s">
        <v>58</v>
      </c>
      <c r="C266" s="1" t="s">
        <v>59</v>
      </c>
      <c r="D266" s="1" t="s">
        <v>3676</v>
      </c>
      <c r="E266" s="1" t="s">
        <v>3677</v>
      </c>
      <c r="F266" s="1" t="s">
        <v>3678</v>
      </c>
      <c r="H266" s="2" t="s">
        <v>63</v>
      </c>
      <c r="I266" s="2" t="s">
        <v>64</v>
      </c>
      <c r="J266" s="2" t="s">
        <v>63</v>
      </c>
      <c r="K266" s="2" t="s">
        <v>63</v>
      </c>
      <c r="L266" s="2" t="s">
        <v>65</v>
      </c>
      <c r="M266" s="1" t="s">
        <v>3679</v>
      </c>
      <c r="N266" s="1" t="s">
        <v>3680</v>
      </c>
      <c r="O266" s="2" t="s">
        <v>121</v>
      </c>
      <c r="Q266" s="2" t="s">
        <v>68</v>
      </c>
      <c r="R266" s="2" t="s">
        <v>195</v>
      </c>
      <c r="T266" s="2" t="s">
        <v>71</v>
      </c>
      <c r="U266" s="3">
        <v>3</v>
      </c>
      <c r="V266" s="3">
        <v>3</v>
      </c>
      <c r="W266" s="4" t="s">
        <v>3681</v>
      </c>
      <c r="X266" s="4" t="s">
        <v>3681</v>
      </c>
      <c r="Y266" s="4" t="s">
        <v>3682</v>
      </c>
      <c r="Z266" s="4" t="s">
        <v>3682</v>
      </c>
      <c r="AA266" s="3">
        <v>360</v>
      </c>
      <c r="AB266" s="3">
        <v>286</v>
      </c>
      <c r="AC266" s="3">
        <v>291</v>
      </c>
      <c r="AD266" s="3">
        <v>2</v>
      </c>
      <c r="AE266" s="3">
        <v>2</v>
      </c>
      <c r="AF266" s="3">
        <v>9</v>
      </c>
      <c r="AG266" s="3">
        <v>9</v>
      </c>
      <c r="AH266" s="3">
        <v>6</v>
      </c>
      <c r="AI266" s="3">
        <v>6</v>
      </c>
      <c r="AJ266" s="3">
        <v>1</v>
      </c>
      <c r="AK266" s="3">
        <v>1</v>
      </c>
      <c r="AL266" s="3">
        <v>5</v>
      </c>
      <c r="AM266" s="3">
        <v>5</v>
      </c>
      <c r="AN266" s="3">
        <v>1</v>
      </c>
      <c r="AO266" s="3">
        <v>1</v>
      </c>
      <c r="AP266" s="3">
        <v>0</v>
      </c>
      <c r="AQ266" s="3">
        <v>0</v>
      </c>
      <c r="AR266" s="2" t="s">
        <v>63</v>
      </c>
      <c r="AS266" s="2" t="s">
        <v>74</v>
      </c>
      <c r="AT266" s="5" t="str">
        <f>HYPERLINK("http://catalog.hathitrust.org/Record/000261208","HathiTrust Record")</f>
        <v>HathiTrust Record</v>
      </c>
      <c r="AU266" s="5" t="str">
        <f>HYPERLINK("https://creighton-primo.hosted.exlibrisgroup.com/primo-explore/search?tab=default_tab&amp;search_scope=EVERYTHING&amp;vid=01CRU&amp;lang=en_US&amp;offset=0&amp;query=any,contains,991004705409702656","Catalog Record")</f>
        <v>Catalog Record</v>
      </c>
      <c r="AV266" s="5" t="str">
        <f>HYPERLINK("http://www.worldcat.org/oclc/4708246","WorldCat Record")</f>
        <v>WorldCat Record</v>
      </c>
      <c r="AW266" s="2" t="s">
        <v>3683</v>
      </c>
      <c r="AX266" s="2" t="s">
        <v>3684</v>
      </c>
      <c r="AY266" s="2" t="s">
        <v>3685</v>
      </c>
      <c r="AZ266" s="2" t="s">
        <v>3685</v>
      </c>
      <c r="BA266" s="2" t="s">
        <v>3686</v>
      </c>
      <c r="BB266" s="2" t="s">
        <v>79</v>
      </c>
      <c r="BD266" s="2" t="s">
        <v>3687</v>
      </c>
      <c r="BE266" s="2" t="s">
        <v>3688</v>
      </c>
      <c r="BF266" s="2" t="s">
        <v>3689</v>
      </c>
    </row>
    <row r="267" spans="1:58" ht="39.75" customHeight="1">
      <c r="A267" s="1"/>
      <c r="B267" s="1" t="s">
        <v>58</v>
      </c>
      <c r="C267" s="1" t="s">
        <v>59</v>
      </c>
      <c r="D267" s="1" t="s">
        <v>3690</v>
      </c>
      <c r="E267" s="1" t="s">
        <v>3691</v>
      </c>
      <c r="F267" s="1" t="s">
        <v>3692</v>
      </c>
      <c r="H267" s="2" t="s">
        <v>63</v>
      </c>
      <c r="I267" s="2" t="s">
        <v>64</v>
      </c>
      <c r="J267" s="2" t="s">
        <v>63</v>
      </c>
      <c r="K267" s="2" t="s">
        <v>63</v>
      </c>
      <c r="L267" s="2" t="s">
        <v>65</v>
      </c>
      <c r="M267" s="1" t="s">
        <v>3693</v>
      </c>
      <c r="N267" s="1" t="s">
        <v>3694</v>
      </c>
      <c r="O267" s="2" t="s">
        <v>314</v>
      </c>
      <c r="Q267" s="2" t="s">
        <v>68</v>
      </c>
      <c r="R267" s="2" t="s">
        <v>106</v>
      </c>
      <c r="T267" s="2" t="s">
        <v>71</v>
      </c>
      <c r="U267" s="3">
        <v>8</v>
      </c>
      <c r="V267" s="3">
        <v>8</v>
      </c>
      <c r="W267" s="4" t="s">
        <v>3695</v>
      </c>
      <c r="X267" s="4" t="s">
        <v>3695</v>
      </c>
      <c r="Y267" s="4" t="s">
        <v>3146</v>
      </c>
      <c r="Z267" s="4" t="s">
        <v>3146</v>
      </c>
      <c r="AA267" s="3">
        <v>634</v>
      </c>
      <c r="AB267" s="3">
        <v>545</v>
      </c>
      <c r="AC267" s="3">
        <v>549</v>
      </c>
      <c r="AD267" s="3">
        <v>7</v>
      </c>
      <c r="AE267" s="3">
        <v>7</v>
      </c>
      <c r="AF267" s="3">
        <v>23</v>
      </c>
      <c r="AG267" s="3">
        <v>23</v>
      </c>
      <c r="AH267" s="3">
        <v>5</v>
      </c>
      <c r="AI267" s="3">
        <v>5</v>
      </c>
      <c r="AJ267" s="3">
        <v>6</v>
      </c>
      <c r="AK267" s="3">
        <v>6</v>
      </c>
      <c r="AL267" s="3">
        <v>12</v>
      </c>
      <c r="AM267" s="3">
        <v>12</v>
      </c>
      <c r="AN267" s="3">
        <v>6</v>
      </c>
      <c r="AO267" s="3">
        <v>6</v>
      </c>
      <c r="AP267" s="3">
        <v>0</v>
      </c>
      <c r="AQ267" s="3">
        <v>0</v>
      </c>
      <c r="AR267" s="2" t="s">
        <v>63</v>
      </c>
      <c r="AS267" s="2" t="s">
        <v>63</v>
      </c>
      <c r="AU267" s="5" t="str">
        <f>HYPERLINK("https://creighton-primo.hosted.exlibrisgroup.com/primo-explore/search?tab=default_tab&amp;search_scope=EVERYTHING&amp;vid=01CRU&amp;lang=en_US&amp;offset=0&amp;query=any,contains,991004215019702656","Catalog Record")</f>
        <v>Catalog Record</v>
      </c>
      <c r="AV267" s="5" t="str">
        <f>HYPERLINK("http://www.worldcat.org/oclc/2695039","WorldCat Record")</f>
        <v>WorldCat Record</v>
      </c>
      <c r="AW267" s="2" t="s">
        <v>3696</v>
      </c>
      <c r="AX267" s="2" t="s">
        <v>3697</v>
      </c>
      <c r="AY267" s="2" t="s">
        <v>3698</v>
      </c>
      <c r="AZ267" s="2" t="s">
        <v>3698</v>
      </c>
      <c r="BA267" s="2" t="s">
        <v>3699</v>
      </c>
      <c r="BB267" s="2" t="s">
        <v>79</v>
      </c>
      <c r="BD267" s="2" t="s">
        <v>3700</v>
      </c>
      <c r="BE267" s="2" t="s">
        <v>3701</v>
      </c>
      <c r="BF267" s="2" t="s">
        <v>3702</v>
      </c>
    </row>
    <row r="268" spans="1:58" ht="39.75" customHeight="1">
      <c r="A268" s="1"/>
      <c r="B268" s="1" t="s">
        <v>58</v>
      </c>
      <c r="C268" s="1" t="s">
        <v>59</v>
      </c>
      <c r="D268" s="1" t="s">
        <v>3703</v>
      </c>
      <c r="E268" s="1" t="s">
        <v>3704</v>
      </c>
      <c r="F268" s="1" t="s">
        <v>3705</v>
      </c>
      <c r="H268" s="2" t="s">
        <v>63</v>
      </c>
      <c r="I268" s="2" t="s">
        <v>64</v>
      </c>
      <c r="J268" s="2" t="s">
        <v>63</v>
      </c>
      <c r="K268" s="2" t="s">
        <v>63</v>
      </c>
      <c r="L268" s="2" t="s">
        <v>65</v>
      </c>
      <c r="M268" s="1" t="s">
        <v>3706</v>
      </c>
      <c r="N268" s="1" t="s">
        <v>3707</v>
      </c>
      <c r="O268" s="2" t="s">
        <v>298</v>
      </c>
      <c r="Q268" s="2" t="s">
        <v>68</v>
      </c>
      <c r="R268" s="2" t="s">
        <v>331</v>
      </c>
      <c r="S268" s="1" t="s">
        <v>3708</v>
      </c>
      <c r="T268" s="2" t="s">
        <v>71</v>
      </c>
      <c r="U268" s="3">
        <v>1</v>
      </c>
      <c r="V268" s="3">
        <v>1</v>
      </c>
      <c r="W268" s="4" t="s">
        <v>3709</v>
      </c>
      <c r="X268" s="4" t="s">
        <v>3709</v>
      </c>
      <c r="Y268" s="4" t="s">
        <v>333</v>
      </c>
      <c r="Z268" s="4" t="s">
        <v>333</v>
      </c>
      <c r="AA268" s="3">
        <v>354</v>
      </c>
      <c r="AB268" s="3">
        <v>287</v>
      </c>
      <c r="AC268" s="3">
        <v>314</v>
      </c>
      <c r="AD268" s="3">
        <v>3</v>
      </c>
      <c r="AE268" s="3">
        <v>3</v>
      </c>
      <c r="AF268" s="3">
        <v>11</v>
      </c>
      <c r="AG268" s="3">
        <v>14</v>
      </c>
      <c r="AH268" s="3">
        <v>3</v>
      </c>
      <c r="AI268" s="3">
        <v>6</v>
      </c>
      <c r="AJ268" s="3">
        <v>3</v>
      </c>
      <c r="AK268" s="3">
        <v>3</v>
      </c>
      <c r="AL268" s="3">
        <v>7</v>
      </c>
      <c r="AM268" s="3">
        <v>8</v>
      </c>
      <c r="AN268" s="3">
        <v>2</v>
      </c>
      <c r="AO268" s="3">
        <v>2</v>
      </c>
      <c r="AP268" s="3">
        <v>0</v>
      </c>
      <c r="AQ268" s="3">
        <v>0</v>
      </c>
      <c r="AR268" s="2" t="s">
        <v>63</v>
      </c>
      <c r="AS268" s="2" t="s">
        <v>74</v>
      </c>
      <c r="AT268" s="5" t="str">
        <f>HYPERLINK("http://catalog.hathitrust.org/Record/000007699","HathiTrust Record")</f>
        <v>HathiTrust Record</v>
      </c>
      <c r="AU268" s="5" t="str">
        <f>HYPERLINK("https://creighton-primo.hosted.exlibrisgroup.com/primo-explore/search?tab=default_tab&amp;search_scope=EVERYTHING&amp;vid=01CRU&amp;lang=en_US&amp;offset=0&amp;query=any,contains,991003017159702656","Catalog Record")</f>
        <v>Catalog Record</v>
      </c>
      <c r="AV268" s="5" t="str">
        <f>HYPERLINK("http://www.worldcat.org/oclc/581938","WorldCat Record")</f>
        <v>WorldCat Record</v>
      </c>
      <c r="AW268" s="2" t="s">
        <v>3710</v>
      </c>
      <c r="AX268" s="2" t="s">
        <v>3711</v>
      </c>
      <c r="AY268" s="2" t="s">
        <v>3712</v>
      </c>
      <c r="AZ268" s="2" t="s">
        <v>3712</v>
      </c>
      <c r="BA268" s="2" t="s">
        <v>3713</v>
      </c>
      <c r="BB268" s="2" t="s">
        <v>79</v>
      </c>
      <c r="BE268" s="2" t="s">
        <v>3714</v>
      </c>
      <c r="BF268" s="2" t="s">
        <v>3715</v>
      </c>
    </row>
    <row r="269" spans="1:58" ht="39.75" customHeight="1">
      <c r="A269" s="1"/>
      <c r="B269" s="1" t="s">
        <v>58</v>
      </c>
      <c r="C269" s="1" t="s">
        <v>59</v>
      </c>
      <c r="D269" s="1" t="s">
        <v>3716</v>
      </c>
      <c r="E269" s="1" t="s">
        <v>3717</v>
      </c>
      <c r="F269" s="1" t="s">
        <v>3718</v>
      </c>
      <c r="H269" s="2" t="s">
        <v>63</v>
      </c>
      <c r="I269" s="2" t="s">
        <v>64</v>
      </c>
      <c r="J269" s="2" t="s">
        <v>63</v>
      </c>
      <c r="K269" s="2" t="s">
        <v>63</v>
      </c>
      <c r="L269" s="2" t="s">
        <v>65</v>
      </c>
      <c r="N269" s="1" t="s">
        <v>3719</v>
      </c>
      <c r="O269" s="2" t="s">
        <v>798</v>
      </c>
      <c r="Q269" s="2" t="s">
        <v>68</v>
      </c>
      <c r="R269" s="2" t="s">
        <v>106</v>
      </c>
      <c r="T269" s="2" t="s">
        <v>71</v>
      </c>
      <c r="U269" s="3">
        <v>2</v>
      </c>
      <c r="V269" s="3">
        <v>2</v>
      </c>
      <c r="W269" s="4" t="s">
        <v>3720</v>
      </c>
      <c r="X269" s="4" t="s">
        <v>3720</v>
      </c>
      <c r="Y269" s="4" t="s">
        <v>3721</v>
      </c>
      <c r="Z269" s="4" t="s">
        <v>3721</v>
      </c>
      <c r="AA269" s="3">
        <v>346</v>
      </c>
      <c r="AB269" s="3">
        <v>268</v>
      </c>
      <c r="AC269" s="3">
        <v>269</v>
      </c>
      <c r="AD269" s="3">
        <v>2</v>
      </c>
      <c r="AE269" s="3">
        <v>2</v>
      </c>
      <c r="AF269" s="3">
        <v>14</v>
      </c>
      <c r="AG269" s="3">
        <v>14</v>
      </c>
      <c r="AH269" s="3">
        <v>3</v>
      </c>
      <c r="AI269" s="3">
        <v>3</v>
      </c>
      <c r="AJ269" s="3">
        <v>5</v>
      </c>
      <c r="AK269" s="3">
        <v>5</v>
      </c>
      <c r="AL269" s="3">
        <v>11</v>
      </c>
      <c r="AM269" s="3">
        <v>11</v>
      </c>
      <c r="AN269" s="3">
        <v>1</v>
      </c>
      <c r="AO269" s="3">
        <v>1</v>
      </c>
      <c r="AP269" s="3">
        <v>0</v>
      </c>
      <c r="AQ269" s="3">
        <v>0</v>
      </c>
      <c r="AR269" s="2" t="s">
        <v>63</v>
      </c>
      <c r="AS269" s="2" t="s">
        <v>63</v>
      </c>
      <c r="AU269" s="5" t="str">
        <f>HYPERLINK("https://creighton-primo.hosted.exlibrisgroup.com/primo-explore/search?tab=default_tab&amp;search_scope=EVERYTHING&amp;vid=01CRU&amp;lang=en_US&amp;offset=0&amp;query=any,contains,991002019749702656","Catalog Record")</f>
        <v>Catalog Record</v>
      </c>
      <c r="AV269" s="5" t="str">
        <f>HYPERLINK("http://www.worldcat.org/oclc/25677406","WorldCat Record")</f>
        <v>WorldCat Record</v>
      </c>
      <c r="AW269" s="2" t="s">
        <v>3722</v>
      </c>
      <c r="AX269" s="2" t="s">
        <v>3723</v>
      </c>
      <c r="AY269" s="2" t="s">
        <v>3724</v>
      </c>
      <c r="AZ269" s="2" t="s">
        <v>3724</v>
      </c>
      <c r="BA269" s="2" t="s">
        <v>3725</v>
      </c>
      <c r="BB269" s="2" t="s">
        <v>79</v>
      </c>
      <c r="BD269" s="2" t="s">
        <v>3726</v>
      </c>
      <c r="BE269" s="2" t="s">
        <v>3727</v>
      </c>
      <c r="BF269" s="2" t="s">
        <v>3728</v>
      </c>
    </row>
    <row r="270" spans="1:58" ht="39.75" customHeight="1">
      <c r="A270" s="1"/>
      <c r="B270" s="1" t="s">
        <v>58</v>
      </c>
      <c r="C270" s="1" t="s">
        <v>59</v>
      </c>
      <c r="D270" s="1" t="s">
        <v>3729</v>
      </c>
      <c r="E270" s="1" t="s">
        <v>3730</v>
      </c>
      <c r="F270" s="1" t="s">
        <v>3731</v>
      </c>
      <c r="H270" s="2" t="s">
        <v>63</v>
      </c>
      <c r="I270" s="2" t="s">
        <v>64</v>
      </c>
      <c r="J270" s="2" t="s">
        <v>63</v>
      </c>
      <c r="K270" s="2" t="s">
        <v>63</v>
      </c>
      <c r="L270" s="2" t="s">
        <v>65</v>
      </c>
      <c r="M270" s="1" t="s">
        <v>3732</v>
      </c>
      <c r="N270" s="1" t="s">
        <v>3733</v>
      </c>
      <c r="O270" s="2" t="s">
        <v>2636</v>
      </c>
      <c r="Q270" s="2" t="s">
        <v>68</v>
      </c>
      <c r="R270" s="2" t="s">
        <v>106</v>
      </c>
      <c r="T270" s="2" t="s">
        <v>71</v>
      </c>
      <c r="U270" s="3">
        <v>1</v>
      </c>
      <c r="V270" s="3">
        <v>1</v>
      </c>
      <c r="W270" s="4" t="s">
        <v>3734</v>
      </c>
      <c r="X270" s="4" t="s">
        <v>3734</v>
      </c>
      <c r="Y270" s="4" t="s">
        <v>333</v>
      </c>
      <c r="Z270" s="4" t="s">
        <v>333</v>
      </c>
      <c r="AA270" s="3">
        <v>164</v>
      </c>
      <c r="AB270" s="3">
        <v>149</v>
      </c>
      <c r="AC270" s="3">
        <v>149</v>
      </c>
      <c r="AD270" s="3">
        <v>3</v>
      </c>
      <c r="AE270" s="3">
        <v>3</v>
      </c>
      <c r="AF270" s="3">
        <v>15</v>
      </c>
      <c r="AG270" s="3">
        <v>15</v>
      </c>
      <c r="AH270" s="3">
        <v>3</v>
      </c>
      <c r="AI270" s="3">
        <v>3</v>
      </c>
      <c r="AJ270" s="3">
        <v>5</v>
      </c>
      <c r="AK270" s="3">
        <v>5</v>
      </c>
      <c r="AL270" s="3">
        <v>12</v>
      </c>
      <c r="AM270" s="3">
        <v>12</v>
      </c>
      <c r="AN270" s="3">
        <v>0</v>
      </c>
      <c r="AO270" s="3">
        <v>0</v>
      </c>
      <c r="AP270" s="3">
        <v>0</v>
      </c>
      <c r="AQ270" s="3">
        <v>0</v>
      </c>
      <c r="AR270" s="2" t="s">
        <v>63</v>
      </c>
      <c r="AS270" s="2" t="s">
        <v>63</v>
      </c>
      <c r="AU270" s="5" t="str">
        <f>HYPERLINK("https://creighton-primo.hosted.exlibrisgroup.com/primo-explore/search?tab=default_tab&amp;search_scope=EVERYTHING&amp;vid=01CRU&amp;lang=en_US&amp;offset=0&amp;query=any,contains,991002764989702656","Catalog Record")</f>
        <v>Catalog Record</v>
      </c>
      <c r="AV270" s="5" t="str">
        <f>HYPERLINK("http://www.worldcat.org/oclc/432607","WorldCat Record")</f>
        <v>WorldCat Record</v>
      </c>
      <c r="AW270" s="2" t="s">
        <v>3735</v>
      </c>
      <c r="AX270" s="2" t="s">
        <v>3736</v>
      </c>
      <c r="AY270" s="2" t="s">
        <v>3737</v>
      </c>
      <c r="AZ270" s="2" t="s">
        <v>3737</v>
      </c>
      <c r="BA270" s="2" t="s">
        <v>3738</v>
      </c>
      <c r="BB270" s="2" t="s">
        <v>79</v>
      </c>
      <c r="BE270" s="2" t="s">
        <v>3739</v>
      </c>
      <c r="BF270" s="2" t="s">
        <v>3740</v>
      </c>
    </row>
    <row r="271" spans="1:58" ht="39.75" customHeight="1">
      <c r="A271" s="1"/>
      <c r="B271" s="1" t="s">
        <v>58</v>
      </c>
      <c r="C271" s="1" t="s">
        <v>59</v>
      </c>
      <c r="D271" s="1" t="s">
        <v>3741</v>
      </c>
      <c r="E271" s="1" t="s">
        <v>3742</v>
      </c>
      <c r="F271" s="1" t="s">
        <v>3743</v>
      </c>
      <c r="H271" s="2" t="s">
        <v>63</v>
      </c>
      <c r="I271" s="2" t="s">
        <v>64</v>
      </c>
      <c r="J271" s="2" t="s">
        <v>63</v>
      </c>
      <c r="K271" s="2" t="s">
        <v>63</v>
      </c>
      <c r="L271" s="2" t="s">
        <v>65</v>
      </c>
      <c r="M271" s="1" t="s">
        <v>3744</v>
      </c>
      <c r="N271" s="1" t="s">
        <v>3745</v>
      </c>
      <c r="O271" s="2" t="s">
        <v>314</v>
      </c>
      <c r="Q271" s="2" t="s">
        <v>68</v>
      </c>
      <c r="R271" s="2" t="s">
        <v>106</v>
      </c>
      <c r="S271" s="1" t="s">
        <v>3746</v>
      </c>
      <c r="T271" s="2" t="s">
        <v>71</v>
      </c>
      <c r="U271" s="3">
        <v>1</v>
      </c>
      <c r="V271" s="3">
        <v>1</v>
      </c>
      <c r="W271" s="4" t="s">
        <v>3747</v>
      </c>
      <c r="X271" s="4" t="s">
        <v>3747</v>
      </c>
      <c r="Y271" s="4" t="s">
        <v>333</v>
      </c>
      <c r="Z271" s="4" t="s">
        <v>333</v>
      </c>
      <c r="AA271" s="3">
        <v>293</v>
      </c>
      <c r="AB271" s="3">
        <v>220</v>
      </c>
      <c r="AC271" s="3">
        <v>402</v>
      </c>
      <c r="AD271" s="3">
        <v>1</v>
      </c>
      <c r="AE271" s="3">
        <v>1</v>
      </c>
      <c r="AF271" s="3">
        <v>6</v>
      </c>
      <c r="AG271" s="3">
        <v>14</v>
      </c>
      <c r="AH271" s="3">
        <v>3</v>
      </c>
      <c r="AI271" s="3">
        <v>7</v>
      </c>
      <c r="AJ271" s="3">
        <v>1</v>
      </c>
      <c r="AK271" s="3">
        <v>2</v>
      </c>
      <c r="AL271" s="3">
        <v>4</v>
      </c>
      <c r="AM271" s="3">
        <v>9</v>
      </c>
      <c r="AN271" s="3">
        <v>0</v>
      </c>
      <c r="AO271" s="3">
        <v>0</v>
      </c>
      <c r="AP271" s="3">
        <v>0</v>
      </c>
      <c r="AQ271" s="3">
        <v>0</v>
      </c>
      <c r="AR271" s="2" t="s">
        <v>63</v>
      </c>
      <c r="AS271" s="2" t="s">
        <v>74</v>
      </c>
      <c r="AT271" s="5" t="str">
        <f>HYPERLINK("http://catalog.hathitrust.org/Record/000710419","HathiTrust Record")</f>
        <v>HathiTrust Record</v>
      </c>
      <c r="AU271" s="5" t="str">
        <f>HYPERLINK("https://creighton-primo.hosted.exlibrisgroup.com/primo-explore/search?tab=default_tab&amp;search_scope=EVERYTHING&amp;vid=01CRU&amp;lang=en_US&amp;offset=0&amp;query=any,contains,991004046679702656","Catalog Record")</f>
        <v>Catalog Record</v>
      </c>
      <c r="AV271" s="5" t="str">
        <f>HYPERLINK("http://www.worldcat.org/oclc/2202484","WorldCat Record")</f>
        <v>WorldCat Record</v>
      </c>
      <c r="AW271" s="2" t="s">
        <v>3748</v>
      </c>
      <c r="AX271" s="2" t="s">
        <v>3749</v>
      </c>
      <c r="AY271" s="2" t="s">
        <v>3750</v>
      </c>
      <c r="AZ271" s="2" t="s">
        <v>3750</v>
      </c>
      <c r="BA271" s="2" t="s">
        <v>3751</v>
      </c>
      <c r="BB271" s="2" t="s">
        <v>79</v>
      </c>
      <c r="BD271" s="2" t="s">
        <v>3752</v>
      </c>
      <c r="BE271" s="2" t="s">
        <v>3753</v>
      </c>
      <c r="BF271" s="2" t="s">
        <v>3754</v>
      </c>
    </row>
    <row r="272" spans="1:58" ht="39.75" customHeight="1">
      <c r="A272" s="1"/>
      <c r="B272" s="1" t="s">
        <v>58</v>
      </c>
      <c r="C272" s="1" t="s">
        <v>59</v>
      </c>
      <c r="D272" s="1" t="s">
        <v>3755</v>
      </c>
      <c r="E272" s="1" t="s">
        <v>3756</v>
      </c>
      <c r="F272" s="1" t="s">
        <v>3757</v>
      </c>
      <c r="H272" s="2" t="s">
        <v>63</v>
      </c>
      <c r="I272" s="2" t="s">
        <v>64</v>
      </c>
      <c r="J272" s="2" t="s">
        <v>63</v>
      </c>
      <c r="K272" s="2" t="s">
        <v>63</v>
      </c>
      <c r="L272" s="2" t="s">
        <v>65</v>
      </c>
      <c r="N272" s="1" t="s">
        <v>3758</v>
      </c>
      <c r="O272" s="2" t="s">
        <v>641</v>
      </c>
      <c r="Q272" s="2" t="s">
        <v>68</v>
      </c>
      <c r="R272" s="2" t="s">
        <v>500</v>
      </c>
      <c r="S272" s="1" t="s">
        <v>3759</v>
      </c>
      <c r="T272" s="2" t="s">
        <v>71</v>
      </c>
      <c r="U272" s="3">
        <v>5</v>
      </c>
      <c r="V272" s="3">
        <v>5</v>
      </c>
      <c r="W272" s="4" t="s">
        <v>3760</v>
      </c>
      <c r="X272" s="4" t="s">
        <v>3760</v>
      </c>
      <c r="Y272" s="4" t="s">
        <v>3146</v>
      </c>
      <c r="Z272" s="4" t="s">
        <v>3146</v>
      </c>
      <c r="AA272" s="3">
        <v>242</v>
      </c>
      <c r="AB272" s="3">
        <v>189</v>
      </c>
      <c r="AC272" s="3">
        <v>191</v>
      </c>
      <c r="AD272" s="3">
        <v>1</v>
      </c>
      <c r="AE272" s="3">
        <v>1</v>
      </c>
      <c r="AF272" s="3">
        <v>3</v>
      </c>
      <c r="AG272" s="3">
        <v>3</v>
      </c>
      <c r="AH272" s="3">
        <v>0</v>
      </c>
      <c r="AI272" s="3">
        <v>0</v>
      </c>
      <c r="AJ272" s="3">
        <v>0</v>
      </c>
      <c r="AK272" s="3">
        <v>0</v>
      </c>
      <c r="AL272" s="3">
        <v>3</v>
      </c>
      <c r="AM272" s="3">
        <v>3</v>
      </c>
      <c r="AN272" s="3">
        <v>0</v>
      </c>
      <c r="AO272" s="3">
        <v>0</v>
      </c>
      <c r="AP272" s="3">
        <v>0</v>
      </c>
      <c r="AQ272" s="3">
        <v>0</v>
      </c>
      <c r="AR272" s="2" t="s">
        <v>63</v>
      </c>
      <c r="AS272" s="2" t="s">
        <v>74</v>
      </c>
      <c r="AT272" s="5" t="str">
        <f>HYPERLINK("http://catalog.hathitrust.org/Record/000221446","HathiTrust Record")</f>
        <v>HathiTrust Record</v>
      </c>
      <c r="AU272" s="5" t="str">
        <f>HYPERLINK("https://creighton-primo.hosted.exlibrisgroup.com/primo-explore/search?tab=default_tab&amp;search_scope=EVERYTHING&amp;vid=01CRU&amp;lang=en_US&amp;offset=0&amp;query=any,contains,991005132509702656","Catalog Record")</f>
        <v>Catalog Record</v>
      </c>
      <c r="AV272" s="5" t="str">
        <f>HYPERLINK("http://www.worldcat.org/oclc/7573617","WorldCat Record")</f>
        <v>WorldCat Record</v>
      </c>
      <c r="AW272" s="2" t="s">
        <v>3761</v>
      </c>
      <c r="AX272" s="2" t="s">
        <v>3762</v>
      </c>
      <c r="AY272" s="2" t="s">
        <v>3763</v>
      </c>
      <c r="AZ272" s="2" t="s">
        <v>3763</v>
      </c>
      <c r="BA272" s="2" t="s">
        <v>3764</v>
      </c>
      <c r="BB272" s="2" t="s">
        <v>79</v>
      </c>
      <c r="BD272" s="2" t="s">
        <v>3765</v>
      </c>
      <c r="BE272" s="2" t="s">
        <v>3766</v>
      </c>
      <c r="BF272" s="2" t="s">
        <v>3767</v>
      </c>
    </row>
    <row r="273" spans="1:58" ht="39.75" customHeight="1">
      <c r="A273" s="1"/>
      <c r="B273" s="1" t="s">
        <v>58</v>
      </c>
      <c r="C273" s="1" t="s">
        <v>59</v>
      </c>
      <c r="D273" s="1" t="s">
        <v>3768</v>
      </c>
      <c r="E273" s="1" t="s">
        <v>3769</v>
      </c>
      <c r="F273" s="1" t="s">
        <v>3770</v>
      </c>
      <c r="H273" s="2" t="s">
        <v>63</v>
      </c>
      <c r="I273" s="2" t="s">
        <v>64</v>
      </c>
      <c r="J273" s="2" t="s">
        <v>63</v>
      </c>
      <c r="K273" s="2" t="s">
        <v>63</v>
      </c>
      <c r="L273" s="2" t="s">
        <v>65</v>
      </c>
      <c r="M273" s="1" t="s">
        <v>3771</v>
      </c>
      <c r="N273" s="1" t="s">
        <v>3772</v>
      </c>
      <c r="O273" s="2" t="s">
        <v>224</v>
      </c>
      <c r="Q273" s="2" t="s">
        <v>68</v>
      </c>
      <c r="R273" s="2" t="s">
        <v>195</v>
      </c>
      <c r="T273" s="2" t="s">
        <v>71</v>
      </c>
      <c r="U273" s="3">
        <v>4</v>
      </c>
      <c r="V273" s="3">
        <v>4</v>
      </c>
      <c r="W273" s="4" t="s">
        <v>3773</v>
      </c>
      <c r="X273" s="4" t="s">
        <v>3773</v>
      </c>
      <c r="Y273" s="4" t="s">
        <v>333</v>
      </c>
      <c r="Z273" s="4" t="s">
        <v>333</v>
      </c>
      <c r="AA273" s="3">
        <v>345</v>
      </c>
      <c r="AB273" s="3">
        <v>318</v>
      </c>
      <c r="AC273" s="3">
        <v>321</v>
      </c>
      <c r="AD273" s="3">
        <v>3</v>
      </c>
      <c r="AE273" s="3">
        <v>3</v>
      </c>
      <c r="AF273" s="3">
        <v>14</v>
      </c>
      <c r="AG273" s="3">
        <v>14</v>
      </c>
      <c r="AH273" s="3">
        <v>5</v>
      </c>
      <c r="AI273" s="3">
        <v>5</v>
      </c>
      <c r="AJ273" s="3">
        <v>4</v>
      </c>
      <c r="AK273" s="3">
        <v>4</v>
      </c>
      <c r="AL273" s="3">
        <v>9</v>
      </c>
      <c r="AM273" s="3">
        <v>9</v>
      </c>
      <c r="AN273" s="3">
        <v>2</v>
      </c>
      <c r="AO273" s="3">
        <v>2</v>
      </c>
      <c r="AP273" s="3">
        <v>0</v>
      </c>
      <c r="AQ273" s="3">
        <v>0</v>
      </c>
      <c r="AR273" s="2" t="s">
        <v>63</v>
      </c>
      <c r="AS273" s="2" t="s">
        <v>74</v>
      </c>
      <c r="AT273" s="5" t="str">
        <f>HYPERLINK("http://catalog.hathitrust.org/Record/001559804","HathiTrust Record")</f>
        <v>HathiTrust Record</v>
      </c>
      <c r="AU273" s="5" t="str">
        <f>HYPERLINK("https://creighton-primo.hosted.exlibrisgroup.com/primo-explore/search?tab=default_tab&amp;search_scope=EVERYTHING&amp;vid=01CRU&amp;lang=en_US&amp;offset=0&amp;query=any,contains,991003237659702656","Catalog Record")</f>
        <v>Catalog Record</v>
      </c>
      <c r="AV273" s="5" t="str">
        <f>HYPERLINK("http://www.worldcat.org/oclc/761892","WorldCat Record")</f>
        <v>WorldCat Record</v>
      </c>
      <c r="AW273" s="2" t="s">
        <v>3774</v>
      </c>
      <c r="AX273" s="2" t="s">
        <v>3775</v>
      </c>
      <c r="AY273" s="2" t="s">
        <v>3776</v>
      </c>
      <c r="AZ273" s="2" t="s">
        <v>3776</v>
      </c>
      <c r="BA273" s="2" t="s">
        <v>3777</v>
      </c>
      <c r="BB273" s="2" t="s">
        <v>79</v>
      </c>
      <c r="BE273" s="2" t="s">
        <v>3778</v>
      </c>
      <c r="BF273" s="2" t="s">
        <v>3779</v>
      </c>
    </row>
    <row r="274" spans="1:58" ht="39.75" customHeight="1">
      <c r="A274" s="1"/>
      <c r="B274" s="1" t="s">
        <v>58</v>
      </c>
      <c r="C274" s="1" t="s">
        <v>59</v>
      </c>
      <c r="D274" s="1" t="s">
        <v>3780</v>
      </c>
      <c r="E274" s="1" t="s">
        <v>3781</v>
      </c>
      <c r="F274" s="1" t="s">
        <v>3782</v>
      </c>
      <c r="H274" s="2" t="s">
        <v>63</v>
      </c>
      <c r="I274" s="2" t="s">
        <v>64</v>
      </c>
      <c r="J274" s="2" t="s">
        <v>63</v>
      </c>
      <c r="K274" s="2" t="s">
        <v>63</v>
      </c>
      <c r="L274" s="2" t="s">
        <v>65</v>
      </c>
      <c r="M274" s="1" t="s">
        <v>3783</v>
      </c>
      <c r="N274" s="1" t="s">
        <v>3784</v>
      </c>
      <c r="O274" s="2" t="s">
        <v>314</v>
      </c>
      <c r="Q274" s="2" t="s">
        <v>68</v>
      </c>
      <c r="R274" s="2" t="s">
        <v>106</v>
      </c>
      <c r="T274" s="2" t="s">
        <v>71</v>
      </c>
      <c r="U274" s="3">
        <v>3</v>
      </c>
      <c r="V274" s="3">
        <v>3</v>
      </c>
      <c r="W274" s="4" t="s">
        <v>3785</v>
      </c>
      <c r="X274" s="4" t="s">
        <v>3785</v>
      </c>
      <c r="Y274" s="4" t="s">
        <v>3146</v>
      </c>
      <c r="Z274" s="4" t="s">
        <v>3146</v>
      </c>
      <c r="AA274" s="3">
        <v>96</v>
      </c>
      <c r="AB274" s="3">
        <v>78</v>
      </c>
      <c r="AC274" s="3">
        <v>83</v>
      </c>
      <c r="AD274" s="3">
        <v>1</v>
      </c>
      <c r="AE274" s="3">
        <v>1</v>
      </c>
      <c r="AF274" s="3">
        <v>2</v>
      </c>
      <c r="AG274" s="3">
        <v>2</v>
      </c>
      <c r="AH274" s="3">
        <v>1</v>
      </c>
      <c r="AI274" s="3">
        <v>1</v>
      </c>
      <c r="AJ274" s="3">
        <v>0</v>
      </c>
      <c r="AK274" s="3">
        <v>0</v>
      </c>
      <c r="AL274" s="3">
        <v>1</v>
      </c>
      <c r="AM274" s="3">
        <v>1</v>
      </c>
      <c r="AN274" s="3">
        <v>0</v>
      </c>
      <c r="AO274" s="3">
        <v>0</v>
      </c>
      <c r="AP274" s="3">
        <v>0</v>
      </c>
      <c r="AQ274" s="3">
        <v>0</v>
      </c>
      <c r="AR274" s="2" t="s">
        <v>63</v>
      </c>
      <c r="AS274" s="2" t="s">
        <v>74</v>
      </c>
      <c r="AT274" s="5" t="str">
        <f>HYPERLINK("http://catalog.hathitrust.org/Record/000778565","HathiTrust Record")</f>
        <v>HathiTrust Record</v>
      </c>
      <c r="AU274" s="5" t="str">
        <f>HYPERLINK("https://creighton-primo.hosted.exlibrisgroup.com/primo-explore/search?tab=default_tab&amp;search_scope=EVERYTHING&amp;vid=01CRU&amp;lang=en_US&amp;offset=0&amp;query=any,contains,991004542179702656","Catalog Record")</f>
        <v>Catalog Record</v>
      </c>
      <c r="AV274" s="5" t="str">
        <f>HYPERLINK("http://www.worldcat.org/oclc/7739996","WorldCat Record")</f>
        <v>WorldCat Record</v>
      </c>
      <c r="AW274" s="2" t="s">
        <v>3786</v>
      </c>
      <c r="AX274" s="2" t="s">
        <v>3787</v>
      </c>
      <c r="AY274" s="2" t="s">
        <v>3788</v>
      </c>
      <c r="AZ274" s="2" t="s">
        <v>3788</v>
      </c>
      <c r="BA274" s="2" t="s">
        <v>3789</v>
      </c>
      <c r="BB274" s="2" t="s">
        <v>79</v>
      </c>
      <c r="BE274" s="2" t="s">
        <v>3790</v>
      </c>
      <c r="BF274" s="2" t="s">
        <v>3791</v>
      </c>
    </row>
    <row r="275" spans="1:58" ht="39.75" customHeight="1">
      <c r="A275" s="1"/>
      <c r="B275" s="1" t="s">
        <v>58</v>
      </c>
      <c r="C275" s="1" t="s">
        <v>59</v>
      </c>
      <c r="D275" s="1" t="s">
        <v>3792</v>
      </c>
      <c r="E275" s="1" t="s">
        <v>3793</v>
      </c>
      <c r="F275" s="1" t="s">
        <v>3794</v>
      </c>
      <c r="H275" s="2" t="s">
        <v>63</v>
      </c>
      <c r="I275" s="2" t="s">
        <v>64</v>
      </c>
      <c r="J275" s="2" t="s">
        <v>63</v>
      </c>
      <c r="K275" s="2" t="s">
        <v>74</v>
      </c>
      <c r="L275" s="2" t="s">
        <v>65</v>
      </c>
      <c r="M275" s="1" t="s">
        <v>2110</v>
      </c>
      <c r="N275" s="1" t="s">
        <v>3795</v>
      </c>
      <c r="O275" s="2" t="s">
        <v>359</v>
      </c>
      <c r="Q275" s="2" t="s">
        <v>68</v>
      </c>
      <c r="R275" s="2" t="s">
        <v>1190</v>
      </c>
      <c r="S275" s="1" t="s">
        <v>3796</v>
      </c>
      <c r="T275" s="2" t="s">
        <v>71</v>
      </c>
      <c r="U275" s="3">
        <v>3</v>
      </c>
      <c r="V275" s="3">
        <v>3</v>
      </c>
      <c r="W275" s="4" t="s">
        <v>3797</v>
      </c>
      <c r="X275" s="4" t="s">
        <v>3797</v>
      </c>
      <c r="Y275" s="4" t="s">
        <v>3798</v>
      </c>
      <c r="Z275" s="4" t="s">
        <v>3798</v>
      </c>
      <c r="AA275" s="3">
        <v>591</v>
      </c>
      <c r="AB275" s="3">
        <v>478</v>
      </c>
      <c r="AC275" s="3">
        <v>755</v>
      </c>
      <c r="AD275" s="3">
        <v>7</v>
      </c>
      <c r="AE275" s="3">
        <v>9</v>
      </c>
      <c r="AF275" s="3">
        <v>23</v>
      </c>
      <c r="AG275" s="3">
        <v>34</v>
      </c>
      <c r="AH275" s="3">
        <v>4</v>
      </c>
      <c r="AI275" s="3">
        <v>8</v>
      </c>
      <c r="AJ275" s="3">
        <v>4</v>
      </c>
      <c r="AK275" s="3">
        <v>6</v>
      </c>
      <c r="AL275" s="3">
        <v>11</v>
      </c>
      <c r="AM275" s="3">
        <v>16</v>
      </c>
      <c r="AN275" s="3">
        <v>6</v>
      </c>
      <c r="AO275" s="3">
        <v>8</v>
      </c>
      <c r="AP275" s="3">
        <v>1</v>
      </c>
      <c r="AQ275" s="3">
        <v>2</v>
      </c>
      <c r="AR275" s="2" t="s">
        <v>63</v>
      </c>
      <c r="AS275" s="2" t="s">
        <v>74</v>
      </c>
      <c r="AT275" s="5" t="str">
        <f>HYPERLINK("http://catalog.hathitrust.org/Record/001559826","HathiTrust Record")</f>
        <v>HathiTrust Record</v>
      </c>
      <c r="AU275" s="5" t="str">
        <f>HYPERLINK("https://creighton-primo.hosted.exlibrisgroup.com/primo-explore/search?tab=default_tab&amp;search_scope=EVERYTHING&amp;vid=01CRU&amp;lang=en_US&amp;offset=0&amp;query=any,contains,991000119189702656","Catalog Record")</f>
        <v>Catalog Record</v>
      </c>
      <c r="AV275" s="5" t="str">
        <f>HYPERLINK("http://www.worldcat.org/oclc/49602","WorldCat Record")</f>
        <v>WorldCat Record</v>
      </c>
      <c r="AW275" s="2" t="s">
        <v>3799</v>
      </c>
      <c r="AX275" s="2" t="s">
        <v>3800</v>
      </c>
      <c r="AY275" s="2" t="s">
        <v>3801</v>
      </c>
      <c r="AZ275" s="2" t="s">
        <v>3801</v>
      </c>
      <c r="BA275" s="2" t="s">
        <v>3802</v>
      </c>
      <c r="BB275" s="2" t="s">
        <v>79</v>
      </c>
      <c r="BD275" s="2" t="s">
        <v>3803</v>
      </c>
      <c r="BE275" s="2" t="s">
        <v>3804</v>
      </c>
      <c r="BF275" s="2" t="s">
        <v>3805</v>
      </c>
    </row>
    <row r="276" spans="1:58" ht="39.75" customHeight="1">
      <c r="A276" s="1"/>
      <c r="B276" s="1" t="s">
        <v>58</v>
      </c>
      <c r="C276" s="1" t="s">
        <v>59</v>
      </c>
      <c r="D276" s="1" t="s">
        <v>3806</v>
      </c>
      <c r="E276" s="1" t="s">
        <v>3807</v>
      </c>
      <c r="F276" s="1" t="s">
        <v>3808</v>
      </c>
      <c r="H276" s="2" t="s">
        <v>63</v>
      </c>
      <c r="I276" s="2" t="s">
        <v>64</v>
      </c>
      <c r="J276" s="2" t="s">
        <v>63</v>
      </c>
      <c r="K276" s="2" t="s">
        <v>63</v>
      </c>
      <c r="L276" s="2" t="s">
        <v>65</v>
      </c>
      <c r="N276" s="1" t="s">
        <v>3809</v>
      </c>
      <c r="O276" s="2" t="s">
        <v>151</v>
      </c>
      <c r="Q276" s="2" t="s">
        <v>68</v>
      </c>
      <c r="R276" s="2" t="s">
        <v>181</v>
      </c>
      <c r="T276" s="2" t="s">
        <v>71</v>
      </c>
      <c r="U276" s="3">
        <v>2</v>
      </c>
      <c r="V276" s="3">
        <v>2</v>
      </c>
      <c r="W276" s="4" t="s">
        <v>3810</v>
      </c>
      <c r="X276" s="4" t="s">
        <v>3810</v>
      </c>
      <c r="Y276" s="4" t="s">
        <v>3146</v>
      </c>
      <c r="Z276" s="4" t="s">
        <v>3146</v>
      </c>
      <c r="AA276" s="3">
        <v>127</v>
      </c>
      <c r="AB276" s="3">
        <v>115</v>
      </c>
      <c r="AC276" s="3">
        <v>117</v>
      </c>
      <c r="AD276" s="3">
        <v>1</v>
      </c>
      <c r="AE276" s="3">
        <v>1</v>
      </c>
      <c r="AF276" s="3">
        <v>2</v>
      </c>
      <c r="AG276" s="3">
        <v>2</v>
      </c>
      <c r="AH276" s="3">
        <v>0</v>
      </c>
      <c r="AI276" s="3">
        <v>0</v>
      </c>
      <c r="AJ276" s="3">
        <v>0</v>
      </c>
      <c r="AK276" s="3">
        <v>0</v>
      </c>
      <c r="AL276" s="3">
        <v>1</v>
      </c>
      <c r="AM276" s="3">
        <v>1</v>
      </c>
      <c r="AN276" s="3">
        <v>0</v>
      </c>
      <c r="AO276" s="3">
        <v>0</v>
      </c>
      <c r="AP276" s="3">
        <v>1</v>
      </c>
      <c r="AQ276" s="3">
        <v>1</v>
      </c>
      <c r="AR276" s="2" t="s">
        <v>63</v>
      </c>
      <c r="AS276" s="2" t="s">
        <v>74</v>
      </c>
      <c r="AT276" s="5" t="str">
        <f>HYPERLINK("http://catalog.hathitrust.org/Record/000376364","HathiTrust Record")</f>
        <v>HathiTrust Record</v>
      </c>
      <c r="AU276" s="5" t="str">
        <f>HYPERLINK("https://creighton-primo.hosted.exlibrisgroup.com/primo-explore/search?tab=default_tab&amp;search_scope=EVERYTHING&amp;vid=01CRU&amp;lang=en_US&amp;offset=0&amp;query=any,contains,991000650449702656","Catalog Record")</f>
        <v>Catalog Record</v>
      </c>
      <c r="AV276" s="5" t="str">
        <f>HYPERLINK("http://www.worldcat.org/oclc/12162653","WorldCat Record")</f>
        <v>WorldCat Record</v>
      </c>
      <c r="AW276" s="2" t="s">
        <v>3811</v>
      </c>
      <c r="AX276" s="2" t="s">
        <v>3812</v>
      </c>
      <c r="AY276" s="2" t="s">
        <v>3813</v>
      </c>
      <c r="AZ276" s="2" t="s">
        <v>3813</v>
      </c>
      <c r="BA276" s="2" t="s">
        <v>3814</v>
      </c>
      <c r="BB276" s="2" t="s">
        <v>79</v>
      </c>
      <c r="BD276" s="2" t="s">
        <v>3815</v>
      </c>
      <c r="BE276" s="2" t="s">
        <v>3816</v>
      </c>
      <c r="BF276" s="2" t="s">
        <v>3817</v>
      </c>
    </row>
    <row r="277" spans="1:58" ht="39.75" customHeight="1">
      <c r="A277" s="1"/>
      <c r="B277" s="1" t="s">
        <v>58</v>
      </c>
      <c r="C277" s="1" t="s">
        <v>59</v>
      </c>
      <c r="D277" s="1" t="s">
        <v>3818</v>
      </c>
      <c r="E277" s="1" t="s">
        <v>3819</v>
      </c>
      <c r="F277" s="1" t="s">
        <v>3820</v>
      </c>
      <c r="H277" s="2" t="s">
        <v>63</v>
      </c>
      <c r="I277" s="2" t="s">
        <v>64</v>
      </c>
      <c r="J277" s="2" t="s">
        <v>63</v>
      </c>
      <c r="K277" s="2" t="s">
        <v>63</v>
      </c>
      <c r="L277" s="2" t="s">
        <v>65</v>
      </c>
      <c r="N277" s="1" t="s">
        <v>3821</v>
      </c>
      <c r="O277" s="2" t="s">
        <v>2301</v>
      </c>
      <c r="Q277" s="2" t="s">
        <v>68</v>
      </c>
      <c r="R277" s="2" t="s">
        <v>399</v>
      </c>
      <c r="S277" s="1" t="s">
        <v>1407</v>
      </c>
      <c r="T277" s="2" t="s">
        <v>71</v>
      </c>
      <c r="U277" s="3">
        <v>4</v>
      </c>
      <c r="V277" s="3">
        <v>4</v>
      </c>
      <c r="W277" s="4" t="s">
        <v>3822</v>
      </c>
      <c r="X277" s="4" t="s">
        <v>3822</v>
      </c>
      <c r="Y277" s="4" t="s">
        <v>3146</v>
      </c>
      <c r="Z277" s="4" t="s">
        <v>3146</v>
      </c>
      <c r="AA277" s="3">
        <v>688</v>
      </c>
      <c r="AB277" s="3">
        <v>621</v>
      </c>
      <c r="AC277" s="3">
        <v>657</v>
      </c>
      <c r="AD277" s="3">
        <v>4</v>
      </c>
      <c r="AE277" s="3">
        <v>4</v>
      </c>
      <c r="AF277" s="3">
        <v>26</v>
      </c>
      <c r="AG277" s="3">
        <v>26</v>
      </c>
      <c r="AH277" s="3">
        <v>7</v>
      </c>
      <c r="AI277" s="3">
        <v>7</v>
      </c>
      <c r="AJ277" s="3">
        <v>8</v>
      </c>
      <c r="AK277" s="3">
        <v>8</v>
      </c>
      <c r="AL277" s="3">
        <v>16</v>
      </c>
      <c r="AM277" s="3">
        <v>16</v>
      </c>
      <c r="AN277" s="3">
        <v>2</v>
      </c>
      <c r="AO277" s="3">
        <v>2</v>
      </c>
      <c r="AP277" s="3">
        <v>0</v>
      </c>
      <c r="AQ277" s="3">
        <v>0</v>
      </c>
      <c r="AR277" s="2" t="s">
        <v>63</v>
      </c>
      <c r="AS277" s="2" t="s">
        <v>74</v>
      </c>
      <c r="AT277" s="5" t="str">
        <f>HYPERLINK("http://catalog.hathitrust.org/Record/001559828","HathiTrust Record")</f>
        <v>HathiTrust Record</v>
      </c>
      <c r="AU277" s="5" t="str">
        <f>HYPERLINK("https://creighton-primo.hosted.exlibrisgroup.com/primo-explore/search?tab=default_tab&amp;search_scope=EVERYTHING&amp;vid=01CRU&amp;lang=en_US&amp;offset=0&amp;query=any,contains,991003205339702656","Catalog Record")</f>
        <v>Catalog Record</v>
      </c>
      <c r="AV277" s="5" t="str">
        <f>HYPERLINK("http://www.worldcat.org/oclc/730549","WorldCat Record")</f>
        <v>WorldCat Record</v>
      </c>
      <c r="AW277" s="2" t="s">
        <v>3823</v>
      </c>
      <c r="AX277" s="2" t="s">
        <v>3824</v>
      </c>
      <c r="AY277" s="2" t="s">
        <v>3825</v>
      </c>
      <c r="AZ277" s="2" t="s">
        <v>3825</v>
      </c>
      <c r="BA277" s="2" t="s">
        <v>3826</v>
      </c>
      <c r="BB277" s="2" t="s">
        <v>79</v>
      </c>
      <c r="BD277" s="2" t="s">
        <v>3827</v>
      </c>
      <c r="BE277" s="2" t="s">
        <v>3828</v>
      </c>
      <c r="BF277" s="2" t="s">
        <v>3829</v>
      </c>
    </row>
    <row r="278" spans="1:58" ht="39.75" customHeight="1">
      <c r="A278" s="1"/>
      <c r="B278" s="1" t="s">
        <v>58</v>
      </c>
      <c r="C278" s="1" t="s">
        <v>59</v>
      </c>
      <c r="D278" s="1" t="s">
        <v>3830</v>
      </c>
      <c r="E278" s="1" t="s">
        <v>3831</v>
      </c>
      <c r="F278" s="1" t="s">
        <v>3832</v>
      </c>
      <c r="H278" s="2" t="s">
        <v>63</v>
      </c>
      <c r="I278" s="2" t="s">
        <v>64</v>
      </c>
      <c r="J278" s="2" t="s">
        <v>63</v>
      </c>
      <c r="K278" s="2" t="s">
        <v>63</v>
      </c>
      <c r="L278" s="2" t="s">
        <v>65</v>
      </c>
      <c r="M278" s="1" t="s">
        <v>3833</v>
      </c>
      <c r="N278" s="1" t="s">
        <v>3834</v>
      </c>
      <c r="O278" s="2" t="s">
        <v>166</v>
      </c>
      <c r="P278" s="1" t="s">
        <v>484</v>
      </c>
      <c r="Q278" s="2" t="s">
        <v>68</v>
      </c>
      <c r="R278" s="2" t="s">
        <v>106</v>
      </c>
      <c r="T278" s="2" t="s">
        <v>71</v>
      </c>
      <c r="U278" s="3">
        <v>4</v>
      </c>
      <c r="V278" s="3">
        <v>4</v>
      </c>
      <c r="W278" s="4" t="s">
        <v>3835</v>
      </c>
      <c r="X278" s="4" t="s">
        <v>3835</v>
      </c>
      <c r="Y278" s="4" t="s">
        <v>3836</v>
      </c>
      <c r="Z278" s="4" t="s">
        <v>3836</v>
      </c>
      <c r="AA278" s="3">
        <v>1180</v>
      </c>
      <c r="AB278" s="3">
        <v>1108</v>
      </c>
      <c r="AC278" s="3">
        <v>1195</v>
      </c>
      <c r="AD278" s="3">
        <v>8</v>
      </c>
      <c r="AE278" s="3">
        <v>8</v>
      </c>
      <c r="AF278" s="3">
        <v>32</v>
      </c>
      <c r="AG278" s="3">
        <v>33</v>
      </c>
      <c r="AH278" s="3">
        <v>12</v>
      </c>
      <c r="AI278" s="3">
        <v>12</v>
      </c>
      <c r="AJ278" s="3">
        <v>7</v>
      </c>
      <c r="AK278" s="3">
        <v>7</v>
      </c>
      <c r="AL278" s="3">
        <v>15</v>
      </c>
      <c r="AM278" s="3">
        <v>16</v>
      </c>
      <c r="AN278" s="3">
        <v>5</v>
      </c>
      <c r="AO278" s="3">
        <v>5</v>
      </c>
      <c r="AP278" s="3">
        <v>0</v>
      </c>
      <c r="AQ278" s="3">
        <v>0</v>
      </c>
      <c r="AR278" s="2" t="s">
        <v>63</v>
      </c>
      <c r="AS278" s="2" t="s">
        <v>74</v>
      </c>
      <c r="AT278" s="5" t="str">
        <f>HYPERLINK("http://catalog.hathitrust.org/Record/000939274","HathiTrust Record")</f>
        <v>HathiTrust Record</v>
      </c>
      <c r="AU278" s="5" t="str">
        <f>HYPERLINK("https://creighton-primo.hosted.exlibrisgroup.com/primo-explore/search?tab=default_tab&amp;search_scope=EVERYTHING&amp;vid=01CRU&amp;lang=en_US&amp;offset=0&amp;query=any,contains,991001352919702656","Catalog Record")</f>
        <v>Catalog Record</v>
      </c>
      <c r="AV278" s="5" t="str">
        <f>HYPERLINK("http://www.worldcat.org/oclc/18456634","WorldCat Record")</f>
        <v>WorldCat Record</v>
      </c>
      <c r="AW278" s="2" t="s">
        <v>3837</v>
      </c>
      <c r="AX278" s="2" t="s">
        <v>3838</v>
      </c>
      <c r="AY278" s="2" t="s">
        <v>3839</v>
      </c>
      <c r="AZ278" s="2" t="s">
        <v>3839</v>
      </c>
      <c r="BA278" s="2" t="s">
        <v>3840</v>
      </c>
      <c r="BB278" s="2" t="s">
        <v>79</v>
      </c>
      <c r="BD278" s="2" t="s">
        <v>3841</v>
      </c>
      <c r="BE278" s="2" t="s">
        <v>3842</v>
      </c>
      <c r="BF278" s="2" t="s">
        <v>3843</v>
      </c>
    </row>
    <row r="279" spans="1:58" ht="39.75" customHeight="1">
      <c r="A279" s="1"/>
      <c r="B279" s="1" t="s">
        <v>58</v>
      </c>
      <c r="C279" s="1" t="s">
        <v>59</v>
      </c>
      <c r="D279" s="1" t="s">
        <v>3844</v>
      </c>
      <c r="E279" s="1" t="s">
        <v>3845</v>
      </c>
      <c r="F279" s="1" t="s">
        <v>3846</v>
      </c>
      <c r="H279" s="2" t="s">
        <v>63</v>
      </c>
      <c r="I279" s="2" t="s">
        <v>64</v>
      </c>
      <c r="J279" s="2" t="s">
        <v>63</v>
      </c>
      <c r="K279" s="2" t="s">
        <v>63</v>
      </c>
      <c r="L279" s="2" t="s">
        <v>65</v>
      </c>
      <c r="M279" s="1" t="s">
        <v>3847</v>
      </c>
      <c r="N279" s="1" t="s">
        <v>3848</v>
      </c>
      <c r="O279" s="2" t="s">
        <v>641</v>
      </c>
      <c r="Q279" s="2" t="s">
        <v>68</v>
      </c>
      <c r="R279" s="2" t="s">
        <v>106</v>
      </c>
      <c r="T279" s="2" t="s">
        <v>71</v>
      </c>
      <c r="U279" s="3">
        <v>3</v>
      </c>
      <c r="V279" s="3">
        <v>3</v>
      </c>
      <c r="W279" s="4" t="s">
        <v>3849</v>
      </c>
      <c r="X279" s="4" t="s">
        <v>3849</v>
      </c>
      <c r="Y279" s="4" t="s">
        <v>3146</v>
      </c>
      <c r="Z279" s="4" t="s">
        <v>3146</v>
      </c>
      <c r="AA279" s="3">
        <v>675</v>
      </c>
      <c r="AB279" s="3">
        <v>609</v>
      </c>
      <c r="AC279" s="3">
        <v>611</v>
      </c>
      <c r="AD279" s="3">
        <v>4</v>
      </c>
      <c r="AE279" s="3">
        <v>4</v>
      </c>
      <c r="AF279" s="3">
        <v>26</v>
      </c>
      <c r="AG279" s="3">
        <v>26</v>
      </c>
      <c r="AH279" s="3">
        <v>10</v>
      </c>
      <c r="AI279" s="3">
        <v>10</v>
      </c>
      <c r="AJ279" s="3">
        <v>4</v>
      </c>
      <c r="AK279" s="3">
        <v>4</v>
      </c>
      <c r="AL279" s="3">
        <v>12</v>
      </c>
      <c r="AM279" s="3">
        <v>12</v>
      </c>
      <c r="AN279" s="3">
        <v>3</v>
      </c>
      <c r="AO279" s="3">
        <v>3</v>
      </c>
      <c r="AP279" s="3">
        <v>1</v>
      </c>
      <c r="AQ279" s="3">
        <v>1</v>
      </c>
      <c r="AR279" s="2" t="s">
        <v>63</v>
      </c>
      <c r="AS279" s="2" t="s">
        <v>74</v>
      </c>
      <c r="AT279" s="5" t="str">
        <f>HYPERLINK("http://catalog.hathitrust.org/Record/000221962","HathiTrust Record")</f>
        <v>HathiTrust Record</v>
      </c>
      <c r="AU279" s="5" t="str">
        <f>HYPERLINK("https://creighton-primo.hosted.exlibrisgroup.com/primo-explore/search?tab=default_tab&amp;search_scope=EVERYTHING&amp;vid=01CRU&amp;lang=en_US&amp;offset=0&amp;query=any,contains,991005131209702656","Catalog Record")</f>
        <v>Catalog Record</v>
      </c>
      <c r="AV279" s="5" t="str">
        <f>HYPERLINK("http://www.worldcat.org/oclc/7572603","WorldCat Record")</f>
        <v>WorldCat Record</v>
      </c>
      <c r="AW279" s="2" t="s">
        <v>3850</v>
      </c>
      <c r="AX279" s="2" t="s">
        <v>3851</v>
      </c>
      <c r="AY279" s="2" t="s">
        <v>3852</v>
      </c>
      <c r="AZ279" s="2" t="s">
        <v>3852</v>
      </c>
      <c r="BA279" s="2" t="s">
        <v>3853</v>
      </c>
      <c r="BB279" s="2" t="s">
        <v>79</v>
      </c>
      <c r="BD279" s="2" t="s">
        <v>3854</v>
      </c>
      <c r="BE279" s="2" t="s">
        <v>3855</v>
      </c>
      <c r="BF279" s="2" t="s">
        <v>3856</v>
      </c>
    </row>
    <row r="280" spans="1:58" ht="39.75" customHeight="1">
      <c r="A280" s="1"/>
      <c r="B280" s="1" t="s">
        <v>58</v>
      </c>
      <c r="C280" s="1" t="s">
        <v>59</v>
      </c>
      <c r="D280" s="1" t="s">
        <v>3857</v>
      </c>
      <c r="E280" s="1" t="s">
        <v>3858</v>
      </c>
      <c r="F280" s="1" t="s">
        <v>3859</v>
      </c>
      <c r="H280" s="2" t="s">
        <v>63</v>
      </c>
      <c r="I280" s="2" t="s">
        <v>64</v>
      </c>
      <c r="J280" s="2" t="s">
        <v>63</v>
      </c>
      <c r="K280" s="2" t="s">
        <v>63</v>
      </c>
      <c r="L280" s="2" t="s">
        <v>65</v>
      </c>
      <c r="M280" s="1" t="s">
        <v>3860</v>
      </c>
      <c r="N280" s="1" t="s">
        <v>3861</v>
      </c>
      <c r="O280" s="2" t="s">
        <v>2301</v>
      </c>
      <c r="Q280" s="2" t="s">
        <v>68</v>
      </c>
      <c r="R280" s="2" t="s">
        <v>1190</v>
      </c>
      <c r="T280" s="2" t="s">
        <v>71</v>
      </c>
      <c r="U280" s="3">
        <v>2</v>
      </c>
      <c r="V280" s="3">
        <v>2</v>
      </c>
      <c r="W280" s="4" t="s">
        <v>3862</v>
      </c>
      <c r="X280" s="4" t="s">
        <v>3862</v>
      </c>
      <c r="Y280" s="4" t="s">
        <v>3863</v>
      </c>
      <c r="Z280" s="4" t="s">
        <v>3863</v>
      </c>
      <c r="AA280" s="3">
        <v>19</v>
      </c>
      <c r="AB280" s="3">
        <v>14</v>
      </c>
      <c r="AC280" s="3">
        <v>16</v>
      </c>
      <c r="AD280" s="3">
        <v>1</v>
      </c>
      <c r="AE280" s="3">
        <v>1</v>
      </c>
      <c r="AF280" s="3">
        <v>0</v>
      </c>
      <c r="AG280" s="3">
        <v>0</v>
      </c>
      <c r="AH280" s="3">
        <v>0</v>
      </c>
      <c r="AI280" s="3">
        <v>0</v>
      </c>
      <c r="AJ280" s="3">
        <v>0</v>
      </c>
      <c r="AK280" s="3">
        <v>0</v>
      </c>
      <c r="AL280" s="3">
        <v>0</v>
      </c>
      <c r="AM280" s="3">
        <v>0</v>
      </c>
      <c r="AN280" s="3">
        <v>0</v>
      </c>
      <c r="AO280" s="3">
        <v>0</v>
      </c>
      <c r="AP280" s="3">
        <v>0</v>
      </c>
      <c r="AQ280" s="3">
        <v>0</v>
      </c>
      <c r="AR280" s="2" t="s">
        <v>63</v>
      </c>
      <c r="AS280" s="2" t="s">
        <v>74</v>
      </c>
      <c r="AT280" s="5" t="str">
        <f>HYPERLINK("http://catalog.hathitrust.org/Record/002079342","HathiTrust Record")</f>
        <v>HathiTrust Record</v>
      </c>
      <c r="AU280" s="5" t="str">
        <f>HYPERLINK("https://creighton-primo.hosted.exlibrisgroup.com/primo-explore/search?tab=default_tab&amp;search_scope=EVERYTHING&amp;vid=01CRU&amp;lang=en_US&amp;offset=0&amp;query=any,contains,991003983319702656","Catalog Record")</f>
        <v>Catalog Record</v>
      </c>
      <c r="AV280" s="5" t="str">
        <f>HYPERLINK("http://www.worldcat.org/oclc/2022341","WorldCat Record")</f>
        <v>WorldCat Record</v>
      </c>
      <c r="AW280" s="2" t="s">
        <v>3864</v>
      </c>
      <c r="AX280" s="2" t="s">
        <v>3865</v>
      </c>
      <c r="AY280" s="2" t="s">
        <v>3866</v>
      </c>
      <c r="AZ280" s="2" t="s">
        <v>3866</v>
      </c>
      <c r="BA280" s="2" t="s">
        <v>3867</v>
      </c>
      <c r="BB280" s="2" t="s">
        <v>79</v>
      </c>
      <c r="BE280" s="2" t="s">
        <v>3868</v>
      </c>
      <c r="BF280" s="2" t="s">
        <v>3869</v>
      </c>
    </row>
    <row r="281" spans="1:58" ht="39.75" customHeight="1">
      <c r="A281" s="1"/>
      <c r="B281" s="1" t="s">
        <v>58</v>
      </c>
      <c r="C281" s="1" t="s">
        <v>59</v>
      </c>
      <c r="D281" s="1" t="s">
        <v>3870</v>
      </c>
      <c r="E281" s="1" t="s">
        <v>3871</v>
      </c>
      <c r="F281" s="1" t="s">
        <v>3872</v>
      </c>
      <c r="H281" s="2" t="s">
        <v>63</v>
      </c>
      <c r="I281" s="2" t="s">
        <v>64</v>
      </c>
      <c r="J281" s="2" t="s">
        <v>63</v>
      </c>
      <c r="K281" s="2" t="s">
        <v>63</v>
      </c>
      <c r="L281" s="2" t="s">
        <v>65</v>
      </c>
      <c r="N281" s="1" t="s">
        <v>3873</v>
      </c>
      <c r="O281" s="2" t="s">
        <v>3441</v>
      </c>
      <c r="Q281" s="2" t="s">
        <v>68</v>
      </c>
      <c r="R281" s="2" t="s">
        <v>979</v>
      </c>
      <c r="T281" s="2" t="s">
        <v>71</v>
      </c>
      <c r="U281" s="3">
        <v>4</v>
      </c>
      <c r="V281" s="3">
        <v>4</v>
      </c>
      <c r="W281" s="4" t="s">
        <v>3695</v>
      </c>
      <c r="X281" s="4" t="s">
        <v>3695</v>
      </c>
      <c r="Y281" s="4" t="s">
        <v>3874</v>
      </c>
      <c r="Z281" s="4" t="s">
        <v>3874</v>
      </c>
      <c r="AA281" s="3">
        <v>243</v>
      </c>
      <c r="AB281" s="3">
        <v>134</v>
      </c>
      <c r="AC281" s="3">
        <v>156</v>
      </c>
      <c r="AD281" s="3">
        <v>2</v>
      </c>
      <c r="AE281" s="3">
        <v>2</v>
      </c>
      <c r="AF281" s="3">
        <v>5</v>
      </c>
      <c r="AG281" s="3">
        <v>5</v>
      </c>
      <c r="AH281" s="3">
        <v>1</v>
      </c>
      <c r="AI281" s="3">
        <v>1</v>
      </c>
      <c r="AJ281" s="3">
        <v>3</v>
      </c>
      <c r="AK281" s="3">
        <v>3</v>
      </c>
      <c r="AL281" s="3">
        <v>1</v>
      </c>
      <c r="AM281" s="3">
        <v>1</v>
      </c>
      <c r="AN281" s="3">
        <v>1</v>
      </c>
      <c r="AO281" s="3">
        <v>1</v>
      </c>
      <c r="AP281" s="3">
        <v>0</v>
      </c>
      <c r="AQ281" s="3">
        <v>0</v>
      </c>
      <c r="AR281" s="2" t="s">
        <v>63</v>
      </c>
      <c r="AS281" s="2" t="s">
        <v>74</v>
      </c>
      <c r="AT281" s="5" t="str">
        <f>HYPERLINK("http://catalog.hathitrust.org/Record/006182687","HathiTrust Record")</f>
        <v>HathiTrust Record</v>
      </c>
      <c r="AU281" s="5" t="str">
        <f>HYPERLINK("https://creighton-primo.hosted.exlibrisgroup.com/primo-explore/search?tab=default_tab&amp;search_scope=EVERYTHING&amp;vid=01CRU&amp;lang=en_US&amp;offset=0&amp;query=any,contains,991000857639702656","Catalog Record")</f>
        <v>Catalog Record</v>
      </c>
      <c r="AV281" s="5" t="str">
        <f>HYPERLINK("http://www.worldcat.org/oclc/149810","WorldCat Record")</f>
        <v>WorldCat Record</v>
      </c>
      <c r="AW281" s="2" t="s">
        <v>3875</v>
      </c>
      <c r="AX281" s="2" t="s">
        <v>3876</v>
      </c>
      <c r="AY281" s="2" t="s">
        <v>3877</v>
      </c>
      <c r="AZ281" s="2" t="s">
        <v>3877</v>
      </c>
      <c r="BA281" s="2" t="s">
        <v>3878</v>
      </c>
      <c r="BB281" s="2" t="s">
        <v>79</v>
      </c>
      <c r="BD281" s="2" t="s">
        <v>3879</v>
      </c>
      <c r="BE281" s="2" t="s">
        <v>3880</v>
      </c>
      <c r="BF281" s="2" t="s">
        <v>3881</v>
      </c>
    </row>
    <row r="282" spans="1:58" ht="39.75" customHeight="1">
      <c r="A282" s="1"/>
      <c r="B282" s="1" t="s">
        <v>58</v>
      </c>
      <c r="C282" s="1" t="s">
        <v>59</v>
      </c>
      <c r="D282" s="1" t="s">
        <v>3882</v>
      </c>
      <c r="E282" s="1" t="s">
        <v>3883</v>
      </c>
      <c r="F282" s="1" t="s">
        <v>3884</v>
      </c>
      <c r="H282" s="2" t="s">
        <v>63</v>
      </c>
      <c r="I282" s="2" t="s">
        <v>64</v>
      </c>
      <c r="J282" s="2" t="s">
        <v>63</v>
      </c>
      <c r="K282" s="2" t="s">
        <v>63</v>
      </c>
      <c r="L282" s="2" t="s">
        <v>65</v>
      </c>
      <c r="M282" s="1" t="s">
        <v>3885</v>
      </c>
      <c r="N282" s="1" t="s">
        <v>3886</v>
      </c>
      <c r="O282" s="2" t="s">
        <v>121</v>
      </c>
      <c r="Q282" s="2" t="s">
        <v>68</v>
      </c>
      <c r="R282" s="2" t="s">
        <v>979</v>
      </c>
      <c r="S282" s="1" t="s">
        <v>3887</v>
      </c>
      <c r="T282" s="2" t="s">
        <v>71</v>
      </c>
      <c r="U282" s="3">
        <v>3</v>
      </c>
      <c r="V282" s="3">
        <v>3</v>
      </c>
      <c r="W282" s="4" t="s">
        <v>3888</v>
      </c>
      <c r="X282" s="4" t="s">
        <v>3888</v>
      </c>
      <c r="Y282" s="4" t="s">
        <v>3146</v>
      </c>
      <c r="Z282" s="4" t="s">
        <v>3146</v>
      </c>
      <c r="AA282" s="3">
        <v>341</v>
      </c>
      <c r="AB282" s="3">
        <v>220</v>
      </c>
      <c r="AC282" s="3">
        <v>220</v>
      </c>
      <c r="AD282" s="3">
        <v>3</v>
      </c>
      <c r="AE282" s="3">
        <v>3</v>
      </c>
      <c r="AF282" s="3">
        <v>9</v>
      </c>
      <c r="AG282" s="3">
        <v>9</v>
      </c>
      <c r="AH282" s="3">
        <v>2</v>
      </c>
      <c r="AI282" s="3">
        <v>2</v>
      </c>
      <c r="AJ282" s="3">
        <v>3</v>
      </c>
      <c r="AK282" s="3">
        <v>3</v>
      </c>
      <c r="AL282" s="3">
        <v>2</v>
      </c>
      <c r="AM282" s="3">
        <v>2</v>
      </c>
      <c r="AN282" s="3">
        <v>2</v>
      </c>
      <c r="AO282" s="3">
        <v>2</v>
      </c>
      <c r="AP282" s="3">
        <v>0</v>
      </c>
      <c r="AQ282" s="3">
        <v>0</v>
      </c>
      <c r="AR282" s="2" t="s">
        <v>63</v>
      </c>
      <c r="AS282" s="2" t="s">
        <v>63</v>
      </c>
      <c r="AU282" s="5" t="str">
        <f>HYPERLINK("https://creighton-primo.hosted.exlibrisgroup.com/primo-explore/search?tab=default_tab&amp;search_scope=EVERYTHING&amp;vid=01CRU&amp;lang=en_US&amp;offset=0&amp;query=any,contains,991004591549702656","Catalog Record")</f>
        <v>Catalog Record</v>
      </c>
      <c r="AV282" s="5" t="str">
        <f>HYPERLINK("http://www.worldcat.org/oclc/4126167","WorldCat Record")</f>
        <v>WorldCat Record</v>
      </c>
      <c r="AW282" s="2" t="s">
        <v>3889</v>
      </c>
      <c r="AX282" s="2" t="s">
        <v>3890</v>
      </c>
      <c r="AY282" s="2" t="s">
        <v>3891</v>
      </c>
      <c r="AZ282" s="2" t="s">
        <v>3891</v>
      </c>
      <c r="BA282" s="2" t="s">
        <v>3892</v>
      </c>
      <c r="BB282" s="2" t="s">
        <v>79</v>
      </c>
      <c r="BD282" s="2" t="s">
        <v>3893</v>
      </c>
      <c r="BE282" s="2" t="s">
        <v>3894</v>
      </c>
      <c r="BF282" s="2" t="s">
        <v>3895</v>
      </c>
    </row>
    <row r="283" spans="1:58" ht="39.75" customHeight="1">
      <c r="A283" s="1"/>
      <c r="B283" s="1" t="s">
        <v>58</v>
      </c>
      <c r="C283" s="1" t="s">
        <v>59</v>
      </c>
      <c r="D283" s="1" t="s">
        <v>3896</v>
      </c>
      <c r="E283" s="1" t="s">
        <v>3897</v>
      </c>
      <c r="F283" s="1" t="s">
        <v>3898</v>
      </c>
      <c r="H283" s="2" t="s">
        <v>63</v>
      </c>
      <c r="I283" s="2" t="s">
        <v>64</v>
      </c>
      <c r="J283" s="2" t="s">
        <v>63</v>
      </c>
      <c r="K283" s="2" t="s">
        <v>63</v>
      </c>
      <c r="L283" s="2" t="s">
        <v>65</v>
      </c>
      <c r="M283" s="1" t="s">
        <v>3899</v>
      </c>
      <c r="N283" s="1" t="s">
        <v>3900</v>
      </c>
      <c r="O283" s="2" t="s">
        <v>655</v>
      </c>
      <c r="Q283" s="2" t="s">
        <v>68</v>
      </c>
      <c r="R283" s="2" t="s">
        <v>2034</v>
      </c>
      <c r="T283" s="2" t="s">
        <v>71</v>
      </c>
      <c r="U283" s="3">
        <v>1</v>
      </c>
      <c r="V283" s="3">
        <v>1</v>
      </c>
      <c r="W283" s="4" t="s">
        <v>3901</v>
      </c>
      <c r="X283" s="4" t="s">
        <v>3901</v>
      </c>
      <c r="Y283" s="4" t="s">
        <v>3901</v>
      </c>
      <c r="Z283" s="4" t="s">
        <v>3901</v>
      </c>
      <c r="AA283" s="3">
        <v>20</v>
      </c>
      <c r="AB283" s="3">
        <v>20</v>
      </c>
      <c r="AC283" s="3">
        <v>21</v>
      </c>
      <c r="AD283" s="3">
        <v>1</v>
      </c>
      <c r="AE283" s="3">
        <v>1</v>
      </c>
      <c r="AF283" s="3">
        <v>1</v>
      </c>
      <c r="AG283" s="3">
        <v>1</v>
      </c>
      <c r="AH283" s="3">
        <v>0</v>
      </c>
      <c r="AI283" s="3">
        <v>0</v>
      </c>
      <c r="AJ283" s="3">
        <v>0</v>
      </c>
      <c r="AK283" s="3">
        <v>0</v>
      </c>
      <c r="AL283" s="3">
        <v>1</v>
      </c>
      <c r="AM283" s="3">
        <v>1</v>
      </c>
      <c r="AN283" s="3">
        <v>0</v>
      </c>
      <c r="AO283" s="3">
        <v>0</v>
      </c>
      <c r="AP283" s="3">
        <v>0</v>
      </c>
      <c r="AQ283" s="3">
        <v>0</v>
      </c>
      <c r="AR283" s="2" t="s">
        <v>63</v>
      </c>
      <c r="AS283" s="2" t="s">
        <v>74</v>
      </c>
      <c r="AT283" s="5" t="str">
        <f>HYPERLINK("http://catalog.hathitrust.org/Record/004173101","HathiTrust Record")</f>
        <v>HathiTrust Record</v>
      </c>
      <c r="AU283" s="5" t="str">
        <f>HYPERLINK("https://creighton-primo.hosted.exlibrisgroup.com/primo-explore/search?tab=default_tab&amp;search_scope=EVERYTHING&amp;vid=01CRU&amp;lang=en_US&amp;offset=0&amp;query=any,contains,991003243479702656","Catalog Record")</f>
        <v>Catalog Record</v>
      </c>
      <c r="AV283" s="5" t="str">
        <f>HYPERLINK("http://www.worldcat.org/oclc/43690068","WorldCat Record")</f>
        <v>WorldCat Record</v>
      </c>
      <c r="AW283" s="2" t="s">
        <v>3902</v>
      </c>
      <c r="AX283" s="2" t="s">
        <v>3903</v>
      </c>
      <c r="AY283" s="2" t="s">
        <v>3904</v>
      </c>
      <c r="AZ283" s="2" t="s">
        <v>3904</v>
      </c>
      <c r="BA283" s="2" t="s">
        <v>3905</v>
      </c>
      <c r="BB283" s="2" t="s">
        <v>79</v>
      </c>
      <c r="BD283" s="2" t="s">
        <v>3906</v>
      </c>
      <c r="BE283" s="2" t="s">
        <v>3907</v>
      </c>
      <c r="BF283" s="2" t="s">
        <v>3908</v>
      </c>
    </row>
    <row r="284" spans="1:58" ht="39.75" customHeight="1">
      <c r="A284" s="1"/>
      <c r="B284" s="1" t="s">
        <v>58</v>
      </c>
      <c r="C284" s="1" t="s">
        <v>59</v>
      </c>
      <c r="D284" s="1" t="s">
        <v>3909</v>
      </c>
      <c r="E284" s="1" t="s">
        <v>3910</v>
      </c>
      <c r="F284" s="1" t="s">
        <v>3911</v>
      </c>
      <c r="H284" s="2" t="s">
        <v>63</v>
      </c>
      <c r="I284" s="2" t="s">
        <v>64</v>
      </c>
      <c r="J284" s="2" t="s">
        <v>63</v>
      </c>
      <c r="K284" s="2" t="s">
        <v>63</v>
      </c>
      <c r="L284" s="2" t="s">
        <v>65</v>
      </c>
      <c r="M284" s="1" t="s">
        <v>3912</v>
      </c>
      <c r="N284" s="1" t="s">
        <v>3913</v>
      </c>
      <c r="O284" s="2" t="s">
        <v>641</v>
      </c>
      <c r="Q284" s="2" t="s">
        <v>68</v>
      </c>
      <c r="R284" s="2" t="s">
        <v>2034</v>
      </c>
      <c r="S284" s="1" t="s">
        <v>3914</v>
      </c>
      <c r="T284" s="2" t="s">
        <v>71</v>
      </c>
      <c r="U284" s="3">
        <v>2</v>
      </c>
      <c r="V284" s="3">
        <v>2</v>
      </c>
      <c r="W284" s="4" t="s">
        <v>3915</v>
      </c>
      <c r="X284" s="4" t="s">
        <v>3915</v>
      </c>
      <c r="Y284" s="4" t="s">
        <v>3146</v>
      </c>
      <c r="Z284" s="4" t="s">
        <v>3146</v>
      </c>
      <c r="AA284" s="3">
        <v>181</v>
      </c>
      <c r="AB284" s="3">
        <v>139</v>
      </c>
      <c r="AC284" s="3">
        <v>141</v>
      </c>
      <c r="AD284" s="3">
        <v>2</v>
      </c>
      <c r="AE284" s="3">
        <v>2</v>
      </c>
      <c r="AF284" s="3">
        <v>3</v>
      </c>
      <c r="AG284" s="3">
        <v>3</v>
      </c>
      <c r="AH284" s="3">
        <v>1</v>
      </c>
      <c r="AI284" s="3">
        <v>1</v>
      </c>
      <c r="AJ284" s="3">
        <v>1</v>
      </c>
      <c r="AK284" s="3">
        <v>1</v>
      </c>
      <c r="AL284" s="3">
        <v>3</v>
      </c>
      <c r="AM284" s="3">
        <v>3</v>
      </c>
      <c r="AN284" s="3">
        <v>0</v>
      </c>
      <c r="AO284" s="3">
        <v>0</v>
      </c>
      <c r="AP284" s="3">
        <v>0</v>
      </c>
      <c r="AQ284" s="3">
        <v>0</v>
      </c>
      <c r="AR284" s="2" t="s">
        <v>63</v>
      </c>
      <c r="AS284" s="2" t="s">
        <v>74</v>
      </c>
      <c r="AT284" s="5" t="str">
        <f>HYPERLINK("http://catalog.hathitrust.org/Record/000191060","HathiTrust Record")</f>
        <v>HathiTrust Record</v>
      </c>
      <c r="AU284" s="5" t="str">
        <f>HYPERLINK("https://creighton-primo.hosted.exlibrisgroup.com/primo-explore/search?tab=default_tab&amp;search_scope=EVERYTHING&amp;vid=01CRU&amp;lang=en_US&amp;offset=0&amp;query=any,contains,991005155869702656","Catalog Record")</f>
        <v>Catalog Record</v>
      </c>
      <c r="AV284" s="5" t="str">
        <f>HYPERLINK("http://www.worldcat.org/oclc/7739553","WorldCat Record")</f>
        <v>WorldCat Record</v>
      </c>
      <c r="AW284" s="2" t="s">
        <v>3916</v>
      </c>
      <c r="AX284" s="2" t="s">
        <v>3917</v>
      </c>
      <c r="AY284" s="2" t="s">
        <v>3918</v>
      </c>
      <c r="AZ284" s="2" t="s">
        <v>3918</v>
      </c>
      <c r="BA284" s="2" t="s">
        <v>3919</v>
      </c>
      <c r="BB284" s="2" t="s">
        <v>79</v>
      </c>
      <c r="BD284" s="2" t="s">
        <v>3920</v>
      </c>
      <c r="BE284" s="2" t="s">
        <v>3921</v>
      </c>
      <c r="BF284" s="2" t="s">
        <v>3922</v>
      </c>
    </row>
    <row r="285" spans="1:58" ht="39.75" customHeight="1">
      <c r="A285" s="1"/>
      <c r="B285" s="1" t="s">
        <v>58</v>
      </c>
      <c r="C285" s="1" t="s">
        <v>59</v>
      </c>
      <c r="D285" s="1" t="s">
        <v>3923</v>
      </c>
      <c r="E285" s="1" t="s">
        <v>3924</v>
      </c>
      <c r="F285" s="1" t="s">
        <v>3925</v>
      </c>
      <c r="H285" s="2" t="s">
        <v>63</v>
      </c>
      <c r="I285" s="2" t="s">
        <v>64</v>
      </c>
      <c r="J285" s="2" t="s">
        <v>63</v>
      </c>
      <c r="K285" s="2" t="s">
        <v>63</v>
      </c>
      <c r="L285" s="2" t="s">
        <v>65</v>
      </c>
      <c r="M285" s="1" t="s">
        <v>3926</v>
      </c>
      <c r="N285" s="1" t="s">
        <v>3927</v>
      </c>
      <c r="O285" s="2" t="s">
        <v>105</v>
      </c>
      <c r="Q285" s="2" t="s">
        <v>68</v>
      </c>
      <c r="R285" s="2" t="s">
        <v>195</v>
      </c>
      <c r="T285" s="2" t="s">
        <v>71</v>
      </c>
      <c r="U285" s="3">
        <v>3</v>
      </c>
      <c r="V285" s="3">
        <v>3</v>
      </c>
      <c r="W285" s="4" t="s">
        <v>3928</v>
      </c>
      <c r="X285" s="4" t="s">
        <v>3928</v>
      </c>
      <c r="Y285" s="4" t="s">
        <v>3929</v>
      </c>
      <c r="Z285" s="4" t="s">
        <v>3929</v>
      </c>
      <c r="AA285" s="3">
        <v>100</v>
      </c>
      <c r="AB285" s="3">
        <v>88</v>
      </c>
      <c r="AC285" s="3">
        <v>88</v>
      </c>
      <c r="AD285" s="3">
        <v>1</v>
      </c>
      <c r="AE285" s="3">
        <v>1</v>
      </c>
      <c r="AF285" s="3">
        <v>1</v>
      </c>
      <c r="AG285" s="3">
        <v>1</v>
      </c>
      <c r="AH285" s="3">
        <v>0</v>
      </c>
      <c r="AI285" s="3">
        <v>0</v>
      </c>
      <c r="AJ285" s="3">
        <v>0</v>
      </c>
      <c r="AK285" s="3">
        <v>0</v>
      </c>
      <c r="AL285" s="3">
        <v>1</v>
      </c>
      <c r="AM285" s="3">
        <v>1</v>
      </c>
      <c r="AN285" s="3">
        <v>0</v>
      </c>
      <c r="AO285" s="3">
        <v>0</v>
      </c>
      <c r="AP285" s="3">
        <v>0</v>
      </c>
      <c r="AQ285" s="3">
        <v>0</v>
      </c>
      <c r="AR285" s="2" t="s">
        <v>63</v>
      </c>
      <c r="AS285" s="2" t="s">
        <v>63</v>
      </c>
      <c r="AU285" s="5" t="str">
        <f>HYPERLINK("https://creighton-primo.hosted.exlibrisgroup.com/primo-explore/search?tab=default_tab&amp;search_scope=EVERYTHING&amp;vid=01CRU&amp;lang=en_US&amp;offset=0&amp;query=any,contains,991000818549702656","Catalog Record")</f>
        <v>Catalog Record</v>
      </c>
      <c r="AV285" s="5" t="str">
        <f>HYPERLINK("http://www.worldcat.org/oclc/13361240","WorldCat Record")</f>
        <v>WorldCat Record</v>
      </c>
      <c r="AW285" s="2" t="s">
        <v>3930</v>
      </c>
      <c r="AX285" s="2" t="s">
        <v>3931</v>
      </c>
      <c r="AY285" s="2" t="s">
        <v>3932</v>
      </c>
      <c r="AZ285" s="2" t="s">
        <v>3932</v>
      </c>
      <c r="BA285" s="2" t="s">
        <v>3933</v>
      </c>
      <c r="BB285" s="2" t="s">
        <v>79</v>
      </c>
      <c r="BD285" s="2" t="s">
        <v>3934</v>
      </c>
      <c r="BE285" s="2" t="s">
        <v>3935</v>
      </c>
      <c r="BF285" s="2" t="s">
        <v>3936</v>
      </c>
    </row>
    <row r="286" spans="1:58" ht="39.75" customHeight="1">
      <c r="A286" s="1"/>
      <c r="B286" s="1" t="s">
        <v>58</v>
      </c>
      <c r="C286" s="1" t="s">
        <v>59</v>
      </c>
      <c r="D286" s="1" t="s">
        <v>3937</v>
      </c>
      <c r="E286" s="1" t="s">
        <v>3938</v>
      </c>
      <c r="F286" s="1" t="s">
        <v>3939</v>
      </c>
      <c r="H286" s="2" t="s">
        <v>63</v>
      </c>
      <c r="I286" s="2" t="s">
        <v>64</v>
      </c>
      <c r="J286" s="2" t="s">
        <v>63</v>
      </c>
      <c r="K286" s="2" t="s">
        <v>63</v>
      </c>
      <c r="L286" s="2" t="s">
        <v>65</v>
      </c>
      <c r="M286" s="1" t="s">
        <v>3940</v>
      </c>
      <c r="N286" s="1" t="s">
        <v>3941</v>
      </c>
      <c r="O286" s="2" t="s">
        <v>627</v>
      </c>
      <c r="Q286" s="2" t="s">
        <v>68</v>
      </c>
      <c r="R286" s="2" t="s">
        <v>979</v>
      </c>
      <c r="S286" s="1" t="s">
        <v>3942</v>
      </c>
      <c r="T286" s="2" t="s">
        <v>71</v>
      </c>
      <c r="U286" s="3">
        <v>1</v>
      </c>
      <c r="V286" s="3">
        <v>1</v>
      </c>
      <c r="W286" s="4" t="s">
        <v>3943</v>
      </c>
      <c r="X286" s="4" t="s">
        <v>3943</v>
      </c>
      <c r="Y286" s="4" t="s">
        <v>3944</v>
      </c>
      <c r="Z286" s="4" t="s">
        <v>3944</v>
      </c>
      <c r="AA286" s="3">
        <v>123</v>
      </c>
      <c r="AB286" s="3">
        <v>41</v>
      </c>
      <c r="AC286" s="3">
        <v>42</v>
      </c>
      <c r="AD286" s="3">
        <v>1</v>
      </c>
      <c r="AE286" s="3">
        <v>1</v>
      </c>
      <c r="AF286" s="3">
        <v>0</v>
      </c>
      <c r="AG286" s="3">
        <v>0</v>
      </c>
      <c r="AH286" s="3">
        <v>0</v>
      </c>
      <c r="AI286" s="3">
        <v>0</v>
      </c>
      <c r="AJ286" s="3">
        <v>0</v>
      </c>
      <c r="AK286" s="3">
        <v>0</v>
      </c>
      <c r="AL286" s="3">
        <v>0</v>
      </c>
      <c r="AM286" s="3">
        <v>0</v>
      </c>
      <c r="AN286" s="3">
        <v>0</v>
      </c>
      <c r="AO286" s="3">
        <v>0</v>
      </c>
      <c r="AP286" s="3">
        <v>0</v>
      </c>
      <c r="AQ286" s="3">
        <v>0</v>
      </c>
      <c r="AR286" s="2" t="s">
        <v>63</v>
      </c>
      <c r="AS286" s="2" t="s">
        <v>63</v>
      </c>
      <c r="AU286" s="5" t="str">
        <f>HYPERLINK("https://creighton-primo.hosted.exlibrisgroup.com/primo-explore/search?tab=default_tab&amp;search_scope=EVERYTHING&amp;vid=01CRU&amp;lang=en_US&amp;offset=0&amp;query=any,contains,991002445249702656","Catalog Record")</f>
        <v>Catalog Record</v>
      </c>
      <c r="AV286" s="5" t="str">
        <f>HYPERLINK("http://www.worldcat.org/oclc/31900145","WorldCat Record")</f>
        <v>WorldCat Record</v>
      </c>
      <c r="AW286" s="2" t="s">
        <v>3945</v>
      </c>
      <c r="AX286" s="2" t="s">
        <v>3946</v>
      </c>
      <c r="AY286" s="2" t="s">
        <v>3947</v>
      </c>
      <c r="AZ286" s="2" t="s">
        <v>3947</v>
      </c>
      <c r="BA286" s="2" t="s">
        <v>3948</v>
      </c>
      <c r="BB286" s="2" t="s">
        <v>79</v>
      </c>
      <c r="BD286" s="2" t="s">
        <v>3949</v>
      </c>
      <c r="BE286" s="2" t="s">
        <v>3950</v>
      </c>
      <c r="BF286" s="2" t="s">
        <v>3951</v>
      </c>
    </row>
    <row r="287" spans="1:58" ht="39.75" customHeight="1">
      <c r="A287" s="1"/>
      <c r="B287" s="1" t="s">
        <v>58</v>
      </c>
      <c r="C287" s="1" t="s">
        <v>59</v>
      </c>
      <c r="D287" s="1" t="s">
        <v>3952</v>
      </c>
      <c r="E287" s="1" t="s">
        <v>3953</v>
      </c>
      <c r="F287" s="1" t="s">
        <v>3954</v>
      </c>
      <c r="H287" s="2" t="s">
        <v>63</v>
      </c>
      <c r="I287" s="2" t="s">
        <v>64</v>
      </c>
      <c r="J287" s="2" t="s">
        <v>63</v>
      </c>
      <c r="K287" s="2" t="s">
        <v>63</v>
      </c>
      <c r="L287" s="2" t="s">
        <v>65</v>
      </c>
      <c r="M287" s="1" t="s">
        <v>3955</v>
      </c>
      <c r="N287" s="1" t="s">
        <v>3956</v>
      </c>
      <c r="O287" s="2" t="s">
        <v>88</v>
      </c>
      <c r="Q287" s="2" t="s">
        <v>68</v>
      </c>
      <c r="R287" s="2" t="s">
        <v>106</v>
      </c>
      <c r="T287" s="2" t="s">
        <v>71</v>
      </c>
      <c r="U287" s="3">
        <v>5</v>
      </c>
      <c r="V287" s="3">
        <v>5</v>
      </c>
      <c r="W287" s="4" t="s">
        <v>3957</v>
      </c>
      <c r="X287" s="4" t="s">
        <v>3957</v>
      </c>
      <c r="Y287" s="4" t="s">
        <v>139</v>
      </c>
      <c r="Z287" s="4" t="s">
        <v>139</v>
      </c>
      <c r="AA287" s="3">
        <v>195</v>
      </c>
      <c r="AB287" s="3">
        <v>174</v>
      </c>
      <c r="AC287" s="3">
        <v>179</v>
      </c>
      <c r="AD287" s="3">
        <v>1</v>
      </c>
      <c r="AE287" s="3">
        <v>1</v>
      </c>
      <c r="AF287" s="3">
        <v>7</v>
      </c>
      <c r="AG287" s="3">
        <v>7</v>
      </c>
      <c r="AH287" s="3">
        <v>3</v>
      </c>
      <c r="AI287" s="3">
        <v>3</v>
      </c>
      <c r="AJ287" s="3">
        <v>3</v>
      </c>
      <c r="AK287" s="3">
        <v>3</v>
      </c>
      <c r="AL287" s="3">
        <v>5</v>
      </c>
      <c r="AM287" s="3">
        <v>5</v>
      </c>
      <c r="AN287" s="3">
        <v>0</v>
      </c>
      <c r="AO287" s="3">
        <v>0</v>
      </c>
      <c r="AP287" s="3">
        <v>0</v>
      </c>
      <c r="AQ287" s="3">
        <v>0</v>
      </c>
      <c r="AR287" s="2" t="s">
        <v>63</v>
      </c>
      <c r="AS287" s="2" t="s">
        <v>63</v>
      </c>
      <c r="AU287" s="5" t="str">
        <f>HYPERLINK("https://creighton-primo.hosted.exlibrisgroup.com/primo-explore/search?tab=default_tab&amp;search_scope=EVERYTHING&amp;vid=01CRU&amp;lang=en_US&amp;offset=0&amp;query=any,contains,991004935909702656","Catalog Record")</f>
        <v>Catalog Record</v>
      </c>
      <c r="AV287" s="5" t="str">
        <f>HYPERLINK("http://www.worldcat.org/oclc/6142961","WorldCat Record")</f>
        <v>WorldCat Record</v>
      </c>
      <c r="AW287" s="2" t="s">
        <v>3958</v>
      </c>
      <c r="AX287" s="2" t="s">
        <v>3959</v>
      </c>
      <c r="AY287" s="2" t="s">
        <v>3960</v>
      </c>
      <c r="AZ287" s="2" t="s">
        <v>3960</v>
      </c>
      <c r="BA287" s="2" t="s">
        <v>3961</v>
      </c>
      <c r="BB287" s="2" t="s">
        <v>79</v>
      </c>
      <c r="BD287" s="2" t="s">
        <v>3962</v>
      </c>
      <c r="BE287" s="2" t="s">
        <v>3963</v>
      </c>
      <c r="BF287" s="2" t="s">
        <v>3964</v>
      </c>
    </row>
    <row r="288" spans="1:58" ht="39.75" customHeight="1">
      <c r="A288" s="1"/>
      <c r="B288" s="1" t="s">
        <v>58</v>
      </c>
      <c r="C288" s="1" t="s">
        <v>59</v>
      </c>
      <c r="D288" s="1" t="s">
        <v>3965</v>
      </c>
      <c r="E288" s="1" t="s">
        <v>3966</v>
      </c>
      <c r="F288" s="1" t="s">
        <v>3967</v>
      </c>
      <c r="H288" s="2" t="s">
        <v>63</v>
      </c>
      <c r="I288" s="2" t="s">
        <v>64</v>
      </c>
      <c r="J288" s="2" t="s">
        <v>63</v>
      </c>
      <c r="K288" s="2" t="s">
        <v>63</v>
      </c>
      <c r="L288" s="2" t="s">
        <v>65</v>
      </c>
      <c r="M288" s="1" t="s">
        <v>3968</v>
      </c>
      <c r="N288" s="1" t="s">
        <v>3969</v>
      </c>
      <c r="O288" s="2" t="s">
        <v>870</v>
      </c>
      <c r="Q288" s="2" t="s">
        <v>68</v>
      </c>
      <c r="R288" s="2" t="s">
        <v>399</v>
      </c>
      <c r="S288" s="1" t="s">
        <v>3970</v>
      </c>
      <c r="T288" s="2" t="s">
        <v>71</v>
      </c>
      <c r="U288" s="3">
        <v>3</v>
      </c>
      <c r="V288" s="3">
        <v>3</v>
      </c>
      <c r="W288" s="4" t="s">
        <v>3971</v>
      </c>
      <c r="X288" s="4" t="s">
        <v>3971</v>
      </c>
      <c r="Y288" s="4" t="s">
        <v>3929</v>
      </c>
      <c r="Z288" s="4" t="s">
        <v>3929</v>
      </c>
      <c r="AA288" s="3">
        <v>238</v>
      </c>
      <c r="AB288" s="3">
        <v>198</v>
      </c>
      <c r="AC288" s="3">
        <v>205</v>
      </c>
      <c r="AD288" s="3">
        <v>2</v>
      </c>
      <c r="AE288" s="3">
        <v>2</v>
      </c>
      <c r="AF288" s="3">
        <v>6</v>
      </c>
      <c r="AG288" s="3">
        <v>6</v>
      </c>
      <c r="AH288" s="3">
        <v>1</v>
      </c>
      <c r="AI288" s="3">
        <v>1</v>
      </c>
      <c r="AJ288" s="3">
        <v>2</v>
      </c>
      <c r="AK288" s="3">
        <v>2</v>
      </c>
      <c r="AL288" s="3">
        <v>4</v>
      </c>
      <c r="AM288" s="3">
        <v>4</v>
      </c>
      <c r="AN288" s="3">
        <v>1</v>
      </c>
      <c r="AO288" s="3">
        <v>1</v>
      </c>
      <c r="AP288" s="3">
        <v>0</v>
      </c>
      <c r="AQ288" s="3">
        <v>0</v>
      </c>
      <c r="AR288" s="2" t="s">
        <v>63</v>
      </c>
      <c r="AS288" s="2" t="s">
        <v>74</v>
      </c>
      <c r="AT288" s="5" t="str">
        <f>HYPERLINK("http://catalog.hathitrust.org/Record/000042288","HathiTrust Record")</f>
        <v>HathiTrust Record</v>
      </c>
      <c r="AU288" s="5" t="str">
        <f>HYPERLINK("https://creighton-primo.hosted.exlibrisgroup.com/primo-explore/search?tab=default_tab&amp;search_scope=EVERYTHING&amp;vid=01CRU&amp;lang=en_US&amp;offset=0&amp;query=any,contains,991003717519702656","Catalog Record")</f>
        <v>Catalog Record</v>
      </c>
      <c r="AV288" s="5" t="str">
        <f>HYPERLINK("http://www.worldcat.org/oclc/1363557","WorldCat Record")</f>
        <v>WorldCat Record</v>
      </c>
      <c r="AW288" s="2" t="s">
        <v>3972</v>
      </c>
      <c r="AX288" s="2" t="s">
        <v>3973</v>
      </c>
      <c r="AY288" s="2" t="s">
        <v>3974</v>
      </c>
      <c r="AZ288" s="2" t="s">
        <v>3974</v>
      </c>
      <c r="BA288" s="2" t="s">
        <v>3975</v>
      </c>
      <c r="BB288" s="2" t="s">
        <v>79</v>
      </c>
      <c r="BD288" s="2" t="s">
        <v>3976</v>
      </c>
      <c r="BE288" s="2" t="s">
        <v>3977</v>
      </c>
      <c r="BF288" s="2" t="s">
        <v>3978</v>
      </c>
    </row>
    <row r="289" spans="1:58" ht="39.75" customHeight="1">
      <c r="A289" s="1"/>
      <c r="B289" s="1" t="s">
        <v>58</v>
      </c>
      <c r="C289" s="1" t="s">
        <v>59</v>
      </c>
      <c r="D289" s="1" t="s">
        <v>3979</v>
      </c>
      <c r="E289" s="1" t="s">
        <v>3980</v>
      </c>
      <c r="F289" s="1" t="s">
        <v>3981</v>
      </c>
      <c r="H289" s="2" t="s">
        <v>63</v>
      </c>
      <c r="I289" s="2" t="s">
        <v>64</v>
      </c>
      <c r="J289" s="2" t="s">
        <v>63</v>
      </c>
      <c r="K289" s="2" t="s">
        <v>63</v>
      </c>
      <c r="L289" s="2" t="s">
        <v>65</v>
      </c>
      <c r="M289" s="1" t="s">
        <v>3982</v>
      </c>
      <c r="N289" s="1" t="s">
        <v>3983</v>
      </c>
      <c r="O289" s="2" t="s">
        <v>136</v>
      </c>
      <c r="Q289" s="2" t="s">
        <v>68</v>
      </c>
      <c r="R289" s="2" t="s">
        <v>106</v>
      </c>
      <c r="T289" s="2" t="s">
        <v>71</v>
      </c>
      <c r="U289" s="3">
        <v>4</v>
      </c>
      <c r="V289" s="3">
        <v>4</v>
      </c>
      <c r="W289" s="4" t="s">
        <v>3984</v>
      </c>
      <c r="X289" s="4" t="s">
        <v>3984</v>
      </c>
      <c r="Y289" s="4" t="s">
        <v>3985</v>
      </c>
      <c r="Z289" s="4" t="s">
        <v>3985</v>
      </c>
      <c r="AA289" s="3">
        <v>229</v>
      </c>
      <c r="AB289" s="3">
        <v>215</v>
      </c>
      <c r="AC289" s="3">
        <v>215</v>
      </c>
      <c r="AD289" s="3">
        <v>1</v>
      </c>
      <c r="AE289" s="3">
        <v>1</v>
      </c>
      <c r="AF289" s="3">
        <v>9</v>
      </c>
      <c r="AG289" s="3">
        <v>9</v>
      </c>
      <c r="AH289" s="3">
        <v>4</v>
      </c>
      <c r="AI289" s="3">
        <v>4</v>
      </c>
      <c r="AJ289" s="3">
        <v>1</v>
      </c>
      <c r="AK289" s="3">
        <v>1</v>
      </c>
      <c r="AL289" s="3">
        <v>7</v>
      </c>
      <c r="AM289" s="3">
        <v>7</v>
      </c>
      <c r="AN289" s="3">
        <v>0</v>
      </c>
      <c r="AO289" s="3">
        <v>0</v>
      </c>
      <c r="AP289" s="3">
        <v>0</v>
      </c>
      <c r="AQ289" s="3">
        <v>0</v>
      </c>
      <c r="AR289" s="2" t="s">
        <v>63</v>
      </c>
      <c r="AS289" s="2" t="s">
        <v>63</v>
      </c>
      <c r="AU289" s="5" t="str">
        <f>HYPERLINK("https://creighton-primo.hosted.exlibrisgroup.com/primo-explore/search?tab=default_tab&amp;search_scope=EVERYTHING&amp;vid=01CRU&amp;lang=en_US&amp;offset=0&amp;query=any,contains,991005204399702656","Catalog Record")</f>
        <v>Catalog Record</v>
      </c>
      <c r="AV289" s="5" t="str">
        <f>HYPERLINK("http://www.worldcat.org/oclc/8111667","WorldCat Record")</f>
        <v>WorldCat Record</v>
      </c>
      <c r="AW289" s="2" t="s">
        <v>3986</v>
      </c>
      <c r="AX289" s="2" t="s">
        <v>3987</v>
      </c>
      <c r="AY289" s="2" t="s">
        <v>3988</v>
      </c>
      <c r="AZ289" s="2" t="s">
        <v>3988</v>
      </c>
      <c r="BA289" s="2" t="s">
        <v>3989</v>
      </c>
      <c r="BB289" s="2" t="s">
        <v>79</v>
      </c>
      <c r="BE289" s="2" t="s">
        <v>3990</v>
      </c>
      <c r="BF289" s="2" t="s">
        <v>3991</v>
      </c>
    </row>
    <row r="290" spans="1:58" ht="39.75" customHeight="1">
      <c r="A290" s="1"/>
      <c r="B290" s="1" t="s">
        <v>58</v>
      </c>
      <c r="C290" s="1" t="s">
        <v>59</v>
      </c>
      <c r="D290" s="1" t="s">
        <v>3992</v>
      </c>
      <c r="E290" s="1" t="s">
        <v>3993</v>
      </c>
      <c r="F290" s="1" t="s">
        <v>3994</v>
      </c>
      <c r="H290" s="2" t="s">
        <v>63</v>
      </c>
      <c r="I290" s="2" t="s">
        <v>64</v>
      </c>
      <c r="J290" s="2" t="s">
        <v>74</v>
      </c>
      <c r="K290" s="2" t="s">
        <v>63</v>
      </c>
      <c r="L290" s="2" t="s">
        <v>65</v>
      </c>
      <c r="M290" s="1" t="s">
        <v>3995</v>
      </c>
      <c r="N290" s="1" t="s">
        <v>3996</v>
      </c>
      <c r="O290" s="2" t="s">
        <v>314</v>
      </c>
      <c r="P290" s="1" t="s">
        <v>3997</v>
      </c>
      <c r="Q290" s="2" t="s">
        <v>68</v>
      </c>
      <c r="R290" s="2" t="s">
        <v>106</v>
      </c>
      <c r="S290" s="1" t="s">
        <v>3998</v>
      </c>
      <c r="T290" s="2" t="s">
        <v>71</v>
      </c>
      <c r="U290" s="3">
        <v>8</v>
      </c>
      <c r="V290" s="3">
        <v>10</v>
      </c>
      <c r="W290" s="4" t="s">
        <v>3957</v>
      </c>
      <c r="X290" s="4" t="s">
        <v>3957</v>
      </c>
      <c r="Y290" s="4" t="s">
        <v>3985</v>
      </c>
      <c r="Z290" s="4" t="s">
        <v>3985</v>
      </c>
      <c r="AA290" s="3">
        <v>199</v>
      </c>
      <c r="AB290" s="3">
        <v>159</v>
      </c>
      <c r="AC290" s="3">
        <v>285</v>
      </c>
      <c r="AD290" s="3">
        <v>4</v>
      </c>
      <c r="AE290" s="3">
        <v>5</v>
      </c>
      <c r="AF290" s="3">
        <v>9</v>
      </c>
      <c r="AG290" s="3">
        <v>14</v>
      </c>
      <c r="AH290" s="3">
        <v>1</v>
      </c>
      <c r="AI290" s="3">
        <v>3</v>
      </c>
      <c r="AJ290" s="3">
        <v>1</v>
      </c>
      <c r="AK290" s="3">
        <v>2</v>
      </c>
      <c r="AL290" s="3">
        <v>4</v>
      </c>
      <c r="AM290" s="3">
        <v>8</v>
      </c>
      <c r="AN290" s="3">
        <v>2</v>
      </c>
      <c r="AO290" s="3">
        <v>3</v>
      </c>
      <c r="AP290" s="3">
        <v>1</v>
      </c>
      <c r="AQ290" s="3">
        <v>1</v>
      </c>
      <c r="AR290" s="2" t="s">
        <v>63</v>
      </c>
      <c r="AS290" s="2" t="s">
        <v>74</v>
      </c>
      <c r="AT290" s="5" t="str">
        <f>HYPERLINK("http://catalog.hathitrust.org/Record/000294210","HathiTrust Record")</f>
        <v>HathiTrust Record</v>
      </c>
      <c r="AU290" s="5" t="str">
        <f>HYPERLINK("https://creighton-primo.hosted.exlibrisgroup.com/primo-explore/search?tab=default_tab&amp;search_scope=EVERYTHING&amp;vid=01CRU&amp;lang=en_US&amp;offset=0&amp;query=any,contains,991001746869702656","Catalog Record")</f>
        <v>Catalog Record</v>
      </c>
      <c r="AV290" s="5" t="str">
        <f>HYPERLINK("http://www.worldcat.org/oclc/3186384","WorldCat Record")</f>
        <v>WorldCat Record</v>
      </c>
      <c r="AW290" s="2" t="s">
        <v>3999</v>
      </c>
      <c r="AX290" s="2" t="s">
        <v>4000</v>
      </c>
      <c r="AY290" s="2" t="s">
        <v>4001</v>
      </c>
      <c r="AZ290" s="2" t="s">
        <v>4001</v>
      </c>
      <c r="BA290" s="2" t="s">
        <v>4002</v>
      </c>
      <c r="BB290" s="2" t="s">
        <v>79</v>
      </c>
      <c r="BE290" s="2" t="s">
        <v>4003</v>
      </c>
      <c r="BF290" s="2" t="s">
        <v>4004</v>
      </c>
    </row>
    <row r="291" spans="1:58" ht="39.75" customHeight="1">
      <c r="A291" s="1"/>
      <c r="B291" s="1" t="s">
        <v>58</v>
      </c>
      <c r="C291" s="1" t="s">
        <v>59</v>
      </c>
      <c r="D291" s="1" t="s">
        <v>4005</v>
      </c>
      <c r="E291" s="1" t="s">
        <v>4006</v>
      </c>
      <c r="F291" s="1" t="s">
        <v>4007</v>
      </c>
      <c r="H291" s="2" t="s">
        <v>63</v>
      </c>
      <c r="I291" s="2" t="s">
        <v>64</v>
      </c>
      <c r="J291" s="2" t="s">
        <v>63</v>
      </c>
      <c r="K291" s="2" t="s">
        <v>63</v>
      </c>
      <c r="L291" s="2" t="s">
        <v>65</v>
      </c>
      <c r="M291" s="1" t="s">
        <v>4008</v>
      </c>
      <c r="N291" s="1" t="s">
        <v>4009</v>
      </c>
      <c r="O291" s="2" t="s">
        <v>209</v>
      </c>
      <c r="Q291" s="2" t="s">
        <v>68</v>
      </c>
      <c r="R291" s="2" t="s">
        <v>106</v>
      </c>
      <c r="T291" s="2" t="s">
        <v>71</v>
      </c>
      <c r="U291" s="3">
        <v>4</v>
      </c>
      <c r="V291" s="3">
        <v>4</v>
      </c>
      <c r="W291" s="4" t="s">
        <v>1219</v>
      </c>
      <c r="X291" s="4" t="s">
        <v>1219</v>
      </c>
      <c r="Y291" s="4" t="s">
        <v>4010</v>
      </c>
      <c r="Z291" s="4" t="s">
        <v>4010</v>
      </c>
      <c r="AA291" s="3">
        <v>136</v>
      </c>
      <c r="AB291" s="3">
        <v>133</v>
      </c>
      <c r="AC291" s="3">
        <v>135</v>
      </c>
      <c r="AD291" s="3">
        <v>1</v>
      </c>
      <c r="AE291" s="3">
        <v>1</v>
      </c>
      <c r="AF291" s="3">
        <v>3</v>
      </c>
      <c r="AG291" s="3">
        <v>3</v>
      </c>
      <c r="AH291" s="3">
        <v>1</v>
      </c>
      <c r="AI291" s="3">
        <v>1</v>
      </c>
      <c r="AJ291" s="3">
        <v>1</v>
      </c>
      <c r="AK291" s="3">
        <v>1</v>
      </c>
      <c r="AL291" s="3">
        <v>2</v>
      </c>
      <c r="AM291" s="3">
        <v>2</v>
      </c>
      <c r="AN291" s="3">
        <v>0</v>
      </c>
      <c r="AO291" s="3">
        <v>0</v>
      </c>
      <c r="AP291" s="3">
        <v>0</v>
      </c>
      <c r="AQ291" s="3">
        <v>0</v>
      </c>
      <c r="AR291" s="2" t="s">
        <v>63</v>
      </c>
      <c r="AS291" s="2" t="s">
        <v>74</v>
      </c>
      <c r="AT291" s="5" t="str">
        <f>HYPERLINK("http://catalog.hathitrust.org/Record/009496107","HathiTrust Record")</f>
        <v>HathiTrust Record</v>
      </c>
      <c r="AU291" s="5" t="str">
        <f>HYPERLINK("https://creighton-primo.hosted.exlibrisgroup.com/primo-explore/search?tab=default_tab&amp;search_scope=EVERYTHING&amp;vid=01CRU&amp;lang=en_US&amp;offset=0&amp;query=any,contains,991000412479702656","Catalog Record")</f>
        <v>Catalog Record</v>
      </c>
      <c r="AV291" s="5" t="str">
        <f>HYPERLINK("http://www.worldcat.org/oclc/10628724","WorldCat Record")</f>
        <v>WorldCat Record</v>
      </c>
      <c r="AW291" s="2" t="s">
        <v>4011</v>
      </c>
      <c r="AX291" s="2" t="s">
        <v>4012</v>
      </c>
      <c r="AY291" s="2" t="s">
        <v>4013</v>
      </c>
      <c r="AZ291" s="2" t="s">
        <v>4013</v>
      </c>
      <c r="BA291" s="2" t="s">
        <v>4014</v>
      </c>
      <c r="BB291" s="2" t="s">
        <v>79</v>
      </c>
      <c r="BD291" s="2" t="s">
        <v>4015</v>
      </c>
      <c r="BE291" s="2" t="s">
        <v>4016</v>
      </c>
      <c r="BF291" s="2" t="s">
        <v>4017</v>
      </c>
    </row>
    <row r="292" spans="1:58" ht="39.75" customHeight="1">
      <c r="A292" s="1"/>
      <c r="B292" s="1" t="s">
        <v>58</v>
      </c>
      <c r="C292" s="1" t="s">
        <v>59</v>
      </c>
      <c r="D292" s="1" t="s">
        <v>4018</v>
      </c>
      <c r="E292" s="1" t="s">
        <v>4019</v>
      </c>
      <c r="F292" s="1" t="s">
        <v>4020</v>
      </c>
      <c r="H292" s="2" t="s">
        <v>63</v>
      </c>
      <c r="I292" s="2" t="s">
        <v>64</v>
      </c>
      <c r="J292" s="2" t="s">
        <v>63</v>
      </c>
      <c r="K292" s="2" t="s">
        <v>63</v>
      </c>
      <c r="L292" s="2" t="s">
        <v>65</v>
      </c>
      <c r="M292" s="1" t="s">
        <v>4021</v>
      </c>
      <c r="N292" s="1" t="s">
        <v>4022</v>
      </c>
      <c r="O292" s="2" t="s">
        <v>1301</v>
      </c>
      <c r="Q292" s="2" t="s">
        <v>68</v>
      </c>
      <c r="R292" s="2" t="s">
        <v>106</v>
      </c>
      <c r="T292" s="2" t="s">
        <v>71</v>
      </c>
      <c r="U292" s="3">
        <v>1</v>
      </c>
      <c r="V292" s="3">
        <v>1</v>
      </c>
      <c r="W292" s="4" t="s">
        <v>429</v>
      </c>
      <c r="X292" s="4" t="s">
        <v>429</v>
      </c>
      <c r="Y292" s="4" t="s">
        <v>4023</v>
      </c>
      <c r="Z292" s="4" t="s">
        <v>4023</v>
      </c>
      <c r="AA292" s="3">
        <v>158</v>
      </c>
      <c r="AB292" s="3">
        <v>136</v>
      </c>
      <c r="AC292" s="3">
        <v>136</v>
      </c>
      <c r="AD292" s="3">
        <v>1</v>
      </c>
      <c r="AE292" s="3">
        <v>1</v>
      </c>
      <c r="AF292" s="3">
        <v>4</v>
      </c>
      <c r="AG292" s="3">
        <v>4</v>
      </c>
      <c r="AH292" s="3">
        <v>2</v>
      </c>
      <c r="AI292" s="3">
        <v>2</v>
      </c>
      <c r="AJ292" s="3">
        <v>1</v>
      </c>
      <c r="AK292" s="3">
        <v>1</v>
      </c>
      <c r="AL292" s="3">
        <v>3</v>
      </c>
      <c r="AM292" s="3">
        <v>3</v>
      </c>
      <c r="AN292" s="3">
        <v>0</v>
      </c>
      <c r="AO292" s="3">
        <v>0</v>
      </c>
      <c r="AP292" s="3">
        <v>0</v>
      </c>
      <c r="AQ292" s="3">
        <v>0</v>
      </c>
      <c r="AR292" s="2" t="s">
        <v>63</v>
      </c>
      <c r="AS292" s="2" t="s">
        <v>63</v>
      </c>
      <c r="AU292" s="5" t="str">
        <f>HYPERLINK("https://creighton-primo.hosted.exlibrisgroup.com/primo-explore/search?tab=default_tab&amp;search_scope=EVERYTHING&amp;vid=01CRU&amp;lang=en_US&amp;offset=0&amp;query=any,contains,991001434159702656","Catalog Record")</f>
        <v>Catalog Record</v>
      </c>
      <c r="AV292" s="5" t="str">
        <f>HYPERLINK("http://www.worldcat.org/oclc/19125971","WorldCat Record")</f>
        <v>WorldCat Record</v>
      </c>
      <c r="AW292" s="2" t="s">
        <v>4024</v>
      </c>
      <c r="AX292" s="2" t="s">
        <v>4025</v>
      </c>
      <c r="AY292" s="2" t="s">
        <v>4026</v>
      </c>
      <c r="AZ292" s="2" t="s">
        <v>4026</v>
      </c>
      <c r="BA292" s="2" t="s">
        <v>4027</v>
      </c>
      <c r="BB292" s="2" t="s">
        <v>79</v>
      </c>
      <c r="BD292" s="2" t="s">
        <v>4028</v>
      </c>
      <c r="BE292" s="2" t="s">
        <v>4029</v>
      </c>
      <c r="BF292" s="2" t="s">
        <v>4030</v>
      </c>
    </row>
    <row r="293" spans="1:58" ht="39.75" customHeight="1">
      <c r="A293" s="1"/>
      <c r="B293" s="1" t="s">
        <v>58</v>
      </c>
      <c r="C293" s="1" t="s">
        <v>59</v>
      </c>
      <c r="D293" s="1" t="s">
        <v>4031</v>
      </c>
      <c r="E293" s="1" t="s">
        <v>4032</v>
      </c>
      <c r="F293" s="1" t="s">
        <v>4033</v>
      </c>
      <c r="H293" s="2" t="s">
        <v>63</v>
      </c>
      <c r="I293" s="2" t="s">
        <v>64</v>
      </c>
      <c r="J293" s="2" t="s">
        <v>63</v>
      </c>
      <c r="K293" s="2" t="s">
        <v>63</v>
      </c>
      <c r="L293" s="2" t="s">
        <v>65</v>
      </c>
      <c r="M293" s="1" t="s">
        <v>4034</v>
      </c>
      <c r="N293" s="1" t="s">
        <v>2084</v>
      </c>
      <c r="O293" s="2" t="s">
        <v>528</v>
      </c>
      <c r="Q293" s="2" t="s">
        <v>68</v>
      </c>
      <c r="R293" s="2" t="s">
        <v>500</v>
      </c>
      <c r="T293" s="2" t="s">
        <v>71</v>
      </c>
      <c r="U293" s="3">
        <v>2</v>
      </c>
      <c r="V293" s="3">
        <v>2</v>
      </c>
      <c r="W293" s="4" t="s">
        <v>1205</v>
      </c>
      <c r="X293" s="4" t="s">
        <v>1205</v>
      </c>
      <c r="Y293" s="4" t="s">
        <v>4035</v>
      </c>
      <c r="Z293" s="4" t="s">
        <v>4035</v>
      </c>
      <c r="AA293" s="3">
        <v>98</v>
      </c>
      <c r="AB293" s="3">
        <v>83</v>
      </c>
      <c r="AC293" s="3">
        <v>84</v>
      </c>
      <c r="AD293" s="3">
        <v>1</v>
      </c>
      <c r="AE293" s="3">
        <v>1</v>
      </c>
      <c r="AF293" s="3">
        <v>1</v>
      </c>
      <c r="AG293" s="3">
        <v>1</v>
      </c>
      <c r="AH293" s="3">
        <v>0</v>
      </c>
      <c r="AI293" s="3">
        <v>0</v>
      </c>
      <c r="AJ293" s="3">
        <v>1</v>
      </c>
      <c r="AK293" s="3">
        <v>1</v>
      </c>
      <c r="AL293" s="3">
        <v>1</v>
      </c>
      <c r="AM293" s="3">
        <v>1</v>
      </c>
      <c r="AN293" s="3">
        <v>0</v>
      </c>
      <c r="AO293" s="3">
        <v>0</v>
      </c>
      <c r="AP293" s="3">
        <v>0</v>
      </c>
      <c r="AQ293" s="3">
        <v>0</v>
      </c>
      <c r="AR293" s="2" t="s">
        <v>63</v>
      </c>
      <c r="AS293" s="2" t="s">
        <v>74</v>
      </c>
      <c r="AT293" s="5" t="str">
        <f>HYPERLINK("http://catalog.hathitrust.org/Record/004112887","HathiTrust Record")</f>
        <v>HathiTrust Record</v>
      </c>
      <c r="AU293" s="5" t="str">
        <f>HYPERLINK("https://creighton-primo.hosted.exlibrisgroup.com/primo-explore/search?tab=default_tab&amp;search_scope=EVERYTHING&amp;vid=01CRU&amp;lang=en_US&amp;offset=0&amp;query=any,contains,991004169619702656","Catalog Record")</f>
        <v>Catalog Record</v>
      </c>
      <c r="AV293" s="5" t="str">
        <f>HYPERLINK("http://www.worldcat.org/oclc/43474615","WorldCat Record")</f>
        <v>WorldCat Record</v>
      </c>
      <c r="AW293" s="2" t="s">
        <v>4036</v>
      </c>
      <c r="AX293" s="2" t="s">
        <v>4037</v>
      </c>
      <c r="AY293" s="2" t="s">
        <v>4038</v>
      </c>
      <c r="AZ293" s="2" t="s">
        <v>4038</v>
      </c>
      <c r="BA293" s="2" t="s">
        <v>4039</v>
      </c>
      <c r="BB293" s="2" t="s">
        <v>79</v>
      </c>
      <c r="BD293" s="2" t="s">
        <v>4040</v>
      </c>
      <c r="BE293" s="2" t="s">
        <v>4041</v>
      </c>
      <c r="BF293" s="2" t="s">
        <v>4042</v>
      </c>
    </row>
    <row r="294" spans="1:58" ht="39.75" customHeight="1">
      <c r="A294" s="1"/>
      <c r="B294" s="1" t="s">
        <v>58</v>
      </c>
      <c r="C294" s="1" t="s">
        <v>59</v>
      </c>
      <c r="D294" s="1" t="s">
        <v>4043</v>
      </c>
      <c r="E294" s="1" t="s">
        <v>4044</v>
      </c>
      <c r="F294" s="1" t="s">
        <v>4045</v>
      </c>
      <c r="H294" s="2" t="s">
        <v>63</v>
      </c>
      <c r="I294" s="2" t="s">
        <v>64</v>
      </c>
      <c r="J294" s="2" t="s">
        <v>63</v>
      </c>
      <c r="K294" s="2" t="s">
        <v>63</v>
      </c>
      <c r="L294" s="2" t="s">
        <v>65</v>
      </c>
      <c r="M294" s="1" t="s">
        <v>4046</v>
      </c>
      <c r="N294" s="1" t="s">
        <v>4047</v>
      </c>
      <c r="O294" s="2" t="s">
        <v>685</v>
      </c>
      <c r="P294" s="1" t="s">
        <v>3237</v>
      </c>
      <c r="Q294" s="2" t="s">
        <v>68</v>
      </c>
      <c r="R294" s="2" t="s">
        <v>195</v>
      </c>
      <c r="T294" s="2" t="s">
        <v>71</v>
      </c>
      <c r="U294" s="3">
        <v>2</v>
      </c>
      <c r="V294" s="3">
        <v>2</v>
      </c>
      <c r="W294" s="4" t="s">
        <v>3984</v>
      </c>
      <c r="X294" s="4" t="s">
        <v>3984</v>
      </c>
      <c r="Y294" s="4" t="s">
        <v>4048</v>
      </c>
      <c r="Z294" s="4" t="s">
        <v>4048</v>
      </c>
      <c r="AA294" s="3">
        <v>147</v>
      </c>
      <c r="AB294" s="3">
        <v>130</v>
      </c>
      <c r="AC294" s="3">
        <v>131</v>
      </c>
      <c r="AD294" s="3">
        <v>1</v>
      </c>
      <c r="AE294" s="3">
        <v>1</v>
      </c>
      <c r="AF294" s="3">
        <v>6</v>
      </c>
      <c r="AG294" s="3">
        <v>6</v>
      </c>
      <c r="AH294" s="3">
        <v>3</v>
      </c>
      <c r="AI294" s="3">
        <v>3</v>
      </c>
      <c r="AJ294" s="3">
        <v>2</v>
      </c>
      <c r="AK294" s="3">
        <v>2</v>
      </c>
      <c r="AL294" s="3">
        <v>4</v>
      </c>
      <c r="AM294" s="3">
        <v>4</v>
      </c>
      <c r="AN294" s="3">
        <v>0</v>
      </c>
      <c r="AO294" s="3">
        <v>0</v>
      </c>
      <c r="AP294" s="3">
        <v>0</v>
      </c>
      <c r="AQ294" s="3">
        <v>0</v>
      </c>
      <c r="AR294" s="2" t="s">
        <v>63</v>
      </c>
      <c r="AS294" s="2" t="s">
        <v>74</v>
      </c>
      <c r="AT294" s="5" t="str">
        <f>HYPERLINK("http://catalog.hathitrust.org/Record/003979186","HathiTrust Record")</f>
        <v>HathiTrust Record</v>
      </c>
      <c r="AU294" s="5" t="str">
        <f>HYPERLINK("https://creighton-primo.hosted.exlibrisgroup.com/primo-explore/search?tab=default_tab&amp;search_scope=EVERYTHING&amp;vid=01CRU&amp;lang=en_US&amp;offset=0&amp;query=any,contains,991002862329702656","Catalog Record")</f>
        <v>Catalog Record</v>
      </c>
      <c r="AV294" s="5" t="str">
        <f>HYPERLINK("http://www.worldcat.org/oclc/37725451","WorldCat Record")</f>
        <v>WorldCat Record</v>
      </c>
      <c r="AW294" s="2" t="s">
        <v>4049</v>
      </c>
      <c r="AX294" s="2" t="s">
        <v>4050</v>
      </c>
      <c r="AY294" s="2" t="s">
        <v>4051</v>
      </c>
      <c r="AZ294" s="2" t="s">
        <v>4051</v>
      </c>
      <c r="BA294" s="2" t="s">
        <v>4052</v>
      </c>
      <c r="BB294" s="2" t="s">
        <v>79</v>
      </c>
      <c r="BD294" s="2" t="s">
        <v>4053</v>
      </c>
      <c r="BE294" s="2" t="s">
        <v>4054</v>
      </c>
      <c r="BF294" s="2" t="s">
        <v>4055</v>
      </c>
    </row>
    <row r="295" spans="1:58" ht="39.75" customHeight="1">
      <c r="A295" s="1"/>
      <c r="B295" s="1" t="s">
        <v>58</v>
      </c>
      <c r="C295" s="1" t="s">
        <v>59</v>
      </c>
      <c r="D295" s="1" t="s">
        <v>4056</v>
      </c>
      <c r="E295" s="1" t="s">
        <v>4057</v>
      </c>
      <c r="F295" s="1" t="s">
        <v>4058</v>
      </c>
      <c r="H295" s="2" t="s">
        <v>63</v>
      </c>
      <c r="I295" s="2" t="s">
        <v>64</v>
      </c>
      <c r="J295" s="2" t="s">
        <v>74</v>
      </c>
      <c r="K295" s="2" t="s">
        <v>63</v>
      </c>
      <c r="L295" s="2" t="s">
        <v>65</v>
      </c>
      <c r="M295" s="1" t="s">
        <v>4059</v>
      </c>
      <c r="N295" s="1" t="s">
        <v>4060</v>
      </c>
      <c r="O295" s="2" t="s">
        <v>767</v>
      </c>
      <c r="Q295" s="2" t="s">
        <v>68</v>
      </c>
      <c r="R295" s="2" t="s">
        <v>628</v>
      </c>
      <c r="T295" s="2" t="s">
        <v>71</v>
      </c>
      <c r="U295" s="3">
        <v>4</v>
      </c>
      <c r="V295" s="3">
        <v>4</v>
      </c>
      <c r="W295" s="4" t="s">
        <v>4061</v>
      </c>
      <c r="X295" s="4" t="s">
        <v>4061</v>
      </c>
      <c r="Y295" s="4" t="s">
        <v>3146</v>
      </c>
      <c r="Z295" s="4" t="s">
        <v>3146</v>
      </c>
      <c r="AA295" s="3">
        <v>218</v>
      </c>
      <c r="AB295" s="3">
        <v>195</v>
      </c>
      <c r="AC295" s="3">
        <v>200</v>
      </c>
      <c r="AD295" s="3">
        <v>2</v>
      </c>
      <c r="AE295" s="3">
        <v>2</v>
      </c>
      <c r="AF295" s="3">
        <v>9</v>
      </c>
      <c r="AG295" s="3">
        <v>9</v>
      </c>
      <c r="AH295" s="3">
        <v>4</v>
      </c>
      <c r="AI295" s="3">
        <v>4</v>
      </c>
      <c r="AJ295" s="3">
        <v>1</v>
      </c>
      <c r="AK295" s="3">
        <v>1</v>
      </c>
      <c r="AL295" s="3">
        <v>7</v>
      </c>
      <c r="AM295" s="3">
        <v>7</v>
      </c>
      <c r="AN295" s="3">
        <v>0</v>
      </c>
      <c r="AO295" s="3">
        <v>0</v>
      </c>
      <c r="AP295" s="3">
        <v>0</v>
      </c>
      <c r="AQ295" s="3">
        <v>0</v>
      </c>
      <c r="AR295" s="2" t="s">
        <v>63</v>
      </c>
      <c r="AS295" s="2" t="s">
        <v>63</v>
      </c>
      <c r="AU295" s="5" t="str">
        <f>HYPERLINK("https://creighton-primo.hosted.exlibrisgroup.com/primo-explore/search?tab=default_tab&amp;search_scope=EVERYTHING&amp;vid=01CRU&amp;lang=en_US&amp;offset=0&amp;query=any,contains,991000086269702656","Catalog Record")</f>
        <v>Catalog Record</v>
      </c>
      <c r="AV295" s="5" t="str">
        <f>HYPERLINK("http://www.worldcat.org/oclc/8865954","WorldCat Record")</f>
        <v>WorldCat Record</v>
      </c>
      <c r="AW295" s="2" t="s">
        <v>4062</v>
      </c>
      <c r="AX295" s="2" t="s">
        <v>4063</v>
      </c>
      <c r="AY295" s="2" t="s">
        <v>4064</v>
      </c>
      <c r="AZ295" s="2" t="s">
        <v>4064</v>
      </c>
      <c r="BA295" s="2" t="s">
        <v>4065</v>
      </c>
      <c r="BB295" s="2" t="s">
        <v>79</v>
      </c>
      <c r="BD295" s="2" t="s">
        <v>4066</v>
      </c>
      <c r="BE295" s="2" t="s">
        <v>4067</v>
      </c>
      <c r="BF295" s="2" t="s">
        <v>4068</v>
      </c>
    </row>
    <row r="296" spans="1:58" ht="39.75" customHeight="1">
      <c r="A296" s="1"/>
      <c r="B296" s="1" t="s">
        <v>58</v>
      </c>
      <c r="C296" s="1" t="s">
        <v>59</v>
      </c>
      <c r="D296" s="1" t="s">
        <v>4069</v>
      </c>
      <c r="E296" s="1" t="s">
        <v>4070</v>
      </c>
      <c r="F296" s="1" t="s">
        <v>4071</v>
      </c>
      <c r="H296" s="2" t="s">
        <v>63</v>
      </c>
      <c r="I296" s="2" t="s">
        <v>64</v>
      </c>
      <c r="J296" s="2" t="s">
        <v>63</v>
      </c>
      <c r="K296" s="2" t="s">
        <v>63</v>
      </c>
      <c r="L296" s="2" t="s">
        <v>65</v>
      </c>
      <c r="M296" s="1" t="s">
        <v>4072</v>
      </c>
      <c r="N296" s="1" t="s">
        <v>4073</v>
      </c>
      <c r="O296" s="2" t="s">
        <v>209</v>
      </c>
      <c r="Q296" s="2" t="s">
        <v>68</v>
      </c>
      <c r="R296" s="2" t="s">
        <v>181</v>
      </c>
      <c r="S296" s="1" t="s">
        <v>1832</v>
      </c>
      <c r="T296" s="2" t="s">
        <v>71</v>
      </c>
      <c r="U296" s="3">
        <v>7</v>
      </c>
      <c r="V296" s="3">
        <v>7</v>
      </c>
      <c r="W296" s="4" t="s">
        <v>4074</v>
      </c>
      <c r="X296" s="4" t="s">
        <v>4074</v>
      </c>
      <c r="Y296" s="4" t="s">
        <v>183</v>
      </c>
      <c r="Z296" s="4" t="s">
        <v>183</v>
      </c>
      <c r="AA296" s="3">
        <v>921</v>
      </c>
      <c r="AB296" s="3">
        <v>808</v>
      </c>
      <c r="AC296" s="3">
        <v>815</v>
      </c>
      <c r="AD296" s="3">
        <v>6</v>
      </c>
      <c r="AE296" s="3">
        <v>6</v>
      </c>
      <c r="AF296" s="3">
        <v>36</v>
      </c>
      <c r="AG296" s="3">
        <v>36</v>
      </c>
      <c r="AH296" s="3">
        <v>10</v>
      </c>
      <c r="AI296" s="3">
        <v>10</v>
      </c>
      <c r="AJ296" s="3">
        <v>6</v>
      </c>
      <c r="AK296" s="3">
        <v>6</v>
      </c>
      <c r="AL296" s="3">
        <v>17</v>
      </c>
      <c r="AM296" s="3">
        <v>17</v>
      </c>
      <c r="AN296" s="3">
        <v>3</v>
      </c>
      <c r="AO296" s="3">
        <v>3</v>
      </c>
      <c r="AP296" s="3">
        <v>8</v>
      </c>
      <c r="AQ296" s="3">
        <v>8</v>
      </c>
      <c r="AR296" s="2" t="s">
        <v>63</v>
      </c>
      <c r="AS296" s="2" t="s">
        <v>74</v>
      </c>
      <c r="AT296" s="5" t="str">
        <f>HYPERLINK("http://catalog.hathitrust.org/Record/000283224","HathiTrust Record")</f>
        <v>HathiTrust Record</v>
      </c>
      <c r="AU296" s="5" t="str">
        <f>HYPERLINK("https://creighton-primo.hosted.exlibrisgroup.com/primo-explore/search?tab=default_tab&amp;search_scope=EVERYTHING&amp;vid=01CRU&amp;lang=en_US&amp;offset=0&amp;query=any,contains,991000342399702656","Catalog Record")</f>
        <v>Catalog Record</v>
      </c>
      <c r="AV296" s="5" t="str">
        <f>HYPERLINK("http://www.worldcat.org/oclc/10274789","WorldCat Record")</f>
        <v>WorldCat Record</v>
      </c>
      <c r="AW296" s="2" t="s">
        <v>4075</v>
      </c>
      <c r="AX296" s="2" t="s">
        <v>4076</v>
      </c>
      <c r="AY296" s="2" t="s">
        <v>4077</v>
      </c>
      <c r="AZ296" s="2" t="s">
        <v>4077</v>
      </c>
      <c r="BA296" s="2" t="s">
        <v>4078</v>
      </c>
      <c r="BB296" s="2" t="s">
        <v>79</v>
      </c>
      <c r="BD296" s="2" t="s">
        <v>4079</v>
      </c>
      <c r="BE296" s="2" t="s">
        <v>4080</v>
      </c>
      <c r="BF296" s="2" t="s">
        <v>4081</v>
      </c>
    </row>
    <row r="297" spans="1:58" ht="39.75" customHeight="1">
      <c r="A297" s="1"/>
      <c r="B297" s="1" t="s">
        <v>58</v>
      </c>
      <c r="C297" s="1" t="s">
        <v>59</v>
      </c>
      <c r="D297" s="1" t="s">
        <v>4082</v>
      </c>
      <c r="E297" s="1" t="s">
        <v>4083</v>
      </c>
      <c r="F297" s="1" t="s">
        <v>4084</v>
      </c>
      <c r="H297" s="2" t="s">
        <v>63</v>
      </c>
      <c r="I297" s="2" t="s">
        <v>64</v>
      </c>
      <c r="J297" s="2" t="s">
        <v>63</v>
      </c>
      <c r="K297" s="2" t="s">
        <v>63</v>
      </c>
      <c r="L297" s="2" t="s">
        <v>65</v>
      </c>
      <c r="M297" s="1" t="s">
        <v>4085</v>
      </c>
      <c r="N297" s="1" t="s">
        <v>4086</v>
      </c>
      <c r="O297" s="2" t="s">
        <v>641</v>
      </c>
      <c r="Q297" s="2" t="s">
        <v>68</v>
      </c>
      <c r="R297" s="2" t="s">
        <v>195</v>
      </c>
      <c r="T297" s="2" t="s">
        <v>71</v>
      </c>
      <c r="U297" s="3">
        <v>1</v>
      </c>
      <c r="V297" s="3">
        <v>1</v>
      </c>
      <c r="W297" s="4" t="s">
        <v>4087</v>
      </c>
      <c r="X297" s="4" t="s">
        <v>4087</v>
      </c>
      <c r="Y297" s="4" t="s">
        <v>4088</v>
      </c>
      <c r="Z297" s="4" t="s">
        <v>4088</v>
      </c>
      <c r="AA297" s="3">
        <v>377</v>
      </c>
      <c r="AB297" s="3">
        <v>351</v>
      </c>
      <c r="AC297" s="3">
        <v>352</v>
      </c>
      <c r="AD297" s="3">
        <v>4</v>
      </c>
      <c r="AE297" s="3">
        <v>4</v>
      </c>
      <c r="AF297" s="3">
        <v>17</v>
      </c>
      <c r="AG297" s="3">
        <v>17</v>
      </c>
      <c r="AH297" s="3">
        <v>5</v>
      </c>
      <c r="AI297" s="3">
        <v>5</v>
      </c>
      <c r="AJ297" s="3">
        <v>3</v>
      </c>
      <c r="AK297" s="3">
        <v>3</v>
      </c>
      <c r="AL297" s="3">
        <v>11</v>
      </c>
      <c r="AM297" s="3">
        <v>11</v>
      </c>
      <c r="AN297" s="3">
        <v>2</v>
      </c>
      <c r="AO297" s="3">
        <v>2</v>
      </c>
      <c r="AP297" s="3">
        <v>1</v>
      </c>
      <c r="AQ297" s="3">
        <v>1</v>
      </c>
      <c r="AR297" s="2" t="s">
        <v>63</v>
      </c>
      <c r="AS297" s="2" t="s">
        <v>74</v>
      </c>
      <c r="AT297" s="5" t="str">
        <f>HYPERLINK("http://catalog.hathitrust.org/Record/000306135","HathiTrust Record")</f>
        <v>HathiTrust Record</v>
      </c>
      <c r="AU297" s="5" t="str">
        <f>HYPERLINK("https://creighton-primo.hosted.exlibrisgroup.com/primo-explore/search?tab=default_tab&amp;search_scope=EVERYTHING&amp;vid=01CRU&amp;lang=en_US&amp;offset=0&amp;query=any,contains,991005174549702656","Catalog Record")</f>
        <v>Catalog Record</v>
      </c>
      <c r="AV297" s="5" t="str">
        <f>HYPERLINK("http://www.worldcat.org/oclc/7900004","WorldCat Record")</f>
        <v>WorldCat Record</v>
      </c>
      <c r="AW297" s="2" t="s">
        <v>4089</v>
      </c>
      <c r="AX297" s="2" t="s">
        <v>4090</v>
      </c>
      <c r="AY297" s="2" t="s">
        <v>4091</v>
      </c>
      <c r="AZ297" s="2" t="s">
        <v>4091</v>
      </c>
      <c r="BA297" s="2" t="s">
        <v>4092</v>
      </c>
      <c r="BB297" s="2" t="s">
        <v>79</v>
      </c>
      <c r="BD297" s="2" t="s">
        <v>4093</v>
      </c>
      <c r="BE297" s="2" t="s">
        <v>4094</v>
      </c>
      <c r="BF297" s="2" t="s">
        <v>4095</v>
      </c>
    </row>
    <row r="298" spans="1:58" ht="39.75" customHeight="1">
      <c r="A298" s="1"/>
      <c r="B298" s="1" t="s">
        <v>58</v>
      </c>
      <c r="C298" s="1" t="s">
        <v>59</v>
      </c>
      <c r="D298" s="1" t="s">
        <v>4096</v>
      </c>
      <c r="E298" s="1" t="s">
        <v>4097</v>
      </c>
      <c r="F298" s="1" t="s">
        <v>4098</v>
      </c>
      <c r="H298" s="2" t="s">
        <v>63</v>
      </c>
      <c r="I298" s="2" t="s">
        <v>64</v>
      </c>
      <c r="J298" s="2" t="s">
        <v>63</v>
      </c>
      <c r="K298" s="2" t="s">
        <v>63</v>
      </c>
      <c r="L298" s="2" t="s">
        <v>65</v>
      </c>
      <c r="M298" s="1" t="s">
        <v>4099</v>
      </c>
      <c r="N298" s="1" t="s">
        <v>4100</v>
      </c>
      <c r="O298" s="2" t="s">
        <v>88</v>
      </c>
      <c r="Q298" s="2" t="s">
        <v>68</v>
      </c>
      <c r="R298" s="2" t="s">
        <v>195</v>
      </c>
      <c r="T298" s="2" t="s">
        <v>71</v>
      </c>
      <c r="U298" s="3">
        <v>2</v>
      </c>
      <c r="V298" s="3">
        <v>2</v>
      </c>
      <c r="W298" s="4" t="s">
        <v>4101</v>
      </c>
      <c r="X298" s="4" t="s">
        <v>4101</v>
      </c>
      <c r="Y298" s="4" t="s">
        <v>183</v>
      </c>
      <c r="Z298" s="4" t="s">
        <v>183</v>
      </c>
      <c r="AA298" s="3">
        <v>555</v>
      </c>
      <c r="AB298" s="3">
        <v>473</v>
      </c>
      <c r="AC298" s="3">
        <v>480</v>
      </c>
      <c r="AD298" s="3">
        <v>2</v>
      </c>
      <c r="AE298" s="3">
        <v>2</v>
      </c>
      <c r="AF298" s="3">
        <v>19</v>
      </c>
      <c r="AG298" s="3">
        <v>19</v>
      </c>
      <c r="AH298" s="3">
        <v>5</v>
      </c>
      <c r="AI298" s="3">
        <v>5</v>
      </c>
      <c r="AJ298" s="3">
        <v>7</v>
      </c>
      <c r="AK298" s="3">
        <v>7</v>
      </c>
      <c r="AL298" s="3">
        <v>11</v>
      </c>
      <c r="AM298" s="3">
        <v>11</v>
      </c>
      <c r="AN298" s="3">
        <v>1</v>
      </c>
      <c r="AO298" s="3">
        <v>1</v>
      </c>
      <c r="AP298" s="3">
        <v>0</v>
      </c>
      <c r="AQ298" s="3">
        <v>0</v>
      </c>
      <c r="AR298" s="2" t="s">
        <v>63</v>
      </c>
      <c r="AS298" s="2" t="s">
        <v>63</v>
      </c>
      <c r="AU298" s="5" t="str">
        <f>HYPERLINK("https://creighton-primo.hosted.exlibrisgroup.com/primo-explore/search?tab=default_tab&amp;search_scope=EVERYTHING&amp;vid=01CRU&amp;lang=en_US&amp;offset=0&amp;query=any,contains,991004866079702656","Catalog Record")</f>
        <v>Catalog Record</v>
      </c>
      <c r="AV298" s="5" t="str">
        <f>HYPERLINK("http://www.worldcat.org/oclc/5726857","WorldCat Record")</f>
        <v>WorldCat Record</v>
      </c>
      <c r="AW298" s="2" t="s">
        <v>4102</v>
      </c>
      <c r="AX298" s="2" t="s">
        <v>4103</v>
      </c>
      <c r="AY298" s="2" t="s">
        <v>4104</v>
      </c>
      <c r="AZ298" s="2" t="s">
        <v>4104</v>
      </c>
      <c r="BA298" s="2" t="s">
        <v>4105</v>
      </c>
      <c r="BB298" s="2" t="s">
        <v>79</v>
      </c>
      <c r="BD298" s="2" t="s">
        <v>4106</v>
      </c>
      <c r="BE298" s="2" t="s">
        <v>4107</v>
      </c>
      <c r="BF298" s="2" t="s">
        <v>4108</v>
      </c>
    </row>
    <row r="299" spans="1:58" ht="39.75" customHeight="1">
      <c r="A299" s="1"/>
      <c r="B299" s="1" t="s">
        <v>58</v>
      </c>
      <c r="C299" s="1" t="s">
        <v>59</v>
      </c>
      <c r="D299" s="1" t="s">
        <v>4109</v>
      </c>
      <c r="E299" s="1" t="s">
        <v>4110</v>
      </c>
      <c r="F299" s="1" t="s">
        <v>4111</v>
      </c>
      <c r="H299" s="2" t="s">
        <v>63</v>
      </c>
      <c r="I299" s="2" t="s">
        <v>64</v>
      </c>
      <c r="J299" s="2" t="s">
        <v>63</v>
      </c>
      <c r="K299" s="2" t="s">
        <v>63</v>
      </c>
      <c r="L299" s="2" t="s">
        <v>65</v>
      </c>
      <c r="M299" s="1" t="s">
        <v>4112</v>
      </c>
      <c r="N299" s="1" t="s">
        <v>384</v>
      </c>
      <c r="O299" s="2" t="s">
        <v>209</v>
      </c>
      <c r="Q299" s="2" t="s">
        <v>68</v>
      </c>
      <c r="R299" s="2" t="s">
        <v>385</v>
      </c>
      <c r="T299" s="2" t="s">
        <v>71</v>
      </c>
      <c r="U299" s="3">
        <v>3</v>
      </c>
      <c r="V299" s="3">
        <v>3</v>
      </c>
      <c r="W299" s="4" t="s">
        <v>4113</v>
      </c>
      <c r="X299" s="4" t="s">
        <v>4113</v>
      </c>
      <c r="Y299" s="4" t="s">
        <v>183</v>
      </c>
      <c r="Z299" s="4" t="s">
        <v>183</v>
      </c>
      <c r="AA299" s="3">
        <v>461</v>
      </c>
      <c r="AB299" s="3">
        <v>376</v>
      </c>
      <c r="AC299" s="3">
        <v>377</v>
      </c>
      <c r="AD299" s="3">
        <v>1</v>
      </c>
      <c r="AE299" s="3">
        <v>1</v>
      </c>
      <c r="AF299" s="3">
        <v>13</v>
      </c>
      <c r="AG299" s="3">
        <v>13</v>
      </c>
      <c r="AH299" s="3">
        <v>5</v>
      </c>
      <c r="AI299" s="3">
        <v>5</v>
      </c>
      <c r="AJ299" s="3">
        <v>3</v>
      </c>
      <c r="AK299" s="3">
        <v>3</v>
      </c>
      <c r="AL299" s="3">
        <v>8</v>
      </c>
      <c r="AM299" s="3">
        <v>8</v>
      </c>
      <c r="AN299" s="3">
        <v>0</v>
      </c>
      <c r="AO299" s="3">
        <v>0</v>
      </c>
      <c r="AP299" s="3">
        <v>0</v>
      </c>
      <c r="AQ299" s="3">
        <v>0</v>
      </c>
      <c r="AR299" s="2" t="s">
        <v>63</v>
      </c>
      <c r="AS299" s="2" t="s">
        <v>63</v>
      </c>
      <c r="AU299" s="5" t="str">
        <f>HYPERLINK("https://creighton-primo.hosted.exlibrisgroup.com/primo-explore/search?tab=default_tab&amp;search_scope=EVERYTHING&amp;vid=01CRU&amp;lang=en_US&amp;offset=0&amp;query=any,contains,991000286029702656","Catalog Record")</f>
        <v>Catalog Record</v>
      </c>
      <c r="AV299" s="5" t="str">
        <f>HYPERLINK("http://www.worldcat.org/oclc/9943829","WorldCat Record")</f>
        <v>WorldCat Record</v>
      </c>
      <c r="AW299" s="2" t="s">
        <v>4114</v>
      </c>
      <c r="AX299" s="2" t="s">
        <v>4115</v>
      </c>
      <c r="AY299" s="2" t="s">
        <v>4116</v>
      </c>
      <c r="AZ299" s="2" t="s">
        <v>4116</v>
      </c>
      <c r="BA299" s="2" t="s">
        <v>4117</v>
      </c>
      <c r="BB299" s="2" t="s">
        <v>79</v>
      </c>
      <c r="BD299" s="2" t="s">
        <v>4118</v>
      </c>
      <c r="BE299" s="2" t="s">
        <v>4119</v>
      </c>
      <c r="BF299" s="2" t="s">
        <v>4120</v>
      </c>
    </row>
    <row r="300" spans="1:58" ht="39.75" customHeight="1">
      <c r="A300" s="1"/>
      <c r="B300" s="1" t="s">
        <v>58</v>
      </c>
      <c r="C300" s="1" t="s">
        <v>59</v>
      </c>
      <c r="D300" s="1" t="s">
        <v>4121</v>
      </c>
      <c r="E300" s="1" t="s">
        <v>4122</v>
      </c>
      <c r="F300" s="1" t="s">
        <v>4123</v>
      </c>
      <c r="H300" s="2" t="s">
        <v>63</v>
      </c>
      <c r="I300" s="2" t="s">
        <v>64</v>
      </c>
      <c r="J300" s="2" t="s">
        <v>63</v>
      </c>
      <c r="K300" s="2" t="s">
        <v>63</v>
      </c>
      <c r="L300" s="2" t="s">
        <v>65</v>
      </c>
      <c r="M300" s="1" t="s">
        <v>4124</v>
      </c>
      <c r="N300" s="1" t="s">
        <v>4125</v>
      </c>
      <c r="O300" s="2" t="s">
        <v>121</v>
      </c>
      <c r="P300" s="1" t="s">
        <v>484</v>
      </c>
      <c r="Q300" s="2" t="s">
        <v>68</v>
      </c>
      <c r="R300" s="2" t="s">
        <v>106</v>
      </c>
      <c r="T300" s="2" t="s">
        <v>71</v>
      </c>
      <c r="U300" s="3">
        <v>6</v>
      </c>
      <c r="V300" s="3">
        <v>6</v>
      </c>
      <c r="W300" s="4" t="s">
        <v>4126</v>
      </c>
      <c r="X300" s="4" t="s">
        <v>4126</v>
      </c>
      <c r="Y300" s="4" t="s">
        <v>4127</v>
      </c>
      <c r="Z300" s="4" t="s">
        <v>4127</v>
      </c>
      <c r="AA300" s="3">
        <v>131</v>
      </c>
      <c r="AB300" s="3">
        <v>107</v>
      </c>
      <c r="AC300" s="3">
        <v>160</v>
      </c>
      <c r="AD300" s="3">
        <v>1</v>
      </c>
      <c r="AE300" s="3">
        <v>2</v>
      </c>
      <c r="AF300" s="3">
        <v>2</v>
      </c>
      <c r="AG300" s="3">
        <v>2</v>
      </c>
      <c r="AH300" s="3">
        <v>0</v>
      </c>
      <c r="AI300" s="3">
        <v>0</v>
      </c>
      <c r="AJ300" s="3">
        <v>2</v>
      </c>
      <c r="AK300" s="3">
        <v>2</v>
      </c>
      <c r="AL300" s="3">
        <v>1</v>
      </c>
      <c r="AM300" s="3">
        <v>1</v>
      </c>
      <c r="AN300" s="3">
        <v>0</v>
      </c>
      <c r="AO300" s="3">
        <v>0</v>
      </c>
      <c r="AP300" s="3">
        <v>0</v>
      </c>
      <c r="AQ300" s="3">
        <v>0</v>
      </c>
      <c r="AR300" s="2" t="s">
        <v>63</v>
      </c>
      <c r="AS300" s="2" t="s">
        <v>63</v>
      </c>
      <c r="AU300" s="5" t="str">
        <f>HYPERLINK("https://creighton-primo.hosted.exlibrisgroup.com/primo-explore/search?tab=default_tab&amp;search_scope=EVERYTHING&amp;vid=01CRU&amp;lang=en_US&amp;offset=0&amp;query=any,contains,991004620019702656","Catalog Record")</f>
        <v>Catalog Record</v>
      </c>
      <c r="AV300" s="5" t="str">
        <f>HYPERLINK("http://www.worldcat.org/oclc/4285067","WorldCat Record")</f>
        <v>WorldCat Record</v>
      </c>
      <c r="AW300" s="2" t="s">
        <v>4128</v>
      </c>
      <c r="AX300" s="2" t="s">
        <v>4129</v>
      </c>
      <c r="AY300" s="2" t="s">
        <v>4130</v>
      </c>
      <c r="AZ300" s="2" t="s">
        <v>4130</v>
      </c>
      <c r="BA300" s="2" t="s">
        <v>4131</v>
      </c>
      <c r="BB300" s="2" t="s">
        <v>79</v>
      </c>
      <c r="BD300" s="2" t="s">
        <v>4132</v>
      </c>
      <c r="BE300" s="2" t="s">
        <v>4133</v>
      </c>
      <c r="BF300" s="2" t="s">
        <v>4134</v>
      </c>
    </row>
    <row r="301" spans="1:58" ht="39.75" customHeight="1">
      <c r="A301" s="1"/>
      <c r="B301" s="1" t="s">
        <v>58</v>
      </c>
      <c r="C301" s="1" t="s">
        <v>59</v>
      </c>
      <c r="D301" s="1" t="s">
        <v>4135</v>
      </c>
      <c r="E301" s="1" t="s">
        <v>4136</v>
      </c>
      <c r="F301" s="1" t="s">
        <v>4137</v>
      </c>
      <c r="H301" s="2" t="s">
        <v>63</v>
      </c>
      <c r="I301" s="2" t="s">
        <v>64</v>
      </c>
      <c r="J301" s="2" t="s">
        <v>63</v>
      </c>
      <c r="K301" s="2" t="s">
        <v>63</v>
      </c>
      <c r="L301" s="2" t="s">
        <v>65</v>
      </c>
      <c r="N301" s="1" t="s">
        <v>4138</v>
      </c>
      <c r="O301" s="2" t="s">
        <v>740</v>
      </c>
      <c r="Q301" s="2" t="s">
        <v>68</v>
      </c>
      <c r="R301" s="2" t="s">
        <v>181</v>
      </c>
      <c r="T301" s="2" t="s">
        <v>71</v>
      </c>
      <c r="U301" s="3">
        <v>8</v>
      </c>
      <c r="V301" s="3">
        <v>8</v>
      </c>
      <c r="W301" s="4" t="s">
        <v>4139</v>
      </c>
      <c r="X301" s="4" t="s">
        <v>4139</v>
      </c>
      <c r="Y301" s="4" t="s">
        <v>4140</v>
      </c>
      <c r="Z301" s="4" t="s">
        <v>4140</v>
      </c>
      <c r="AA301" s="3">
        <v>38</v>
      </c>
      <c r="AB301" s="3">
        <v>34</v>
      </c>
      <c r="AC301" s="3">
        <v>48</v>
      </c>
      <c r="AD301" s="3">
        <v>2</v>
      </c>
      <c r="AE301" s="3">
        <v>2</v>
      </c>
      <c r="AF301" s="3">
        <v>2</v>
      </c>
      <c r="AG301" s="3">
        <v>2</v>
      </c>
      <c r="AH301" s="3">
        <v>0</v>
      </c>
      <c r="AI301" s="3">
        <v>0</v>
      </c>
      <c r="AJ301" s="3">
        <v>1</v>
      </c>
      <c r="AK301" s="3">
        <v>1</v>
      </c>
      <c r="AL301" s="3">
        <v>0</v>
      </c>
      <c r="AM301" s="3">
        <v>0</v>
      </c>
      <c r="AN301" s="3">
        <v>1</v>
      </c>
      <c r="AO301" s="3">
        <v>1</v>
      </c>
      <c r="AP301" s="3">
        <v>0</v>
      </c>
      <c r="AQ301" s="3">
        <v>0</v>
      </c>
      <c r="AR301" s="2" t="s">
        <v>63</v>
      </c>
      <c r="AS301" s="2" t="s">
        <v>74</v>
      </c>
      <c r="AT301" s="5" t="str">
        <f>HYPERLINK("http://catalog.hathitrust.org/Record/008161300","HathiTrust Record")</f>
        <v>HathiTrust Record</v>
      </c>
      <c r="AU301" s="5" t="str">
        <f>HYPERLINK("https://creighton-primo.hosted.exlibrisgroup.com/primo-explore/search?tab=default_tab&amp;search_scope=EVERYTHING&amp;vid=01CRU&amp;lang=en_US&amp;offset=0&amp;query=any,contains,991001194209702656","Catalog Record")</f>
        <v>Catalog Record</v>
      </c>
      <c r="AV301" s="5" t="str">
        <f>HYPERLINK("http://www.worldcat.org/oclc/17264657","WorldCat Record")</f>
        <v>WorldCat Record</v>
      </c>
      <c r="AW301" s="2" t="s">
        <v>4141</v>
      </c>
      <c r="AX301" s="2" t="s">
        <v>4142</v>
      </c>
      <c r="AY301" s="2" t="s">
        <v>4143</v>
      </c>
      <c r="AZ301" s="2" t="s">
        <v>4143</v>
      </c>
      <c r="BA301" s="2" t="s">
        <v>4144</v>
      </c>
      <c r="BB301" s="2" t="s">
        <v>79</v>
      </c>
      <c r="BE301" s="2" t="s">
        <v>4145</v>
      </c>
      <c r="BF301" s="2" t="s">
        <v>4146</v>
      </c>
    </row>
    <row r="302" spans="1:58" ht="39.75" customHeight="1">
      <c r="A302" s="1"/>
      <c r="B302" s="1" t="s">
        <v>58</v>
      </c>
      <c r="C302" s="1" t="s">
        <v>59</v>
      </c>
      <c r="D302" s="1" t="s">
        <v>4147</v>
      </c>
      <c r="E302" s="1" t="s">
        <v>4148</v>
      </c>
      <c r="F302" s="1" t="s">
        <v>4149</v>
      </c>
      <c r="H302" s="2" t="s">
        <v>63</v>
      </c>
      <c r="I302" s="2" t="s">
        <v>64</v>
      </c>
      <c r="J302" s="2" t="s">
        <v>63</v>
      </c>
      <c r="K302" s="2" t="s">
        <v>63</v>
      </c>
      <c r="L302" s="2" t="s">
        <v>65</v>
      </c>
      <c r="M302" s="1" t="s">
        <v>4150</v>
      </c>
      <c r="O302" s="2" t="s">
        <v>641</v>
      </c>
      <c r="Q302" s="2" t="s">
        <v>68</v>
      </c>
      <c r="R302" s="2" t="s">
        <v>331</v>
      </c>
      <c r="T302" s="2" t="s">
        <v>71</v>
      </c>
      <c r="U302" s="3">
        <v>13</v>
      </c>
      <c r="V302" s="3">
        <v>13</v>
      </c>
      <c r="W302" s="4" t="s">
        <v>4151</v>
      </c>
      <c r="X302" s="4" t="s">
        <v>4151</v>
      </c>
      <c r="Y302" s="4" t="s">
        <v>4152</v>
      </c>
      <c r="Z302" s="4" t="s">
        <v>4152</v>
      </c>
      <c r="AA302" s="3">
        <v>3</v>
      </c>
      <c r="AB302" s="3">
        <v>3</v>
      </c>
      <c r="AC302" s="3">
        <v>6</v>
      </c>
      <c r="AD302" s="3">
        <v>1</v>
      </c>
      <c r="AE302" s="3">
        <v>1</v>
      </c>
      <c r="AF302" s="3">
        <v>0</v>
      </c>
      <c r="AG302" s="3">
        <v>0</v>
      </c>
      <c r="AH302" s="3">
        <v>0</v>
      </c>
      <c r="AI302" s="3">
        <v>0</v>
      </c>
      <c r="AJ302" s="3">
        <v>0</v>
      </c>
      <c r="AK302" s="3">
        <v>0</v>
      </c>
      <c r="AL302" s="3">
        <v>0</v>
      </c>
      <c r="AM302" s="3">
        <v>0</v>
      </c>
      <c r="AN302" s="3">
        <v>0</v>
      </c>
      <c r="AO302" s="3">
        <v>0</v>
      </c>
      <c r="AP302" s="3">
        <v>0</v>
      </c>
      <c r="AQ302" s="3">
        <v>0</v>
      </c>
      <c r="AR302" s="2" t="s">
        <v>63</v>
      </c>
      <c r="AS302" s="2" t="s">
        <v>63</v>
      </c>
      <c r="AU302" s="5" t="str">
        <f>HYPERLINK("https://creighton-primo.hosted.exlibrisgroup.com/primo-explore/search?tab=default_tab&amp;search_scope=EVERYTHING&amp;vid=01CRU&amp;lang=en_US&amp;offset=0&amp;query=any,contains,991005169689702656","Catalog Record")</f>
        <v>Catalog Record</v>
      </c>
      <c r="AV302" s="5" t="str">
        <f>HYPERLINK("http://www.worldcat.org/oclc/7842300","WorldCat Record")</f>
        <v>WorldCat Record</v>
      </c>
      <c r="AW302" s="2" t="s">
        <v>4153</v>
      </c>
      <c r="AX302" s="2" t="s">
        <v>4154</v>
      </c>
      <c r="AY302" s="2" t="s">
        <v>4155</v>
      </c>
      <c r="AZ302" s="2" t="s">
        <v>4155</v>
      </c>
      <c r="BA302" s="2" t="s">
        <v>4156</v>
      </c>
      <c r="BB302" s="2" t="s">
        <v>79</v>
      </c>
      <c r="BE302" s="2" t="s">
        <v>4157</v>
      </c>
      <c r="BF302" s="2" t="s">
        <v>4158</v>
      </c>
    </row>
    <row r="303" spans="1:58" ht="39.75" customHeight="1">
      <c r="A303" s="1"/>
      <c r="B303" s="1" t="s">
        <v>58</v>
      </c>
      <c r="C303" s="1" t="s">
        <v>59</v>
      </c>
      <c r="D303" s="1" t="s">
        <v>4159</v>
      </c>
      <c r="E303" s="1" t="s">
        <v>4160</v>
      </c>
      <c r="F303" s="1" t="s">
        <v>4161</v>
      </c>
      <c r="H303" s="2" t="s">
        <v>63</v>
      </c>
      <c r="I303" s="2" t="s">
        <v>64</v>
      </c>
      <c r="J303" s="2" t="s">
        <v>63</v>
      </c>
      <c r="K303" s="2" t="s">
        <v>63</v>
      </c>
      <c r="L303" s="2" t="s">
        <v>65</v>
      </c>
      <c r="M303" s="1" t="s">
        <v>4162</v>
      </c>
      <c r="N303" s="1" t="s">
        <v>4163</v>
      </c>
      <c r="O303" s="2" t="s">
        <v>359</v>
      </c>
      <c r="Q303" s="2" t="s">
        <v>68</v>
      </c>
      <c r="R303" s="2" t="s">
        <v>106</v>
      </c>
      <c r="T303" s="2" t="s">
        <v>71</v>
      </c>
      <c r="U303" s="3">
        <v>4</v>
      </c>
      <c r="V303" s="3">
        <v>4</v>
      </c>
      <c r="W303" s="4" t="s">
        <v>4164</v>
      </c>
      <c r="X303" s="4" t="s">
        <v>4164</v>
      </c>
      <c r="Y303" s="4" t="s">
        <v>4165</v>
      </c>
      <c r="Z303" s="4" t="s">
        <v>4165</v>
      </c>
      <c r="AA303" s="3">
        <v>257</v>
      </c>
      <c r="AB303" s="3">
        <v>227</v>
      </c>
      <c r="AC303" s="3">
        <v>229</v>
      </c>
      <c r="AD303" s="3">
        <v>2</v>
      </c>
      <c r="AE303" s="3">
        <v>2</v>
      </c>
      <c r="AF303" s="3">
        <v>8</v>
      </c>
      <c r="AG303" s="3">
        <v>8</v>
      </c>
      <c r="AH303" s="3">
        <v>1</v>
      </c>
      <c r="AI303" s="3">
        <v>1</v>
      </c>
      <c r="AJ303" s="3">
        <v>1</v>
      </c>
      <c r="AK303" s="3">
        <v>1</v>
      </c>
      <c r="AL303" s="3">
        <v>5</v>
      </c>
      <c r="AM303" s="3">
        <v>5</v>
      </c>
      <c r="AN303" s="3">
        <v>1</v>
      </c>
      <c r="AO303" s="3">
        <v>1</v>
      </c>
      <c r="AP303" s="3">
        <v>1</v>
      </c>
      <c r="AQ303" s="3">
        <v>1</v>
      </c>
      <c r="AR303" s="2" t="s">
        <v>63</v>
      </c>
      <c r="AS303" s="2" t="s">
        <v>74</v>
      </c>
      <c r="AT303" s="5" t="str">
        <f>HYPERLINK("http://catalog.hathitrust.org/Record/001560368","HathiTrust Record")</f>
        <v>HathiTrust Record</v>
      </c>
      <c r="AU303" s="5" t="str">
        <f>HYPERLINK("https://creighton-primo.hosted.exlibrisgroup.com/primo-explore/search?tab=default_tab&amp;search_scope=EVERYTHING&amp;vid=01CRU&amp;lang=en_US&amp;offset=0&amp;query=any,contains,991005438409702656","Catalog Record")</f>
        <v>Catalog Record</v>
      </c>
      <c r="AV303" s="5" t="str">
        <f>HYPERLINK("http://www.worldcat.org/oclc/6028","WorldCat Record")</f>
        <v>WorldCat Record</v>
      </c>
      <c r="AW303" s="2" t="s">
        <v>4166</v>
      </c>
      <c r="AX303" s="2" t="s">
        <v>4167</v>
      </c>
      <c r="AY303" s="2" t="s">
        <v>4168</v>
      </c>
      <c r="AZ303" s="2" t="s">
        <v>4168</v>
      </c>
      <c r="BA303" s="2" t="s">
        <v>4169</v>
      </c>
      <c r="BB303" s="2" t="s">
        <v>79</v>
      </c>
      <c r="BE303" s="2" t="s">
        <v>4170</v>
      </c>
      <c r="BF303" s="2" t="s">
        <v>4171</v>
      </c>
    </row>
  </sheetData>
  <sheetProtection sheet="1" objects="1" scenarios="1"/>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1025" r:id="rId3" name="Check Box 1">
              <controlPr defaultSize="0" autoFill="0" autoLine="0" autoPict="0">
                <anchor moveWithCells="1">
                  <from>
                    <xdr:col>0</xdr:col>
                    <xdr:colOff>276225</xdr:colOff>
                    <xdr:row>1</xdr:row>
                    <xdr:rowOff>9525</xdr:rowOff>
                  </from>
                  <to>
                    <xdr:col>3</xdr:col>
                    <xdr:colOff>19050</xdr:colOff>
                    <xdr:row>1</xdr:row>
                    <xdr:rowOff>485775</xdr:rowOff>
                  </to>
                </anchor>
              </controlPr>
            </control>
          </mc:Choice>
        </mc:AlternateContent>
        <mc:AlternateContent xmlns:mc="http://schemas.openxmlformats.org/markup-compatibility/2006">
          <mc:Choice Requires="x14">
            <control shapeId="1026" r:id="rId4" name="Check Box 2">
              <controlPr defaultSize="0" autoFill="0" autoLine="0" autoPict="0">
                <anchor moveWithCells="1">
                  <from>
                    <xdr:col>0</xdr:col>
                    <xdr:colOff>276225</xdr:colOff>
                    <xdr:row>2</xdr:row>
                    <xdr:rowOff>9525</xdr:rowOff>
                  </from>
                  <to>
                    <xdr:col>3</xdr:col>
                    <xdr:colOff>19050</xdr:colOff>
                    <xdr:row>2</xdr:row>
                    <xdr:rowOff>485775</xdr:rowOff>
                  </to>
                </anchor>
              </controlPr>
            </control>
          </mc:Choice>
        </mc:AlternateContent>
        <mc:AlternateContent xmlns:mc="http://schemas.openxmlformats.org/markup-compatibility/2006">
          <mc:Choice Requires="x14">
            <control shapeId="1027" r:id="rId5" name="Check Box 3">
              <controlPr defaultSize="0" autoFill="0" autoLine="0" autoPict="0">
                <anchor moveWithCells="1">
                  <from>
                    <xdr:col>0</xdr:col>
                    <xdr:colOff>276225</xdr:colOff>
                    <xdr:row>3</xdr:row>
                    <xdr:rowOff>9525</xdr:rowOff>
                  </from>
                  <to>
                    <xdr:col>3</xdr:col>
                    <xdr:colOff>19050</xdr:colOff>
                    <xdr:row>3</xdr:row>
                    <xdr:rowOff>485775</xdr:rowOff>
                  </to>
                </anchor>
              </controlPr>
            </control>
          </mc:Choice>
        </mc:AlternateContent>
        <mc:AlternateContent xmlns:mc="http://schemas.openxmlformats.org/markup-compatibility/2006">
          <mc:Choice Requires="x14">
            <control shapeId="1028" r:id="rId6" name="Check Box 4">
              <controlPr defaultSize="0" autoFill="0" autoLine="0" autoPict="0">
                <anchor moveWithCells="1">
                  <from>
                    <xdr:col>0</xdr:col>
                    <xdr:colOff>276225</xdr:colOff>
                    <xdr:row>4</xdr:row>
                    <xdr:rowOff>9525</xdr:rowOff>
                  </from>
                  <to>
                    <xdr:col>3</xdr:col>
                    <xdr:colOff>19050</xdr:colOff>
                    <xdr:row>4</xdr:row>
                    <xdr:rowOff>485775</xdr:rowOff>
                  </to>
                </anchor>
              </controlPr>
            </control>
          </mc:Choice>
        </mc:AlternateContent>
        <mc:AlternateContent xmlns:mc="http://schemas.openxmlformats.org/markup-compatibility/2006">
          <mc:Choice Requires="x14">
            <control shapeId="1029" r:id="rId7" name="Check Box 5">
              <controlPr defaultSize="0" autoFill="0" autoLine="0" autoPict="0">
                <anchor moveWithCells="1">
                  <from>
                    <xdr:col>0</xdr:col>
                    <xdr:colOff>276225</xdr:colOff>
                    <xdr:row>5</xdr:row>
                    <xdr:rowOff>9525</xdr:rowOff>
                  </from>
                  <to>
                    <xdr:col>3</xdr:col>
                    <xdr:colOff>19050</xdr:colOff>
                    <xdr:row>5</xdr:row>
                    <xdr:rowOff>485775</xdr:rowOff>
                  </to>
                </anchor>
              </controlPr>
            </control>
          </mc:Choice>
        </mc:AlternateContent>
        <mc:AlternateContent xmlns:mc="http://schemas.openxmlformats.org/markup-compatibility/2006">
          <mc:Choice Requires="x14">
            <control shapeId="1030" r:id="rId8" name="Check Box 6">
              <controlPr defaultSize="0" autoFill="0" autoLine="0" autoPict="0">
                <anchor moveWithCells="1">
                  <from>
                    <xdr:col>0</xdr:col>
                    <xdr:colOff>276225</xdr:colOff>
                    <xdr:row>6</xdr:row>
                    <xdr:rowOff>9525</xdr:rowOff>
                  </from>
                  <to>
                    <xdr:col>3</xdr:col>
                    <xdr:colOff>19050</xdr:colOff>
                    <xdr:row>6</xdr:row>
                    <xdr:rowOff>485775</xdr:rowOff>
                  </to>
                </anchor>
              </controlPr>
            </control>
          </mc:Choice>
        </mc:AlternateContent>
        <mc:AlternateContent xmlns:mc="http://schemas.openxmlformats.org/markup-compatibility/2006">
          <mc:Choice Requires="x14">
            <control shapeId="1031" r:id="rId9" name="Check Box 7">
              <controlPr defaultSize="0" autoFill="0" autoLine="0" autoPict="0">
                <anchor moveWithCells="1">
                  <from>
                    <xdr:col>0</xdr:col>
                    <xdr:colOff>276225</xdr:colOff>
                    <xdr:row>7</xdr:row>
                    <xdr:rowOff>9525</xdr:rowOff>
                  </from>
                  <to>
                    <xdr:col>3</xdr:col>
                    <xdr:colOff>19050</xdr:colOff>
                    <xdr:row>7</xdr:row>
                    <xdr:rowOff>485775</xdr:rowOff>
                  </to>
                </anchor>
              </controlPr>
            </control>
          </mc:Choice>
        </mc:AlternateContent>
        <mc:AlternateContent xmlns:mc="http://schemas.openxmlformats.org/markup-compatibility/2006">
          <mc:Choice Requires="x14">
            <control shapeId="1032" r:id="rId10" name="Check Box 8">
              <controlPr defaultSize="0" autoFill="0" autoLine="0" autoPict="0">
                <anchor moveWithCells="1">
                  <from>
                    <xdr:col>0</xdr:col>
                    <xdr:colOff>276225</xdr:colOff>
                    <xdr:row>8</xdr:row>
                    <xdr:rowOff>9525</xdr:rowOff>
                  </from>
                  <to>
                    <xdr:col>3</xdr:col>
                    <xdr:colOff>19050</xdr:colOff>
                    <xdr:row>8</xdr:row>
                    <xdr:rowOff>485775</xdr:rowOff>
                  </to>
                </anchor>
              </controlPr>
            </control>
          </mc:Choice>
        </mc:AlternateContent>
        <mc:AlternateContent xmlns:mc="http://schemas.openxmlformats.org/markup-compatibility/2006">
          <mc:Choice Requires="x14">
            <control shapeId="1033" r:id="rId11" name="Check Box 9">
              <controlPr defaultSize="0" autoFill="0" autoLine="0" autoPict="0">
                <anchor moveWithCells="1">
                  <from>
                    <xdr:col>0</xdr:col>
                    <xdr:colOff>276225</xdr:colOff>
                    <xdr:row>9</xdr:row>
                    <xdr:rowOff>9525</xdr:rowOff>
                  </from>
                  <to>
                    <xdr:col>3</xdr:col>
                    <xdr:colOff>19050</xdr:colOff>
                    <xdr:row>9</xdr:row>
                    <xdr:rowOff>485775</xdr:rowOff>
                  </to>
                </anchor>
              </controlPr>
            </control>
          </mc:Choice>
        </mc:AlternateContent>
        <mc:AlternateContent xmlns:mc="http://schemas.openxmlformats.org/markup-compatibility/2006">
          <mc:Choice Requires="x14">
            <control shapeId="1034" r:id="rId12" name="Check Box 10">
              <controlPr defaultSize="0" autoFill="0" autoLine="0" autoPict="0">
                <anchor moveWithCells="1">
                  <from>
                    <xdr:col>0</xdr:col>
                    <xdr:colOff>276225</xdr:colOff>
                    <xdr:row>10</xdr:row>
                    <xdr:rowOff>9525</xdr:rowOff>
                  </from>
                  <to>
                    <xdr:col>3</xdr:col>
                    <xdr:colOff>19050</xdr:colOff>
                    <xdr:row>10</xdr:row>
                    <xdr:rowOff>485775</xdr:rowOff>
                  </to>
                </anchor>
              </controlPr>
            </control>
          </mc:Choice>
        </mc:AlternateContent>
        <mc:AlternateContent xmlns:mc="http://schemas.openxmlformats.org/markup-compatibility/2006">
          <mc:Choice Requires="x14">
            <control shapeId="1035" r:id="rId13" name="Check Box 11">
              <controlPr defaultSize="0" autoFill="0" autoLine="0" autoPict="0">
                <anchor moveWithCells="1">
                  <from>
                    <xdr:col>0</xdr:col>
                    <xdr:colOff>276225</xdr:colOff>
                    <xdr:row>11</xdr:row>
                    <xdr:rowOff>9525</xdr:rowOff>
                  </from>
                  <to>
                    <xdr:col>3</xdr:col>
                    <xdr:colOff>19050</xdr:colOff>
                    <xdr:row>11</xdr:row>
                    <xdr:rowOff>485775</xdr:rowOff>
                  </to>
                </anchor>
              </controlPr>
            </control>
          </mc:Choice>
        </mc:AlternateContent>
        <mc:AlternateContent xmlns:mc="http://schemas.openxmlformats.org/markup-compatibility/2006">
          <mc:Choice Requires="x14">
            <control shapeId="1036" r:id="rId14" name="Check Box 12">
              <controlPr defaultSize="0" autoFill="0" autoLine="0" autoPict="0">
                <anchor moveWithCells="1">
                  <from>
                    <xdr:col>0</xdr:col>
                    <xdr:colOff>276225</xdr:colOff>
                    <xdr:row>12</xdr:row>
                    <xdr:rowOff>9525</xdr:rowOff>
                  </from>
                  <to>
                    <xdr:col>3</xdr:col>
                    <xdr:colOff>19050</xdr:colOff>
                    <xdr:row>12</xdr:row>
                    <xdr:rowOff>485775</xdr:rowOff>
                  </to>
                </anchor>
              </controlPr>
            </control>
          </mc:Choice>
        </mc:AlternateContent>
        <mc:AlternateContent xmlns:mc="http://schemas.openxmlformats.org/markup-compatibility/2006">
          <mc:Choice Requires="x14">
            <control shapeId="1037" r:id="rId15" name="Check Box 13">
              <controlPr defaultSize="0" autoFill="0" autoLine="0" autoPict="0">
                <anchor moveWithCells="1">
                  <from>
                    <xdr:col>0</xdr:col>
                    <xdr:colOff>276225</xdr:colOff>
                    <xdr:row>13</xdr:row>
                    <xdr:rowOff>9525</xdr:rowOff>
                  </from>
                  <to>
                    <xdr:col>3</xdr:col>
                    <xdr:colOff>19050</xdr:colOff>
                    <xdr:row>13</xdr:row>
                    <xdr:rowOff>485775</xdr:rowOff>
                  </to>
                </anchor>
              </controlPr>
            </control>
          </mc:Choice>
        </mc:AlternateContent>
        <mc:AlternateContent xmlns:mc="http://schemas.openxmlformats.org/markup-compatibility/2006">
          <mc:Choice Requires="x14">
            <control shapeId="1038" r:id="rId16" name="Check Box 14">
              <controlPr defaultSize="0" autoFill="0" autoLine="0" autoPict="0">
                <anchor moveWithCells="1">
                  <from>
                    <xdr:col>0</xdr:col>
                    <xdr:colOff>276225</xdr:colOff>
                    <xdr:row>14</xdr:row>
                    <xdr:rowOff>9525</xdr:rowOff>
                  </from>
                  <to>
                    <xdr:col>3</xdr:col>
                    <xdr:colOff>19050</xdr:colOff>
                    <xdr:row>14</xdr:row>
                    <xdr:rowOff>485775</xdr:rowOff>
                  </to>
                </anchor>
              </controlPr>
            </control>
          </mc:Choice>
        </mc:AlternateContent>
        <mc:AlternateContent xmlns:mc="http://schemas.openxmlformats.org/markup-compatibility/2006">
          <mc:Choice Requires="x14">
            <control shapeId="1039" r:id="rId17" name="Check Box 15">
              <controlPr defaultSize="0" autoFill="0" autoLine="0" autoPict="0">
                <anchor moveWithCells="1">
                  <from>
                    <xdr:col>0</xdr:col>
                    <xdr:colOff>276225</xdr:colOff>
                    <xdr:row>15</xdr:row>
                    <xdr:rowOff>9525</xdr:rowOff>
                  </from>
                  <to>
                    <xdr:col>3</xdr:col>
                    <xdr:colOff>19050</xdr:colOff>
                    <xdr:row>15</xdr:row>
                    <xdr:rowOff>485775</xdr:rowOff>
                  </to>
                </anchor>
              </controlPr>
            </control>
          </mc:Choice>
        </mc:AlternateContent>
        <mc:AlternateContent xmlns:mc="http://schemas.openxmlformats.org/markup-compatibility/2006">
          <mc:Choice Requires="x14">
            <control shapeId="1040" r:id="rId18" name="Check Box 16">
              <controlPr defaultSize="0" autoFill="0" autoLine="0" autoPict="0">
                <anchor moveWithCells="1">
                  <from>
                    <xdr:col>0</xdr:col>
                    <xdr:colOff>276225</xdr:colOff>
                    <xdr:row>16</xdr:row>
                    <xdr:rowOff>9525</xdr:rowOff>
                  </from>
                  <to>
                    <xdr:col>3</xdr:col>
                    <xdr:colOff>19050</xdr:colOff>
                    <xdr:row>16</xdr:row>
                    <xdr:rowOff>485775</xdr:rowOff>
                  </to>
                </anchor>
              </controlPr>
            </control>
          </mc:Choice>
        </mc:AlternateContent>
        <mc:AlternateContent xmlns:mc="http://schemas.openxmlformats.org/markup-compatibility/2006">
          <mc:Choice Requires="x14">
            <control shapeId="1041" r:id="rId19" name="Check Box 17">
              <controlPr defaultSize="0" autoFill="0" autoLine="0" autoPict="0">
                <anchor moveWithCells="1">
                  <from>
                    <xdr:col>0</xdr:col>
                    <xdr:colOff>276225</xdr:colOff>
                    <xdr:row>17</xdr:row>
                    <xdr:rowOff>9525</xdr:rowOff>
                  </from>
                  <to>
                    <xdr:col>3</xdr:col>
                    <xdr:colOff>19050</xdr:colOff>
                    <xdr:row>17</xdr:row>
                    <xdr:rowOff>485775</xdr:rowOff>
                  </to>
                </anchor>
              </controlPr>
            </control>
          </mc:Choice>
        </mc:AlternateContent>
        <mc:AlternateContent xmlns:mc="http://schemas.openxmlformats.org/markup-compatibility/2006">
          <mc:Choice Requires="x14">
            <control shapeId="1042" r:id="rId20" name="Check Box 18">
              <controlPr defaultSize="0" autoFill="0" autoLine="0" autoPict="0">
                <anchor moveWithCells="1">
                  <from>
                    <xdr:col>0</xdr:col>
                    <xdr:colOff>276225</xdr:colOff>
                    <xdr:row>18</xdr:row>
                    <xdr:rowOff>9525</xdr:rowOff>
                  </from>
                  <to>
                    <xdr:col>3</xdr:col>
                    <xdr:colOff>19050</xdr:colOff>
                    <xdr:row>18</xdr:row>
                    <xdr:rowOff>485775</xdr:rowOff>
                  </to>
                </anchor>
              </controlPr>
            </control>
          </mc:Choice>
        </mc:AlternateContent>
        <mc:AlternateContent xmlns:mc="http://schemas.openxmlformats.org/markup-compatibility/2006">
          <mc:Choice Requires="x14">
            <control shapeId="1043" r:id="rId21" name="Check Box 19">
              <controlPr defaultSize="0" autoFill="0" autoLine="0" autoPict="0">
                <anchor moveWithCells="1">
                  <from>
                    <xdr:col>0</xdr:col>
                    <xdr:colOff>276225</xdr:colOff>
                    <xdr:row>19</xdr:row>
                    <xdr:rowOff>9525</xdr:rowOff>
                  </from>
                  <to>
                    <xdr:col>3</xdr:col>
                    <xdr:colOff>19050</xdr:colOff>
                    <xdr:row>19</xdr:row>
                    <xdr:rowOff>485775</xdr:rowOff>
                  </to>
                </anchor>
              </controlPr>
            </control>
          </mc:Choice>
        </mc:AlternateContent>
        <mc:AlternateContent xmlns:mc="http://schemas.openxmlformats.org/markup-compatibility/2006">
          <mc:Choice Requires="x14">
            <control shapeId="1044" r:id="rId22" name="Check Box 20">
              <controlPr defaultSize="0" autoFill="0" autoLine="0" autoPict="0">
                <anchor moveWithCells="1">
                  <from>
                    <xdr:col>0</xdr:col>
                    <xdr:colOff>276225</xdr:colOff>
                    <xdr:row>20</xdr:row>
                    <xdr:rowOff>9525</xdr:rowOff>
                  </from>
                  <to>
                    <xdr:col>3</xdr:col>
                    <xdr:colOff>19050</xdr:colOff>
                    <xdr:row>20</xdr:row>
                    <xdr:rowOff>485775</xdr:rowOff>
                  </to>
                </anchor>
              </controlPr>
            </control>
          </mc:Choice>
        </mc:AlternateContent>
        <mc:AlternateContent xmlns:mc="http://schemas.openxmlformats.org/markup-compatibility/2006">
          <mc:Choice Requires="x14">
            <control shapeId="1045" r:id="rId23" name="Check Box 21">
              <controlPr defaultSize="0" autoFill="0" autoLine="0" autoPict="0">
                <anchor moveWithCells="1">
                  <from>
                    <xdr:col>0</xdr:col>
                    <xdr:colOff>276225</xdr:colOff>
                    <xdr:row>21</xdr:row>
                    <xdr:rowOff>9525</xdr:rowOff>
                  </from>
                  <to>
                    <xdr:col>3</xdr:col>
                    <xdr:colOff>19050</xdr:colOff>
                    <xdr:row>21</xdr:row>
                    <xdr:rowOff>485775</xdr:rowOff>
                  </to>
                </anchor>
              </controlPr>
            </control>
          </mc:Choice>
        </mc:AlternateContent>
        <mc:AlternateContent xmlns:mc="http://schemas.openxmlformats.org/markup-compatibility/2006">
          <mc:Choice Requires="x14">
            <control shapeId="1046" r:id="rId24" name="Check Box 22">
              <controlPr defaultSize="0" autoFill="0" autoLine="0" autoPict="0">
                <anchor moveWithCells="1">
                  <from>
                    <xdr:col>0</xdr:col>
                    <xdr:colOff>276225</xdr:colOff>
                    <xdr:row>22</xdr:row>
                    <xdr:rowOff>9525</xdr:rowOff>
                  </from>
                  <to>
                    <xdr:col>3</xdr:col>
                    <xdr:colOff>19050</xdr:colOff>
                    <xdr:row>22</xdr:row>
                    <xdr:rowOff>485775</xdr:rowOff>
                  </to>
                </anchor>
              </controlPr>
            </control>
          </mc:Choice>
        </mc:AlternateContent>
        <mc:AlternateContent xmlns:mc="http://schemas.openxmlformats.org/markup-compatibility/2006">
          <mc:Choice Requires="x14">
            <control shapeId="1047" r:id="rId25" name="Check Box 23">
              <controlPr defaultSize="0" autoFill="0" autoLine="0" autoPict="0">
                <anchor moveWithCells="1">
                  <from>
                    <xdr:col>0</xdr:col>
                    <xdr:colOff>276225</xdr:colOff>
                    <xdr:row>23</xdr:row>
                    <xdr:rowOff>9525</xdr:rowOff>
                  </from>
                  <to>
                    <xdr:col>3</xdr:col>
                    <xdr:colOff>19050</xdr:colOff>
                    <xdr:row>23</xdr:row>
                    <xdr:rowOff>485775</xdr:rowOff>
                  </to>
                </anchor>
              </controlPr>
            </control>
          </mc:Choice>
        </mc:AlternateContent>
        <mc:AlternateContent xmlns:mc="http://schemas.openxmlformats.org/markup-compatibility/2006">
          <mc:Choice Requires="x14">
            <control shapeId="1048" r:id="rId26" name="Check Box 24">
              <controlPr defaultSize="0" autoFill="0" autoLine="0" autoPict="0">
                <anchor moveWithCells="1">
                  <from>
                    <xdr:col>0</xdr:col>
                    <xdr:colOff>276225</xdr:colOff>
                    <xdr:row>24</xdr:row>
                    <xdr:rowOff>9525</xdr:rowOff>
                  </from>
                  <to>
                    <xdr:col>3</xdr:col>
                    <xdr:colOff>19050</xdr:colOff>
                    <xdr:row>24</xdr:row>
                    <xdr:rowOff>485775</xdr:rowOff>
                  </to>
                </anchor>
              </controlPr>
            </control>
          </mc:Choice>
        </mc:AlternateContent>
        <mc:AlternateContent xmlns:mc="http://schemas.openxmlformats.org/markup-compatibility/2006">
          <mc:Choice Requires="x14">
            <control shapeId="1049" r:id="rId27" name="Check Box 25">
              <controlPr defaultSize="0" autoFill="0" autoLine="0" autoPict="0">
                <anchor moveWithCells="1">
                  <from>
                    <xdr:col>0</xdr:col>
                    <xdr:colOff>276225</xdr:colOff>
                    <xdr:row>25</xdr:row>
                    <xdr:rowOff>9525</xdr:rowOff>
                  </from>
                  <to>
                    <xdr:col>3</xdr:col>
                    <xdr:colOff>19050</xdr:colOff>
                    <xdr:row>25</xdr:row>
                    <xdr:rowOff>485775</xdr:rowOff>
                  </to>
                </anchor>
              </controlPr>
            </control>
          </mc:Choice>
        </mc:AlternateContent>
        <mc:AlternateContent xmlns:mc="http://schemas.openxmlformats.org/markup-compatibility/2006">
          <mc:Choice Requires="x14">
            <control shapeId="1050" r:id="rId28" name="Check Box 26">
              <controlPr defaultSize="0" autoFill="0" autoLine="0" autoPict="0">
                <anchor moveWithCells="1">
                  <from>
                    <xdr:col>0</xdr:col>
                    <xdr:colOff>276225</xdr:colOff>
                    <xdr:row>26</xdr:row>
                    <xdr:rowOff>9525</xdr:rowOff>
                  </from>
                  <to>
                    <xdr:col>3</xdr:col>
                    <xdr:colOff>19050</xdr:colOff>
                    <xdr:row>26</xdr:row>
                    <xdr:rowOff>485775</xdr:rowOff>
                  </to>
                </anchor>
              </controlPr>
            </control>
          </mc:Choice>
        </mc:AlternateContent>
        <mc:AlternateContent xmlns:mc="http://schemas.openxmlformats.org/markup-compatibility/2006">
          <mc:Choice Requires="x14">
            <control shapeId="1051" r:id="rId29" name="Check Box 27">
              <controlPr defaultSize="0" autoFill="0" autoLine="0" autoPict="0">
                <anchor moveWithCells="1">
                  <from>
                    <xdr:col>0</xdr:col>
                    <xdr:colOff>276225</xdr:colOff>
                    <xdr:row>27</xdr:row>
                    <xdr:rowOff>9525</xdr:rowOff>
                  </from>
                  <to>
                    <xdr:col>3</xdr:col>
                    <xdr:colOff>19050</xdr:colOff>
                    <xdr:row>27</xdr:row>
                    <xdr:rowOff>485775</xdr:rowOff>
                  </to>
                </anchor>
              </controlPr>
            </control>
          </mc:Choice>
        </mc:AlternateContent>
        <mc:AlternateContent xmlns:mc="http://schemas.openxmlformats.org/markup-compatibility/2006">
          <mc:Choice Requires="x14">
            <control shapeId="1052" r:id="rId30" name="Check Box 28">
              <controlPr defaultSize="0" autoFill="0" autoLine="0" autoPict="0">
                <anchor moveWithCells="1">
                  <from>
                    <xdr:col>0</xdr:col>
                    <xdr:colOff>276225</xdr:colOff>
                    <xdr:row>28</xdr:row>
                    <xdr:rowOff>9525</xdr:rowOff>
                  </from>
                  <to>
                    <xdr:col>3</xdr:col>
                    <xdr:colOff>19050</xdr:colOff>
                    <xdr:row>28</xdr:row>
                    <xdr:rowOff>485775</xdr:rowOff>
                  </to>
                </anchor>
              </controlPr>
            </control>
          </mc:Choice>
        </mc:AlternateContent>
        <mc:AlternateContent xmlns:mc="http://schemas.openxmlformats.org/markup-compatibility/2006">
          <mc:Choice Requires="x14">
            <control shapeId="1053" r:id="rId31" name="Check Box 29">
              <controlPr defaultSize="0" autoFill="0" autoLine="0" autoPict="0">
                <anchor moveWithCells="1">
                  <from>
                    <xdr:col>0</xdr:col>
                    <xdr:colOff>276225</xdr:colOff>
                    <xdr:row>29</xdr:row>
                    <xdr:rowOff>9525</xdr:rowOff>
                  </from>
                  <to>
                    <xdr:col>3</xdr:col>
                    <xdr:colOff>19050</xdr:colOff>
                    <xdr:row>29</xdr:row>
                    <xdr:rowOff>485775</xdr:rowOff>
                  </to>
                </anchor>
              </controlPr>
            </control>
          </mc:Choice>
        </mc:AlternateContent>
        <mc:AlternateContent xmlns:mc="http://schemas.openxmlformats.org/markup-compatibility/2006">
          <mc:Choice Requires="x14">
            <control shapeId="1054" r:id="rId32" name="Check Box 30">
              <controlPr defaultSize="0" autoFill="0" autoLine="0" autoPict="0">
                <anchor moveWithCells="1">
                  <from>
                    <xdr:col>0</xdr:col>
                    <xdr:colOff>276225</xdr:colOff>
                    <xdr:row>30</xdr:row>
                    <xdr:rowOff>9525</xdr:rowOff>
                  </from>
                  <to>
                    <xdr:col>3</xdr:col>
                    <xdr:colOff>19050</xdr:colOff>
                    <xdr:row>30</xdr:row>
                    <xdr:rowOff>485775</xdr:rowOff>
                  </to>
                </anchor>
              </controlPr>
            </control>
          </mc:Choice>
        </mc:AlternateContent>
        <mc:AlternateContent xmlns:mc="http://schemas.openxmlformats.org/markup-compatibility/2006">
          <mc:Choice Requires="x14">
            <control shapeId="1055" r:id="rId33" name="Check Box 31">
              <controlPr defaultSize="0" autoFill="0" autoLine="0" autoPict="0">
                <anchor moveWithCells="1">
                  <from>
                    <xdr:col>0</xdr:col>
                    <xdr:colOff>276225</xdr:colOff>
                    <xdr:row>31</xdr:row>
                    <xdr:rowOff>9525</xdr:rowOff>
                  </from>
                  <to>
                    <xdr:col>3</xdr:col>
                    <xdr:colOff>19050</xdr:colOff>
                    <xdr:row>31</xdr:row>
                    <xdr:rowOff>485775</xdr:rowOff>
                  </to>
                </anchor>
              </controlPr>
            </control>
          </mc:Choice>
        </mc:AlternateContent>
        <mc:AlternateContent xmlns:mc="http://schemas.openxmlformats.org/markup-compatibility/2006">
          <mc:Choice Requires="x14">
            <control shapeId="1056" r:id="rId34" name="Check Box 32">
              <controlPr defaultSize="0" autoFill="0" autoLine="0" autoPict="0">
                <anchor moveWithCells="1">
                  <from>
                    <xdr:col>0</xdr:col>
                    <xdr:colOff>276225</xdr:colOff>
                    <xdr:row>32</xdr:row>
                    <xdr:rowOff>9525</xdr:rowOff>
                  </from>
                  <to>
                    <xdr:col>3</xdr:col>
                    <xdr:colOff>19050</xdr:colOff>
                    <xdr:row>32</xdr:row>
                    <xdr:rowOff>485775</xdr:rowOff>
                  </to>
                </anchor>
              </controlPr>
            </control>
          </mc:Choice>
        </mc:AlternateContent>
        <mc:AlternateContent xmlns:mc="http://schemas.openxmlformats.org/markup-compatibility/2006">
          <mc:Choice Requires="x14">
            <control shapeId="1057" r:id="rId35" name="Check Box 33">
              <controlPr defaultSize="0" autoFill="0" autoLine="0" autoPict="0">
                <anchor moveWithCells="1">
                  <from>
                    <xdr:col>0</xdr:col>
                    <xdr:colOff>276225</xdr:colOff>
                    <xdr:row>33</xdr:row>
                    <xdr:rowOff>9525</xdr:rowOff>
                  </from>
                  <to>
                    <xdr:col>3</xdr:col>
                    <xdr:colOff>19050</xdr:colOff>
                    <xdr:row>33</xdr:row>
                    <xdr:rowOff>485775</xdr:rowOff>
                  </to>
                </anchor>
              </controlPr>
            </control>
          </mc:Choice>
        </mc:AlternateContent>
        <mc:AlternateContent xmlns:mc="http://schemas.openxmlformats.org/markup-compatibility/2006">
          <mc:Choice Requires="x14">
            <control shapeId="1058" r:id="rId36" name="Check Box 34">
              <controlPr defaultSize="0" autoFill="0" autoLine="0" autoPict="0">
                <anchor moveWithCells="1">
                  <from>
                    <xdr:col>0</xdr:col>
                    <xdr:colOff>276225</xdr:colOff>
                    <xdr:row>34</xdr:row>
                    <xdr:rowOff>9525</xdr:rowOff>
                  </from>
                  <to>
                    <xdr:col>3</xdr:col>
                    <xdr:colOff>19050</xdr:colOff>
                    <xdr:row>34</xdr:row>
                    <xdr:rowOff>485775</xdr:rowOff>
                  </to>
                </anchor>
              </controlPr>
            </control>
          </mc:Choice>
        </mc:AlternateContent>
        <mc:AlternateContent xmlns:mc="http://schemas.openxmlformats.org/markup-compatibility/2006">
          <mc:Choice Requires="x14">
            <control shapeId="1059" r:id="rId37" name="Check Box 35">
              <controlPr defaultSize="0" autoFill="0" autoLine="0" autoPict="0">
                <anchor moveWithCells="1">
                  <from>
                    <xdr:col>0</xdr:col>
                    <xdr:colOff>276225</xdr:colOff>
                    <xdr:row>35</xdr:row>
                    <xdr:rowOff>9525</xdr:rowOff>
                  </from>
                  <to>
                    <xdr:col>3</xdr:col>
                    <xdr:colOff>19050</xdr:colOff>
                    <xdr:row>35</xdr:row>
                    <xdr:rowOff>485775</xdr:rowOff>
                  </to>
                </anchor>
              </controlPr>
            </control>
          </mc:Choice>
        </mc:AlternateContent>
        <mc:AlternateContent xmlns:mc="http://schemas.openxmlformats.org/markup-compatibility/2006">
          <mc:Choice Requires="x14">
            <control shapeId="1060" r:id="rId38" name="Check Box 36">
              <controlPr defaultSize="0" autoFill="0" autoLine="0" autoPict="0">
                <anchor moveWithCells="1">
                  <from>
                    <xdr:col>0</xdr:col>
                    <xdr:colOff>276225</xdr:colOff>
                    <xdr:row>36</xdr:row>
                    <xdr:rowOff>9525</xdr:rowOff>
                  </from>
                  <to>
                    <xdr:col>3</xdr:col>
                    <xdr:colOff>19050</xdr:colOff>
                    <xdr:row>36</xdr:row>
                    <xdr:rowOff>485775</xdr:rowOff>
                  </to>
                </anchor>
              </controlPr>
            </control>
          </mc:Choice>
        </mc:AlternateContent>
        <mc:AlternateContent xmlns:mc="http://schemas.openxmlformats.org/markup-compatibility/2006">
          <mc:Choice Requires="x14">
            <control shapeId="1061" r:id="rId39" name="Check Box 37">
              <controlPr defaultSize="0" autoFill="0" autoLine="0" autoPict="0">
                <anchor moveWithCells="1">
                  <from>
                    <xdr:col>0</xdr:col>
                    <xdr:colOff>276225</xdr:colOff>
                    <xdr:row>37</xdr:row>
                    <xdr:rowOff>9525</xdr:rowOff>
                  </from>
                  <to>
                    <xdr:col>3</xdr:col>
                    <xdr:colOff>19050</xdr:colOff>
                    <xdr:row>37</xdr:row>
                    <xdr:rowOff>485775</xdr:rowOff>
                  </to>
                </anchor>
              </controlPr>
            </control>
          </mc:Choice>
        </mc:AlternateContent>
        <mc:AlternateContent xmlns:mc="http://schemas.openxmlformats.org/markup-compatibility/2006">
          <mc:Choice Requires="x14">
            <control shapeId="1062" r:id="rId40" name="Check Box 38">
              <controlPr defaultSize="0" autoFill="0" autoLine="0" autoPict="0">
                <anchor moveWithCells="1">
                  <from>
                    <xdr:col>0</xdr:col>
                    <xdr:colOff>276225</xdr:colOff>
                    <xdr:row>38</xdr:row>
                    <xdr:rowOff>9525</xdr:rowOff>
                  </from>
                  <to>
                    <xdr:col>3</xdr:col>
                    <xdr:colOff>19050</xdr:colOff>
                    <xdr:row>38</xdr:row>
                    <xdr:rowOff>485775</xdr:rowOff>
                  </to>
                </anchor>
              </controlPr>
            </control>
          </mc:Choice>
        </mc:AlternateContent>
        <mc:AlternateContent xmlns:mc="http://schemas.openxmlformats.org/markup-compatibility/2006">
          <mc:Choice Requires="x14">
            <control shapeId="1063" r:id="rId41" name="Check Box 39">
              <controlPr defaultSize="0" autoFill="0" autoLine="0" autoPict="0">
                <anchor moveWithCells="1">
                  <from>
                    <xdr:col>0</xdr:col>
                    <xdr:colOff>276225</xdr:colOff>
                    <xdr:row>39</xdr:row>
                    <xdr:rowOff>9525</xdr:rowOff>
                  </from>
                  <to>
                    <xdr:col>3</xdr:col>
                    <xdr:colOff>19050</xdr:colOff>
                    <xdr:row>39</xdr:row>
                    <xdr:rowOff>485775</xdr:rowOff>
                  </to>
                </anchor>
              </controlPr>
            </control>
          </mc:Choice>
        </mc:AlternateContent>
        <mc:AlternateContent xmlns:mc="http://schemas.openxmlformats.org/markup-compatibility/2006">
          <mc:Choice Requires="x14">
            <control shapeId="1064" r:id="rId42" name="Check Box 40">
              <controlPr defaultSize="0" autoFill="0" autoLine="0" autoPict="0">
                <anchor moveWithCells="1">
                  <from>
                    <xdr:col>0</xdr:col>
                    <xdr:colOff>276225</xdr:colOff>
                    <xdr:row>40</xdr:row>
                    <xdr:rowOff>9525</xdr:rowOff>
                  </from>
                  <to>
                    <xdr:col>3</xdr:col>
                    <xdr:colOff>19050</xdr:colOff>
                    <xdr:row>40</xdr:row>
                    <xdr:rowOff>485775</xdr:rowOff>
                  </to>
                </anchor>
              </controlPr>
            </control>
          </mc:Choice>
        </mc:AlternateContent>
        <mc:AlternateContent xmlns:mc="http://schemas.openxmlformats.org/markup-compatibility/2006">
          <mc:Choice Requires="x14">
            <control shapeId="1065" r:id="rId43" name="Check Box 41">
              <controlPr defaultSize="0" autoFill="0" autoLine="0" autoPict="0">
                <anchor moveWithCells="1">
                  <from>
                    <xdr:col>0</xdr:col>
                    <xdr:colOff>276225</xdr:colOff>
                    <xdr:row>41</xdr:row>
                    <xdr:rowOff>9525</xdr:rowOff>
                  </from>
                  <to>
                    <xdr:col>3</xdr:col>
                    <xdr:colOff>19050</xdr:colOff>
                    <xdr:row>41</xdr:row>
                    <xdr:rowOff>485775</xdr:rowOff>
                  </to>
                </anchor>
              </controlPr>
            </control>
          </mc:Choice>
        </mc:AlternateContent>
        <mc:AlternateContent xmlns:mc="http://schemas.openxmlformats.org/markup-compatibility/2006">
          <mc:Choice Requires="x14">
            <control shapeId="1066" r:id="rId44" name="Check Box 42">
              <controlPr defaultSize="0" autoFill="0" autoLine="0" autoPict="0">
                <anchor moveWithCells="1">
                  <from>
                    <xdr:col>0</xdr:col>
                    <xdr:colOff>276225</xdr:colOff>
                    <xdr:row>42</xdr:row>
                    <xdr:rowOff>9525</xdr:rowOff>
                  </from>
                  <to>
                    <xdr:col>3</xdr:col>
                    <xdr:colOff>19050</xdr:colOff>
                    <xdr:row>42</xdr:row>
                    <xdr:rowOff>485775</xdr:rowOff>
                  </to>
                </anchor>
              </controlPr>
            </control>
          </mc:Choice>
        </mc:AlternateContent>
        <mc:AlternateContent xmlns:mc="http://schemas.openxmlformats.org/markup-compatibility/2006">
          <mc:Choice Requires="x14">
            <control shapeId="1067" r:id="rId45" name="Check Box 43">
              <controlPr defaultSize="0" autoFill="0" autoLine="0" autoPict="0">
                <anchor moveWithCells="1">
                  <from>
                    <xdr:col>0</xdr:col>
                    <xdr:colOff>276225</xdr:colOff>
                    <xdr:row>43</xdr:row>
                    <xdr:rowOff>9525</xdr:rowOff>
                  </from>
                  <to>
                    <xdr:col>3</xdr:col>
                    <xdr:colOff>19050</xdr:colOff>
                    <xdr:row>43</xdr:row>
                    <xdr:rowOff>485775</xdr:rowOff>
                  </to>
                </anchor>
              </controlPr>
            </control>
          </mc:Choice>
        </mc:AlternateContent>
        <mc:AlternateContent xmlns:mc="http://schemas.openxmlformats.org/markup-compatibility/2006">
          <mc:Choice Requires="x14">
            <control shapeId="1068" r:id="rId46" name="Check Box 44">
              <controlPr defaultSize="0" autoFill="0" autoLine="0" autoPict="0">
                <anchor moveWithCells="1">
                  <from>
                    <xdr:col>0</xdr:col>
                    <xdr:colOff>276225</xdr:colOff>
                    <xdr:row>44</xdr:row>
                    <xdr:rowOff>9525</xdr:rowOff>
                  </from>
                  <to>
                    <xdr:col>3</xdr:col>
                    <xdr:colOff>19050</xdr:colOff>
                    <xdr:row>44</xdr:row>
                    <xdr:rowOff>485775</xdr:rowOff>
                  </to>
                </anchor>
              </controlPr>
            </control>
          </mc:Choice>
        </mc:AlternateContent>
        <mc:AlternateContent xmlns:mc="http://schemas.openxmlformats.org/markup-compatibility/2006">
          <mc:Choice Requires="x14">
            <control shapeId="1069" r:id="rId47" name="Check Box 45">
              <controlPr defaultSize="0" autoFill="0" autoLine="0" autoPict="0">
                <anchor moveWithCells="1">
                  <from>
                    <xdr:col>0</xdr:col>
                    <xdr:colOff>276225</xdr:colOff>
                    <xdr:row>45</xdr:row>
                    <xdr:rowOff>9525</xdr:rowOff>
                  </from>
                  <to>
                    <xdr:col>3</xdr:col>
                    <xdr:colOff>19050</xdr:colOff>
                    <xdr:row>45</xdr:row>
                    <xdr:rowOff>485775</xdr:rowOff>
                  </to>
                </anchor>
              </controlPr>
            </control>
          </mc:Choice>
        </mc:AlternateContent>
        <mc:AlternateContent xmlns:mc="http://schemas.openxmlformats.org/markup-compatibility/2006">
          <mc:Choice Requires="x14">
            <control shapeId="1070" r:id="rId48" name="Check Box 46">
              <controlPr defaultSize="0" autoFill="0" autoLine="0" autoPict="0">
                <anchor moveWithCells="1">
                  <from>
                    <xdr:col>0</xdr:col>
                    <xdr:colOff>276225</xdr:colOff>
                    <xdr:row>46</xdr:row>
                    <xdr:rowOff>9525</xdr:rowOff>
                  </from>
                  <to>
                    <xdr:col>3</xdr:col>
                    <xdr:colOff>19050</xdr:colOff>
                    <xdr:row>46</xdr:row>
                    <xdr:rowOff>485775</xdr:rowOff>
                  </to>
                </anchor>
              </controlPr>
            </control>
          </mc:Choice>
        </mc:AlternateContent>
        <mc:AlternateContent xmlns:mc="http://schemas.openxmlformats.org/markup-compatibility/2006">
          <mc:Choice Requires="x14">
            <control shapeId="1071" r:id="rId49" name="Check Box 47">
              <controlPr defaultSize="0" autoFill="0" autoLine="0" autoPict="0">
                <anchor moveWithCells="1">
                  <from>
                    <xdr:col>0</xdr:col>
                    <xdr:colOff>276225</xdr:colOff>
                    <xdr:row>47</xdr:row>
                    <xdr:rowOff>9525</xdr:rowOff>
                  </from>
                  <to>
                    <xdr:col>3</xdr:col>
                    <xdr:colOff>19050</xdr:colOff>
                    <xdr:row>47</xdr:row>
                    <xdr:rowOff>485775</xdr:rowOff>
                  </to>
                </anchor>
              </controlPr>
            </control>
          </mc:Choice>
        </mc:AlternateContent>
        <mc:AlternateContent xmlns:mc="http://schemas.openxmlformats.org/markup-compatibility/2006">
          <mc:Choice Requires="x14">
            <control shapeId="1072" r:id="rId50" name="Check Box 48">
              <controlPr defaultSize="0" autoFill="0" autoLine="0" autoPict="0">
                <anchor moveWithCells="1">
                  <from>
                    <xdr:col>0</xdr:col>
                    <xdr:colOff>276225</xdr:colOff>
                    <xdr:row>48</xdr:row>
                    <xdr:rowOff>9525</xdr:rowOff>
                  </from>
                  <to>
                    <xdr:col>3</xdr:col>
                    <xdr:colOff>19050</xdr:colOff>
                    <xdr:row>48</xdr:row>
                    <xdr:rowOff>485775</xdr:rowOff>
                  </to>
                </anchor>
              </controlPr>
            </control>
          </mc:Choice>
        </mc:AlternateContent>
        <mc:AlternateContent xmlns:mc="http://schemas.openxmlformats.org/markup-compatibility/2006">
          <mc:Choice Requires="x14">
            <control shapeId="1073" r:id="rId51" name="Check Box 49">
              <controlPr defaultSize="0" autoFill="0" autoLine="0" autoPict="0">
                <anchor moveWithCells="1">
                  <from>
                    <xdr:col>0</xdr:col>
                    <xdr:colOff>276225</xdr:colOff>
                    <xdr:row>49</xdr:row>
                    <xdr:rowOff>9525</xdr:rowOff>
                  </from>
                  <to>
                    <xdr:col>3</xdr:col>
                    <xdr:colOff>19050</xdr:colOff>
                    <xdr:row>49</xdr:row>
                    <xdr:rowOff>485775</xdr:rowOff>
                  </to>
                </anchor>
              </controlPr>
            </control>
          </mc:Choice>
        </mc:AlternateContent>
        <mc:AlternateContent xmlns:mc="http://schemas.openxmlformats.org/markup-compatibility/2006">
          <mc:Choice Requires="x14">
            <control shapeId="1074" r:id="rId52" name="Check Box 50">
              <controlPr defaultSize="0" autoFill="0" autoLine="0" autoPict="0">
                <anchor moveWithCells="1">
                  <from>
                    <xdr:col>0</xdr:col>
                    <xdr:colOff>276225</xdr:colOff>
                    <xdr:row>50</xdr:row>
                    <xdr:rowOff>9525</xdr:rowOff>
                  </from>
                  <to>
                    <xdr:col>3</xdr:col>
                    <xdr:colOff>19050</xdr:colOff>
                    <xdr:row>50</xdr:row>
                    <xdr:rowOff>485775</xdr:rowOff>
                  </to>
                </anchor>
              </controlPr>
            </control>
          </mc:Choice>
        </mc:AlternateContent>
        <mc:AlternateContent xmlns:mc="http://schemas.openxmlformats.org/markup-compatibility/2006">
          <mc:Choice Requires="x14">
            <control shapeId="1075" r:id="rId53" name="Check Box 51">
              <controlPr defaultSize="0" autoFill="0" autoLine="0" autoPict="0">
                <anchor moveWithCells="1">
                  <from>
                    <xdr:col>0</xdr:col>
                    <xdr:colOff>276225</xdr:colOff>
                    <xdr:row>51</xdr:row>
                    <xdr:rowOff>9525</xdr:rowOff>
                  </from>
                  <to>
                    <xdr:col>3</xdr:col>
                    <xdr:colOff>19050</xdr:colOff>
                    <xdr:row>51</xdr:row>
                    <xdr:rowOff>485775</xdr:rowOff>
                  </to>
                </anchor>
              </controlPr>
            </control>
          </mc:Choice>
        </mc:AlternateContent>
        <mc:AlternateContent xmlns:mc="http://schemas.openxmlformats.org/markup-compatibility/2006">
          <mc:Choice Requires="x14">
            <control shapeId="1076" r:id="rId54" name="Check Box 52">
              <controlPr defaultSize="0" autoFill="0" autoLine="0" autoPict="0">
                <anchor moveWithCells="1">
                  <from>
                    <xdr:col>0</xdr:col>
                    <xdr:colOff>276225</xdr:colOff>
                    <xdr:row>52</xdr:row>
                    <xdr:rowOff>9525</xdr:rowOff>
                  </from>
                  <to>
                    <xdr:col>3</xdr:col>
                    <xdr:colOff>19050</xdr:colOff>
                    <xdr:row>52</xdr:row>
                    <xdr:rowOff>485775</xdr:rowOff>
                  </to>
                </anchor>
              </controlPr>
            </control>
          </mc:Choice>
        </mc:AlternateContent>
        <mc:AlternateContent xmlns:mc="http://schemas.openxmlformats.org/markup-compatibility/2006">
          <mc:Choice Requires="x14">
            <control shapeId="1077" r:id="rId55" name="Check Box 53">
              <controlPr defaultSize="0" autoFill="0" autoLine="0" autoPict="0">
                <anchor moveWithCells="1">
                  <from>
                    <xdr:col>0</xdr:col>
                    <xdr:colOff>276225</xdr:colOff>
                    <xdr:row>53</xdr:row>
                    <xdr:rowOff>9525</xdr:rowOff>
                  </from>
                  <to>
                    <xdr:col>3</xdr:col>
                    <xdr:colOff>19050</xdr:colOff>
                    <xdr:row>53</xdr:row>
                    <xdr:rowOff>485775</xdr:rowOff>
                  </to>
                </anchor>
              </controlPr>
            </control>
          </mc:Choice>
        </mc:AlternateContent>
        <mc:AlternateContent xmlns:mc="http://schemas.openxmlformats.org/markup-compatibility/2006">
          <mc:Choice Requires="x14">
            <control shapeId="1078" r:id="rId56" name="Check Box 54">
              <controlPr defaultSize="0" autoFill="0" autoLine="0" autoPict="0">
                <anchor moveWithCells="1">
                  <from>
                    <xdr:col>0</xdr:col>
                    <xdr:colOff>276225</xdr:colOff>
                    <xdr:row>54</xdr:row>
                    <xdr:rowOff>9525</xdr:rowOff>
                  </from>
                  <to>
                    <xdr:col>3</xdr:col>
                    <xdr:colOff>19050</xdr:colOff>
                    <xdr:row>54</xdr:row>
                    <xdr:rowOff>485775</xdr:rowOff>
                  </to>
                </anchor>
              </controlPr>
            </control>
          </mc:Choice>
        </mc:AlternateContent>
        <mc:AlternateContent xmlns:mc="http://schemas.openxmlformats.org/markup-compatibility/2006">
          <mc:Choice Requires="x14">
            <control shapeId="1079" r:id="rId57" name="Check Box 55">
              <controlPr defaultSize="0" autoFill="0" autoLine="0" autoPict="0">
                <anchor moveWithCells="1">
                  <from>
                    <xdr:col>0</xdr:col>
                    <xdr:colOff>276225</xdr:colOff>
                    <xdr:row>55</xdr:row>
                    <xdr:rowOff>9525</xdr:rowOff>
                  </from>
                  <to>
                    <xdr:col>3</xdr:col>
                    <xdr:colOff>19050</xdr:colOff>
                    <xdr:row>55</xdr:row>
                    <xdr:rowOff>485775</xdr:rowOff>
                  </to>
                </anchor>
              </controlPr>
            </control>
          </mc:Choice>
        </mc:AlternateContent>
        <mc:AlternateContent xmlns:mc="http://schemas.openxmlformats.org/markup-compatibility/2006">
          <mc:Choice Requires="x14">
            <control shapeId="1080" r:id="rId58" name="Check Box 56">
              <controlPr defaultSize="0" autoFill="0" autoLine="0" autoPict="0">
                <anchor moveWithCells="1">
                  <from>
                    <xdr:col>0</xdr:col>
                    <xdr:colOff>276225</xdr:colOff>
                    <xdr:row>56</xdr:row>
                    <xdr:rowOff>9525</xdr:rowOff>
                  </from>
                  <to>
                    <xdr:col>3</xdr:col>
                    <xdr:colOff>19050</xdr:colOff>
                    <xdr:row>56</xdr:row>
                    <xdr:rowOff>485775</xdr:rowOff>
                  </to>
                </anchor>
              </controlPr>
            </control>
          </mc:Choice>
        </mc:AlternateContent>
        <mc:AlternateContent xmlns:mc="http://schemas.openxmlformats.org/markup-compatibility/2006">
          <mc:Choice Requires="x14">
            <control shapeId="1081" r:id="rId59" name="Check Box 57">
              <controlPr defaultSize="0" autoFill="0" autoLine="0" autoPict="0">
                <anchor moveWithCells="1">
                  <from>
                    <xdr:col>0</xdr:col>
                    <xdr:colOff>276225</xdr:colOff>
                    <xdr:row>57</xdr:row>
                    <xdr:rowOff>9525</xdr:rowOff>
                  </from>
                  <to>
                    <xdr:col>3</xdr:col>
                    <xdr:colOff>19050</xdr:colOff>
                    <xdr:row>57</xdr:row>
                    <xdr:rowOff>485775</xdr:rowOff>
                  </to>
                </anchor>
              </controlPr>
            </control>
          </mc:Choice>
        </mc:AlternateContent>
        <mc:AlternateContent xmlns:mc="http://schemas.openxmlformats.org/markup-compatibility/2006">
          <mc:Choice Requires="x14">
            <control shapeId="1082" r:id="rId60" name="Check Box 58">
              <controlPr defaultSize="0" autoFill="0" autoLine="0" autoPict="0">
                <anchor moveWithCells="1">
                  <from>
                    <xdr:col>0</xdr:col>
                    <xdr:colOff>276225</xdr:colOff>
                    <xdr:row>58</xdr:row>
                    <xdr:rowOff>9525</xdr:rowOff>
                  </from>
                  <to>
                    <xdr:col>3</xdr:col>
                    <xdr:colOff>19050</xdr:colOff>
                    <xdr:row>58</xdr:row>
                    <xdr:rowOff>485775</xdr:rowOff>
                  </to>
                </anchor>
              </controlPr>
            </control>
          </mc:Choice>
        </mc:AlternateContent>
        <mc:AlternateContent xmlns:mc="http://schemas.openxmlformats.org/markup-compatibility/2006">
          <mc:Choice Requires="x14">
            <control shapeId="1083" r:id="rId61" name="Check Box 59">
              <controlPr defaultSize="0" autoFill="0" autoLine="0" autoPict="0">
                <anchor moveWithCells="1">
                  <from>
                    <xdr:col>0</xdr:col>
                    <xdr:colOff>276225</xdr:colOff>
                    <xdr:row>59</xdr:row>
                    <xdr:rowOff>9525</xdr:rowOff>
                  </from>
                  <to>
                    <xdr:col>3</xdr:col>
                    <xdr:colOff>19050</xdr:colOff>
                    <xdr:row>59</xdr:row>
                    <xdr:rowOff>485775</xdr:rowOff>
                  </to>
                </anchor>
              </controlPr>
            </control>
          </mc:Choice>
        </mc:AlternateContent>
        <mc:AlternateContent xmlns:mc="http://schemas.openxmlformats.org/markup-compatibility/2006">
          <mc:Choice Requires="x14">
            <control shapeId="1084" r:id="rId62" name="Check Box 60">
              <controlPr defaultSize="0" autoFill="0" autoLine="0" autoPict="0">
                <anchor moveWithCells="1">
                  <from>
                    <xdr:col>0</xdr:col>
                    <xdr:colOff>276225</xdr:colOff>
                    <xdr:row>60</xdr:row>
                    <xdr:rowOff>9525</xdr:rowOff>
                  </from>
                  <to>
                    <xdr:col>3</xdr:col>
                    <xdr:colOff>19050</xdr:colOff>
                    <xdr:row>60</xdr:row>
                    <xdr:rowOff>485775</xdr:rowOff>
                  </to>
                </anchor>
              </controlPr>
            </control>
          </mc:Choice>
        </mc:AlternateContent>
        <mc:AlternateContent xmlns:mc="http://schemas.openxmlformats.org/markup-compatibility/2006">
          <mc:Choice Requires="x14">
            <control shapeId="1085" r:id="rId63" name="Check Box 61">
              <controlPr defaultSize="0" autoFill="0" autoLine="0" autoPict="0">
                <anchor moveWithCells="1">
                  <from>
                    <xdr:col>0</xdr:col>
                    <xdr:colOff>276225</xdr:colOff>
                    <xdr:row>61</xdr:row>
                    <xdr:rowOff>9525</xdr:rowOff>
                  </from>
                  <to>
                    <xdr:col>3</xdr:col>
                    <xdr:colOff>19050</xdr:colOff>
                    <xdr:row>61</xdr:row>
                    <xdr:rowOff>485775</xdr:rowOff>
                  </to>
                </anchor>
              </controlPr>
            </control>
          </mc:Choice>
        </mc:AlternateContent>
        <mc:AlternateContent xmlns:mc="http://schemas.openxmlformats.org/markup-compatibility/2006">
          <mc:Choice Requires="x14">
            <control shapeId="1086" r:id="rId64" name="Check Box 62">
              <controlPr defaultSize="0" autoFill="0" autoLine="0" autoPict="0">
                <anchor moveWithCells="1">
                  <from>
                    <xdr:col>0</xdr:col>
                    <xdr:colOff>276225</xdr:colOff>
                    <xdr:row>62</xdr:row>
                    <xdr:rowOff>9525</xdr:rowOff>
                  </from>
                  <to>
                    <xdr:col>3</xdr:col>
                    <xdr:colOff>19050</xdr:colOff>
                    <xdr:row>62</xdr:row>
                    <xdr:rowOff>485775</xdr:rowOff>
                  </to>
                </anchor>
              </controlPr>
            </control>
          </mc:Choice>
        </mc:AlternateContent>
        <mc:AlternateContent xmlns:mc="http://schemas.openxmlformats.org/markup-compatibility/2006">
          <mc:Choice Requires="x14">
            <control shapeId="1087" r:id="rId65" name="Check Box 63">
              <controlPr defaultSize="0" autoFill="0" autoLine="0" autoPict="0">
                <anchor moveWithCells="1">
                  <from>
                    <xdr:col>0</xdr:col>
                    <xdr:colOff>276225</xdr:colOff>
                    <xdr:row>63</xdr:row>
                    <xdr:rowOff>9525</xdr:rowOff>
                  </from>
                  <to>
                    <xdr:col>3</xdr:col>
                    <xdr:colOff>19050</xdr:colOff>
                    <xdr:row>63</xdr:row>
                    <xdr:rowOff>485775</xdr:rowOff>
                  </to>
                </anchor>
              </controlPr>
            </control>
          </mc:Choice>
        </mc:AlternateContent>
        <mc:AlternateContent xmlns:mc="http://schemas.openxmlformats.org/markup-compatibility/2006">
          <mc:Choice Requires="x14">
            <control shapeId="1088" r:id="rId66" name="Check Box 64">
              <controlPr defaultSize="0" autoFill="0" autoLine="0" autoPict="0">
                <anchor moveWithCells="1">
                  <from>
                    <xdr:col>0</xdr:col>
                    <xdr:colOff>276225</xdr:colOff>
                    <xdr:row>64</xdr:row>
                    <xdr:rowOff>9525</xdr:rowOff>
                  </from>
                  <to>
                    <xdr:col>3</xdr:col>
                    <xdr:colOff>19050</xdr:colOff>
                    <xdr:row>64</xdr:row>
                    <xdr:rowOff>485775</xdr:rowOff>
                  </to>
                </anchor>
              </controlPr>
            </control>
          </mc:Choice>
        </mc:AlternateContent>
        <mc:AlternateContent xmlns:mc="http://schemas.openxmlformats.org/markup-compatibility/2006">
          <mc:Choice Requires="x14">
            <control shapeId="1089" r:id="rId67" name="Check Box 65">
              <controlPr defaultSize="0" autoFill="0" autoLine="0" autoPict="0">
                <anchor moveWithCells="1">
                  <from>
                    <xdr:col>0</xdr:col>
                    <xdr:colOff>276225</xdr:colOff>
                    <xdr:row>65</xdr:row>
                    <xdr:rowOff>9525</xdr:rowOff>
                  </from>
                  <to>
                    <xdr:col>3</xdr:col>
                    <xdr:colOff>19050</xdr:colOff>
                    <xdr:row>65</xdr:row>
                    <xdr:rowOff>485775</xdr:rowOff>
                  </to>
                </anchor>
              </controlPr>
            </control>
          </mc:Choice>
        </mc:AlternateContent>
        <mc:AlternateContent xmlns:mc="http://schemas.openxmlformats.org/markup-compatibility/2006">
          <mc:Choice Requires="x14">
            <control shapeId="1090" r:id="rId68" name="Check Box 66">
              <controlPr defaultSize="0" autoFill="0" autoLine="0" autoPict="0">
                <anchor moveWithCells="1">
                  <from>
                    <xdr:col>0</xdr:col>
                    <xdr:colOff>276225</xdr:colOff>
                    <xdr:row>66</xdr:row>
                    <xdr:rowOff>9525</xdr:rowOff>
                  </from>
                  <to>
                    <xdr:col>3</xdr:col>
                    <xdr:colOff>19050</xdr:colOff>
                    <xdr:row>66</xdr:row>
                    <xdr:rowOff>485775</xdr:rowOff>
                  </to>
                </anchor>
              </controlPr>
            </control>
          </mc:Choice>
        </mc:AlternateContent>
        <mc:AlternateContent xmlns:mc="http://schemas.openxmlformats.org/markup-compatibility/2006">
          <mc:Choice Requires="x14">
            <control shapeId="1091" r:id="rId69" name="Check Box 67">
              <controlPr defaultSize="0" autoFill="0" autoLine="0" autoPict="0">
                <anchor moveWithCells="1">
                  <from>
                    <xdr:col>0</xdr:col>
                    <xdr:colOff>276225</xdr:colOff>
                    <xdr:row>67</xdr:row>
                    <xdr:rowOff>9525</xdr:rowOff>
                  </from>
                  <to>
                    <xdr:col>3</xdr:col>
                    <xdr:colOff>19050</xdr:colOff>
                    <xdr:row>67</xdr:row>
                    <xdr:rowOff>485775</xdr:rowOff>
                  </to>
                </anchor>
              </controlPr>
            </control>
          </mc:Choice>
        </mc:AlternateContent>
        <mc:AlternateContent xmlns:mc="http://schemas.openxmlformats.org/markup-compatibility/2006">
          <mc:Choice Requires="x14">
            <control shapeId="1092" r:id="rId70" name="Check Box 68">
              <controlPr defaultSize="0" autoFill="0" autoLine="0" autoPict="0">
                <anchor moveWithCells="1">
                  <from>
                    <xdr:col>0</xdr:col>
                    <xdr:colOff>276225</xdr:colOff>
                    <xdr:row>68</xdr:row>
                    <xdr:rowOff>9525</xdr:rowOff>
                  </from>
                  <to>
                    <xdr:col>3</xdr:col>
                    <xdr:colOff>19050</xdr:colOff>
                    <xdr:row>68</xdr:row>
                    <xdr:rowOff>485775</xdr:rowOff>
                  </to>
                </anchor>
              </controlPr>
            </control>
          </mc:Choice>
        </mc:AlternateContent>
        <mc:AlternateContent xmlns:mc="http://schemas.openxmlformats.org/markup-compatibility/2006">
          <mc:Choice Requires="x14">
            <control shapeId="1093" r:id="rId71" name="Check Box 69">
              <controlPr defaultSize="0" autoFill="0" autoLine="0" autoPict="0">
                <anchor moveWithCells="1">
                  <from>
                    <xdr:col>0</xdr:col>
                    <xdr:colOff>276225</xdr:colOff>
                    <xdr:row>69</xdr:row>
                    <xdr:rowOff>9525</xdr:rowOff>
                  </from>
                  <to>
                    <xdr:col>3</xdr:col>
                    <xdr:colOff>19050</xdr:colOff>
                    <xdr:row>69</xdr:row>
                    <xdr:rowOff>485775</xdr:rowOff>
                  </to>
                </anchor>
              </controlPr>
            </control>
          </mc:Choice>
        </mc:AlternateContent>
        <mc:AlternateContent xmlns:mc="http://schemas.openxmlformats.org/markup-compatibility/2006">
          <mc:Choice Requires="x14">
            <control shapeId="1094" r:id="rId72" name="Check Box 70">
              <controlPr defaultSize="0" autoFill="0" autoLine="0" autoPict="0">
                <anchor moveWithCells="1">
                  <from>
                    <xdr:col>0</xdr:col>
                    <xdr:colOff>276225</xdr:colOff>
                    <xdr:row>70</xdr:row>
                    <xdr:rowOff>9525</xdr:rowOff>
                  </from>
                  <to>
                    <xdr:col>3</xdr:col>
                    <xdr:colOff>19050</xdr:colOff>
                    <xdr:row>70</xdr:row>
                    <xdr:rowOff>485775</xdr:rowOff>
                  </to>
                </anchor>
              </controlPr>
            </control>
          </mc:Choice>
        </mc:AlternateContent>
        <mc:AlternateContent xmlns:mc="http://schemas.openxmlformats.org/markup-compatibility/2006">
          <mc:Choice Requires="x14">
            <control shapeId="1095" r:id="rId73" name="Check Box 71">
              <controlPr defaultSize="0" autoFill="0" autoLine="0" autoPict="0">
                <anchor moveWithCells="1">
                  <from>
                    <xdr:col>0</xdr:col>
                    <xdr:colOff>276225</xdr:colOff>
                    <xdr:row>71</xdr:row>
                    <xdr:rowOff>9525</xdr:rowOff>
                  </from>
                  <to>
                    <xdr:col>3</xdr:col>
                    <xdr:colOff>19050</xdr:colOff>
                    <xdr:row>71</xdr:row>
                    <xdr:rowOff>485775</xdr:rowOff>
                  </to>
                </anchor>
              </controlPr>
            </control>
          </mc:Choice>
        </mc:AlternateContent>
        <mc:AlternateContent xmlns:mc="http://schemas.openxmlformats.org/markup-compatibility/2006">
          <mc:Choice Requires="x14">
            <control shapeId="1096" r:id="rId74" name="Check Box 72">
              <controlPr defaultSize="0" autoFill="0" autoLine="0" autoPict="0">
                <anchor moveWithCells="1">
                  <from>
                    <xdr:col>0</xdr:col>
                    <xdr:colOff>276225</xdr:colOff>
                    <xdr:row>72</xdr:row>
                    <xdr:rowOff>9525</xdr:rowOff>
                  </from>
                  <to>
                    <xdr:col>3</xdr:col>
                    <xdr:colOff>19050</xdr:colOff>
                    <xdr:row>72</xdr:row>
                    <xdr:rowOff>485775</xdr:rowOff>
                  </to>
                </anchor>
              </controlPr>
            </control>
          </mc:Choice>
        </mc:AlternateContent>
        <mc:AlternateContent xmlns:mc="http://schemas.openxmlformats.org/markup-compatibility/2006">
          <mc:Choice Requires="x14">
            <control shapeId="1097" r:id="rId75" name="Check Box 73">
              <controlPr defaultSize="0" autoFill="0" autoLine="0" autoPict="0">
                <anchor moveWithCells="1">
                  <from>
                    <xdr:col>0</xdr:col>
                    <xdr:colOff>276225</xdr:colOff>
                    <xdr:row>73</xdr:row>
                    <xdr:rowOff>9525</xdr:rowOff>
                  </from>
                  <to>
                    <xdr:col>3</xdr:col>
                    <xdr:colOff>19050</xdr:colOff>
                    <xdr:row>73</xdr:row>
                    <xdr:rowOff>485775</xdr:rowOff>
                  </to>
                </anchor>
              </controlPr>
            </control>
          </mc:Choice>
        </mc:AlternateContent>
        <mc:AlternateContent xmlns:mc="http://schemas.openxmlformats.org/markup-compatibility/2006">
          <mc:Choice Requires="x14">
            <control shapeId="1098" r:id="rId76" name="Check Box 74">
              <controlPr defaultSize="0" autoFill="0" autoLine="0" autoPict="0">
                <anchor moveWithCells="1">
                  <from>
                    <xdr:col>0</xdr:col>
                    <xdr:colOff>276225</xdr:colOff>
                    <xdr:row>74</xdr:row>
                    <xdr:rowOff>9525</xdr:rowOff>
                  </from>
                  <to>
                    <xdr:col>3</xdr:col>
                    <xdr:colOff>19050</xdr:colOff>
                    <xdr:row>74</xdr:row>
                    <xdr:rowOff>485775</xdr:rowOff>
                  </to>
                </anchor>
              </controlPr>
            </control>
          </mc:Choice>
        </mc:AlternateContent>
        <mc:AlternateContent xmlns:mc="http://schemas.openxmlformats.org/markup-compatibility/2006">
          <mc:Choice Requires="x14">
            <control shapeId="1099" r:id="rId77" name="Check Box 75">
              <controlPr defaultSize="0" autoFill="0" autoLine="0" autoPict="0">
                <anchor moveWithCells="1">
                  <from>
                    <xdr:col>0</xdr:col>
                    <xdr:colOff>276225</xdr:colOff>
                    <xdr:row>75</xdr:row>
                    <xdr:rowOff>9525</xdr:rowOff>
                  </from>
                  <to>
                    <xdr:col>3</xdr:col>
                    <xdr:colOff>19050</xdr:colOff>
                    <xdr:row>75</xdr:row>
                    <xdr:rowOff>485775</xdr:rowOff>
                  </to>
                </anchor>
              </controlPr>
            </control>
          </mc:Choice>
        </mc:AlternateContent>
        <mc:AlternateContent xmlns:mc="http://schemas.openxmlformats.org/markup-compatibility/2006">
          <mc:Choice Requires="x14">
            <control shapeId="1100" r:id="rId78" name="Check Box 76">
              <controlPr defaultSize="0" autoFill="0" autoLine="0" autoPict="0">
                <anchor moveWithCells="1">
                  <from>
                    <xdr:col>0</xdr:col>
                    <xdr:colOff>276225</xdr:colOff>
                    <xdr:row>76</xdr:row>
                    <xdr:rowOff>9525</xdr:rowOff>
                  </from>
                  <to>
                    <xdr:col>3</xdr:col>
                    <xdr:colOff>19050</xdr:colOff>
                    <xdr:row>76</xdr:row>
                    <xdr:rowOff>485775</xdr:rowOff>
                  </to>
                </anchor>
              </controlPr>
            </control>
          </mc:Choice>
        </mc:AlternateContent>
        <mc:AlternateContent xmlns:mc="http://schemas.openxmlformats.org/markup-compatibility/2006">
          <mc:Choice Requires="x14">
            <control shapeId="1101" r:id="rId79" name="Check Box 77">
              <controlPr defaultSize="0" autoFill="0" autoLine="0" autoPict="0">
                <anchor moveWithCells="1">
                  <from>
                    <xdr:col>0</xdr:col>
                    <xdr:colOff>276225</xdr:colOff>
                    <xdr:row>77</xdr:row>
                    <xdr:rowOff>9525</xdr:rowOff>
                  </from>
                  <to>
                    <xdr:col>3</xdr:col>
                    <xdr:colOff>19050</xdr:colOff>
                    <xdr:row>77</xdr:row>
                    <xdr:rowOff>485775</xdr:rowOff>
                  </to>
                </anchor>
              </controlPr>
            </control>
          </mc:Choice>
        </mc:AlternateContent>
        <mc:AlternateContent xmlns:mc="http://schemas.openxmlformats.org/markup-compatibility/2006">
          <mc:Choice Requires="x14">
            <control shapeId="1102" r:id="rId80" name="Check Box 78">
              <controlPr defaultSize="0" autoFill="0" autoLine="0" autoPict="0">
                <anchor moveWithCells="1">
                  <from>
                    <xdr:col>0</xdr:col>
                    <xdr:colOff>276225</xdr:colOff>
                    <xdr:row>78</xdr:row>
                    <xdr:rowOff>9525</xdr:rowOff>
                  </from>
                  <to>
                    <xdr:col>3</xdr:col>
                    <xdr:colOff>19050</xdr:colOff>
                    <xdr:row>78</xdr:row>
                    <xdr:rowOff>485775</xdr:rowOff>
                  </to>
                </anchor>
              </controlPr>
            </control>
          </mc:Choice>
        </mc:AlternateContent>
        <mc:AlternateContent xmlns:mc="http://schemas.openxmlformats.org/markup-compatibility/2006">
          <mc:Choice Requires="x14">
            <control shapeId="1103" r:id="rId81" name="Check Box 79">
              <controlPr defaultSize="0" autoFill="0" autoLine="0" autoPict="0">
                <anchor moveWithCells="1">
                  <from>
                    <xdr:col>0</xdr:col>
                    <xdr:colOff>276225</xdr:colOff>
                    <xdr:row>79</xdr:row>
                    <xdr:rowOff>9525</xdr:rowOff>
                  </from>
                  <to>
                    <xdr:col>3</xdr:col>
                    <xdr:colOff>19050</xdr:colOff>
                    <xdr:row>79</xdr:row>
                    <xdr:rowOff>485775</xdr:rowOff>
                  </to>
                </anchor>
              </controlPr>
            </control>
          </mc:Choice>
        </mc:AlternateContent>
        <mc:AlternateContent xmlns:mc="http://schemas.openxmlformats.org/markup-compatibility/2006">
          <mc:Choice Requires="x14">
            <control shapeId="1104" r:id="rId82" name="Check Box 80">
              <controlPr defaultSize="0" autoFill="0" autoLine="0" autoPict="0">
                <anchor moveWithCells="1">
                  <from>
                    <xdr:col>0</xdr:col>
                    <xdr:colOff>276225</xdr:colOff>
                    <xdr:row>80</xdr:row>
                    <xdr:rowOff>9525</xdr:rowOff>
                  </from>
                  <to>
                    <xdr:col>3</xdr:col>
                    <xdr:colOff>19050</xdr:colOff>
                    <xdr:row>80</xdr:row>
                    <xdr:rowOff>485775</xdr:rowOff>
                  </to>
                </anchor>
              </controlPr>
            </control>
          </mc:Choice>
        </mc:AlternateContent>
        <mc:AlternateContent xmlns:mc="http://schemas.openxmlformats.org/markup-compatibility/2006">
          <mc:Choice Requires="x14">
            <control shapeId="1105" r:id="rId83" name="Check Box 81">
              <controlPr defaultSize="0" autoFill="0" autoLine="0" autoPict="0">
                <anchor moveWithCells="1">
                  <from>
                    <xdr:col>0</xdr:col>
                    <xdr:colOff>276225</xdr:colOff>
                    <xdr:row>81</xdr:row>
                    <xdr:rowOff>9525</xdr:rowOff>
                  </from>
                  <to>
                    <xdr:col>3</xdr:col>
                    <xdr:colOff>19050</xdr:colOff>
                    <xdr:row>81</xdr:row>
                    <xdr:rowOff>485775</xdr:rowOff>
                  </to>
                </anchor>
              </controlPr>
            </control>
          </mc:Choice>
        </mc:AlternateContent>
        <mc:AlternateContent xmlns:mc="http://schemas.openxmlformats.org/markup-compatibility/2006">
          <mc:Choice Requires="x14">
            <control shapeId="1106" r:id="rId84" name="Check Box 82">
              <controlPr defaultSize="0" autoFill="0" autoLine="0" autoPict="0">
                <anchor moveWithCells="1">
                  <from>
                    <xdr:col>0</xdr:col>
                    <xdr:colOff>276225</xdr:colOff>
                    <xdr:row>82</xdr:row>
                    <xdr:rowOff>9525</xdr:rowOff>
                  </from>
                  <to>
                    <xdr:col>3</xdr:col>
                    <xdr:colOff>19050</xdr:colOff>
                    <xdr:row>82</xdr:row>
                    <xdr:rowOff>485775</xdr:rowOff>
                  </to>
                </anchor>
              </controlPr>
            </control>
          </mc:Choice>
        </mc:AlternateContent>
        <mc:AlternateContent xmlns:mc="http://schemas.openxmlformats.org/markup-compatibility/2006">
          <mc:Choice Requires="x14">
            <control shapeId="1107" r:id="rId85" name="Check Box 83">
              <controlPr defaultSize="0" autoFill="0" autoLine="0" autoPict="0">
                <anchor moveWithCells="1">
                  <from>
                    <xdr:col>0</xdr:col>
                    <xdr:colOff>276225</xdr:colOff>
                    <xdr:row>83</xdr:row>
                    <xdr:rowOff>9525</xdr:rowOff>
                  </from>
                  <to>
                    <xdr:col>3</xdr:col>
                    <xdr:colOff>19050</xdr:colOff>
                    <xdr:row>83</xdr:row>
                    <xdr:rowOff>485775</xdr:rowOff>
                  </to>
                </anchor>
              </controlPr>
            </control>
          </mc:Choice>
        </mc:AlternateContent>
        <mc:AlternateContent xmlns:mc="http://schemas.openxmlformats.org/markup-compatibility/2006">
          <mc:Choice Requires="x14">
            <control shapeId="1108" r:id="rId86" name="Check Box 84">
              <controlPr defaultSize="0" autoFill="0" autoLine="0" autoPict="0">
                <anchor moveWithCells="1">
                  <from>
                    <xdr:col>0</xdr:col>
                    <xdr:colOff>276225</xdr:colOff>
                    <xdr:row>84</xdr:row>
                    <xdr:rowOff>9525</xdr:rowOff>
                  </from>
                  <to>
                    <xdr:col>3</xdr:col>
                    <xdr:colOff>19050</xdr:colOff>
                    <xdr:row>84</xdr:row>
                    <xdr:rowOff>485775</xdr:rowOff>
                  </to>
                </anchor>
              </controlPr>
            </control>
          </mc:Choice>
        </mc:AlternateContent>
        <mc:AlternateContent xmlns:mc="http://schemas.openxmlformats.org/markup-compatibility/2006">
          <mc:Choice Requires="x14">
            <control shapeId="1109" r:id="rId87" name="Check Box 85">
              <controlPr defaultSize="0" autoFill="0" autoLine="0" autoPict="0">
                <anchor moveWithCells="1">
                  <from>
                    <xdr:col>0</xdr:col>
                    <xdr:colOff>276225</xdr:colOff>
                    <xdr:row>85</xdr:row>
                    <xdr:rowOff>9525</xdr:rowOff>
                  </from>
                  <to>
                    <xdr:col>3</xdr:col>
                    <xdr:colOff>19050</xdr:colOff>
                    <xdr:row>85</xdr:row>
                    <xdr:rowOff>485775</xdr:rowOff>
                  </to>
                </anchor>
              </controlPr>
            </control>
          </mc:Choice>
        </mc:AlternateContent>
        <mc:AlternateContent xmlns:mc="http://schemas.openxmlformats.org/markup-compatibility/2006">
          <mc:Choice Requires="x14">
            <control shapeId="1110" r:id="rId88" name="Check Box 86">
              <controlPr defaultSize="0" autoFill="0" autoLine="0" autoPict="0">
                <anchor moveWithCells="1">
                  <from>
                    <xdr:col>0</xdr:col>
                    <xdr:colOff>276225</xdr:colOff>
                    <xdr:row>86</xdr:row>
                    <xdr:rowOff>9525</xdr:rowOff>
                  </from>
                  <to>
                    <xdr:col>3</xdr:col>
                    <xdr:colOff>19050</xdr:colOff>
                    <xdr:row>86</xdr:row>
                    <xdr:rowOff>485775</xdr:rowOff>
                  </to>
                </anchor>
              </controlPr>
            </control>
          </mc:Choice>
        </mc:AlternateContent>
        <mc:AlternateContent xmlns:mc="http://schemas.openxmlformats.org/markup-compatibility/2006">
          <mc:Choice Requires="x14">
            <control shapeId="1111" r:id="rId89" name="Check Box 87">
              <controlPr defaultSize="0" autoFill="0" autoLine="0" autoPict="0">
                <anchor moveWithCells="1">
                  <from>
                    <xdr:col>0</xdr:col>
                    <xdr:colOff>276225</xdr:colOff>
                    <xdr:row>87</xdr:row>
                    <xdr:rowOff>9525</xdr:rowOff>
                  </from>
                  <to>
                    <xdr:col>3</xdr:col>
                    <xdr:colOff>19050</xdr:colOff>
                    <xdr:row>87</xdr:row>
                    <xdr:rowOff>485775</xdr:rowOff>
                  </to>
                </anchor>
              </controlPr>
            </control>
          </mc:Choice>
        </mc:AlternateContent>
        <mc:AlternateContent xmlns:mc="http://schemas.openxmlformats.org/markup-compatibility/2006">
          <mc:Choice Requires="x14">
            <control shapeId="1112" r:id="rId90" name="Check Box 88">
              <controlPr defaultSize="0" autoFill="0" autoLine="0" autoPict="0">
                <anchor moveWithCells="1">
                  <from>
                    <xdr:col>0</xdr:col>
                    <xdr:colOff>276225</xdr:colOff>
                    <xdr:row>88</xdr:row>
                    <xdr:rowOff>9525</xdr:rowOff>
                  </from>
                  <to>
                    <xdr:col>3</xdr:col>
                    <xdr:colOff>19050</xdr:colOff>
                    <xdr:row>88</xdr:row>
                    <xdr:rowOff>485775</xdr:rowOff>
                  </to>
                </anchor>
              </controlPr>
            </control>
          </mc:Choice>
        </mc:AlternateContent>
        <mc:AlternateContent xmlns:mc="http://schemas.openxmlformats.org/markup-compatibility/2006">
          <mc:Choice Requires="x14">
            <control shapeId="1113" r:id="rId91" name="Check Box 89">
              <controlPr defaultSize="0" autoFill="0" autoLine="0" autoPict="0">
                <anchor moveWithCells="1">
                  <from>
                    <xdr:col>0</xdr:col>
                    <xdr:colOff>276225</xdr:colOff>
                    <xdr:row>89</xdr:row>
                    <xdr:rowOff>9525</xdr:rowOff>
                  </from>
                  <to>
                    <xdr:col>3</xdr:col>
                    <xdr:colOff>19050</xdr:colOff>
                    <xdr:row>89</xdr:row>
                    <xdr:rowOff>485775</xdr:rowOff>
                  </to>
                </anchor>
              </controlPr>
            </control>
          </mc:Choice>
        </mc:AlternateContent>
        <mc:AlternateContent xmlns:mc="http://schemas.openxmlformats.org/markup-compatibility/2006">
          <mc:Choice Requires="x14">
            <control shapeId="1114" r:id="rId92" name="Check Box 90">
              <controlPr defaultSize="0" autoFill="0" autoLine="0" autoPict="0">
                <anchor moveWithCells="1">
                  <from>
                    <xdr:col>0</xdr:col>
                    <xdr:colOff>276225</xdr:colOff>
                    <xdr:row>90</xdr:row>
                    <xdr:rowOff>9525</xdr:rowOff>
                  </from>
                  <to>
                    <xdr:col>3</xdr:col>
                    <xdr:colOff>19050</xdr:colOff>
                    <xdr:row>90</xdr:row>
                    <xdr:rowOff>485775</xdr:rowOff>
                  </to>
                </anchor>
              </controlPr>
            </control>
          </mc:Choice>
        </mc:AlternateContent>
        <mc:AlternateContent xmlns:mc="http://schemas.openxmlformats.org/markup-compatibility/2006">
          <mc:Choice Requires="x14">
            <control shapeId="1115" r:id="rId93" name="Check Box 91">
              <controlPr defaultSize="0" autoFill="0" autoLine="0" autoPict="0">
                <anchor moveWithCells="1">
                  <from>
                    <xdr:col>0</xdr:col>
                    <xdr:colOff>276225</xdr:colOff>
                    <xdr:row>91</xdr:row>
                    <xdr:rowOff>9525</xdr:rowOff>
                  </from>
                  <to>
                    <xdr:col>3</xdr:col>
                    <xdr:colOff>19050</xdr:colOff>
                    <xdr:row>91</xdr:row>
                    <xdr:rowOff>485775</xdr:rowOff>
                  </to>
                </anchor>
              </controlPr>
            </control>
          </mc:Choice>
        </mc:AlternateContent>
        <mc:AlternateContent xmlns:mc="http://schemas.openxmlformats.org/markup-compatibility/2006">
          <mc:Choice Requires="x14">
            <control shapeId="1116" r:id="rId94" name="Check Box 92">
              <controlPr defaultSize="0" autoFill="0" autoLine="0" autoPict="0">
                <anchor moveWithCells="1">
                  <from>
                    <xdr:col>0</xdr:col>
                    <xdr:colOff>276225</xdr:colOff>
                    <xdr:row>92</xdr:row>
                    <xdr:rowOff>9525</xdr:rowOff>
                  </from>
                  <to>
                    <xdr:col>3</xdr:col>
                    <xdr:colOff>19050</xdr:colOff>
                    <xdr:row>92</xdr:row>
                    <xdr:rowOff>485775</xdr:rowOff>
                  </to>
                </anchor>
              </controlPr>
            </control>
          </mc:Choice>
        </mc:AlternateContent>
        <mc:AlternateContent xmlns:mc="http://schemas.openxmlformats.org/markup-compatibility/2006">
          <mc:Choice Requires="x14">
            <control shapeId="1117" r:id="rId95" name="Check Box 93">
              <controlPr defaultSize="0" autoFill="0" autoLine="0" autoPict="0">
                <anchor moveWithCells="1">
                  <from>
                    <xdr:col>0</xdr:col>
                    <xdr:colOff>276225</xdr:colOff>
                    <xdr:row>93</xdr:row>
                    <xdr:rowOff>9525</xdr:rowOff>
                  </from>
                  <to>
                    <xdr:col>3</xdr:col>
                    <xdr:colOff>19050</xdr:colOff>
                    <xdr:row>93</xdr:row>
                    <xdr:rowOff>485775</xdr:rowOff>
                  </to>
                </anchor>
              </controlPr>
            </control>
          </mc:Choice>
        </mc:AlternateContent>
        <mc:AlternateContent xmlns:mc="http://schemas.openxmlformats.org/markup-compatibility/2006">
          <mc:Choice Requires="x14">
            <control shapeId="1118" r:id="rId96" name="Check Box 94">
              <controlPr defaultSize="0" autoFill="0" autoLine="0" autoPict="0">
                <anchor moveWithCells="1">
                  <from>
                    <xdr:col>0</xdr:col>
                    <xdr:colOff>276225</xdr:colOff>
                    <xdr:row>94</xdr:row>
                    <xdr:rowOff>9525</xdr:rowOff>
                  </from>
                  <to>
                    <xdr:col>3</xdr:col>
                    <xdr:colOff>19050</xdr:colOff>
                    <xdr:row>94</xdr:row>
                    <xdr:rowOff>485775</xdr:rowOff>
                  </to>
                </anchor>
              </controlPr>
            </control>
          </mc:Choice>
        </mc:AlternateContent>
        <mc:AlternateContent xmlns:mc="http://schemas.openxmlformats.org/markup-compatibility/2006">
          <mc:Choice Requires="x14">
            <control shapeId="1119" r:id="rId97" name="Check Box 95">
              <controlPr defaultSize="0" autoFill="0" autoLine="0" autoPict="0">
                <anchor moveWithCells="1">
                  <from>
                    <xdr:col>0</xdr:col>
                    <xdr:colOff>276225</xdr:colOff>
                    <xdr:row>95</xdr:row>
                    <xdr:rowOff>9525</xdr:rowOff>
                  </from>
                  <to>
                    <xdr:col>3</xdr:col>
                    <xdr:colOff>19050</xdr:colOff>
                    <xdr:row>95</xdr:row>
                    <xdr:rowOff>485775</xdr:rowOff>
                  </to>
                </anchor>
              </controlPr>
            </control>
          </mc:Choice>
        </mc:AlternateContent>
        <mc:AlternateContent xmlns:mc="http://schemas.openxmlformats.org/markup-compatibility/2006">
          <mc:Choice Requires="x14">
            <control shapeId="1120" r:id="rId98" name="Check Box 96">
              <controlPr defaultSize="0" autoFill="0" autoLine="0" autoPict="0">
                <anchor moveWithCells="1">
                  <from>
                    <xdr:col>0</xdr:col>
                    <xdr:colOff>276225</xdr:colOff>
                    <xdr:row>96</xdr:row>
                    <xdr:rowOff>9525</xdr:rowOff>
                  </from>
                  <to>
                    <xdr:col>3</xdr:col>
                    <xdr:colOff>19050</xdr:colOff>
                    <xdr:row>96</xdr:row>
                    <xdr:rowOff>485775</xdr:rowOff>
                  </to>
                </anchor>
              </controlPr>
            </control>
          </mc:Choice>
        </mc:AlternateContent>
        <mc:AlternateContent xmlns:mc="http://schemas.openxmlformats.org/markup-compatibility/2006">
          <mc:Choice Requires="x14">
            <control shapeId="1121" r:id="rId99" name="Check Box 97">
              <controlPr defaultSize="0" autoFill="0" autoLine="0" autoPict="0">
                <anchor moveWithCells="1">
                  <from>
                    <xdr:col>0</xdr:col>
                    <xdr:colOff>276225</xdr:colOff>
                    <xdr:row>97</xdr:row>
                    <xdr:rowOff>9525</xdr:rowOff>
                  </from>
                  <to>
                    <xdr:col>3</xdr:col>
                    <xdr:colOff>19050</xdr:colOff>
                    <xdr:row>97</xdr:row>
                    <xdr:rowOff>485775</xdr:rowOff>
                  </to>
                </anchor>
              </controlPr>
            </control>
          </mc:Choice>
        </mc:AlternateContent>
        <mc:AlternateContent xmlns:mc="http://schemas.openxmlformats.org/markup-compatibility/2006">
          <mc:Choice Requires="x14">
            <control shapeId="1122" r:id="rId100" name="Check Box 98">
              <controlPr defaultSize="0" autoFill="0" autoLine="0" autoPict="0">
                <anchor moveWithCells="1">
                  <from>
                    <xdr:col>0</xdr:col>
                    <xdr:colOff>276225</xdr:colOff>
                    <xdr:row>98</xdr:row>
                    <xdr:rowOff>9525</xdr:rowOff>
                  </from>
                  <to>
                    <xdr:col>3</xdr:col>
                    <xdr:colOff>19050</xdr:colOff>
                    <xdr:row>98</xdr:row>
                    <xdr:rowOff>485775</xdr:rowOff>
                  </to>
                </anchor>
              </controlPr>
            </control>
          </mc:Choice>
        </mc:AlternateContent>
        <mc:AlternateContent xmlns:mc="http://schemas.openxmlformats.org/markup-compatibility/2006">
          <mc:Choice Requires="x14">
            <control shapeId="1123" r:id="rId101" name="Check Box 99">
              <controlPr defaultSize="0" autoFill="0" autoLine="0" autoPict="0">
                <anchor moveWithCells="1">
                  <from>
                    <xdr:col>0</xdr:col>
                    <xdr:colOff>276225</xdr:colOff>
                    <xdr:row>99</xdr:row>
                    <xdr:rowOff>9525</xdr:rowOff>
                  </from>
                  <to>
                    <xdr:col>3</xdr:col>
                    <xdr:colOff>19050</xdr:colOff>
                    <xdr:row>99</xdr:row>
                    <xdr:rowOff>485775</xdr:rowOff>
                  </to>
                </anchor>
              </controlPr>
            </control>
          </mc:Choice>
        </mc:AlternateContent>
        <mc:AlternateContent xmlns:mc="http://schemas.openxmlformats.org/markup-compatibility/2006">
          <mc:Choice Requires="x14">
            <control shapeId="1124" r:id="rId102" name="Check Box 100">
              <controlPr defaultSize="0" autoFill="0" autoLine="0" autoPict="0">
                <anchor moveWithCells="1">
                  <from>
                    <xdr:col>0</xdr:col>
                    <xdr:colOff>276225</xdr:colOff>
                    <xdr:row>100</xdr:row>
                    <xdr:rowOff>9525</xdr:rowOff>
                  </from>
                  <to>
                    <xdr:col>3</xdr:col>
                    <xdr:colOff>19050</xdr:colOff>
                    <xdr:row>100</xdr:row>
                    <xdr:rowOff>485775</xdr:rowOff>
                  </to>
                </anchor>
              </controlPr>
            </control>
          </mc:Choice>
        </mc:AlternateContent>
        <mc:AlternateContent xmlns:mc="http://schemas.openxmlformats.org/markup-compatibility/2006">
          <mc:Choice Requires="x14">
            <control shapeId="1125" r:id="rId103" name="Check Box 101">
              <controlPr defaultSize="0" autoFill="0" autoLine="0" autoPict="0">
                <anchor moveWithCells="1">
                  <from>
                    <xdr:col>0</xdr:col>
                    <xdr:colOff>276225</xdr:colOff>
                    <xdr:row>101</xdr:row>
                    <xdr:rowOff>9525</xdr:rowOff>
                  </from>
                  <to>
                    <xdr:col>3</xdr:col>
                    <xdr:colOff>19050</xdr:colOff>
                    <xdr:row>101</xdr:row>
                    <xdr:rowOff>485775</xdr:rowOff>
                  </to>
                </anchor>
              </controlPr>
            </control>
          </mc:Choice>
        </mc:AlternateContent>
        <mc:AlternateContent xmlns:mc="http://schemas.openxmlformats.org/markup-compatibility/2006">
          <mc:Choice Requires="x14">
            <control shapeId="1126" r:id="rId104" name="Check Box 102">
              <controlPr defaultSize="0" autoFill="0" autoLine="0" autoPict="0">
                <anchor moveWithCells="1">
                  <from>
                    <xdr:col>0</xdr:col>
                    <xdr:colOff>276225</xdr:colOff>
                    <xdr:row>102</xdr:row>
                    <xdr:rowOff>9525</xdr:rowOff>
                  </from>
                  <to>
                    <xdr:col>3</xdr:col>
                    <xdr:colOff>19050</xdr:colOff>
                    <xdr:row>102</xdr:row>
                    <xdr:rowOff>485775</xdr:rowOff>
                  </to>
                </anchor>
              </controlPr>
            </control>
          </mc:Choice>
        </mc:AlternateContent>
        <mc:AlternateContent xmlns:mc="http://schemas.openxmlformats.org/markup-compatibility/2006">
          <mc:Choice Requires="x14">
            <control shapeId="1127" r:id="rId105" name="Check Box 103">
              <controlPr defaultSize="0" autoFill="0" autoLine="0" autoPict="0">
                <anchor moveWithCells="1">
                  <from>
                    <xdr:col>0</xdr:col>
                    <xdr:colOff>276225</xdr:colOff>
                    <xdr:row>103</xdr:row>
                    <xdr:rowOff>9525</xdr:rowOff>
                  </from>
                  <to>
                    <xdr:col>3</xdr:col>
                    <xdr:colOff>19050</xdr:colOff>
                    <xdr:row>103</xdr:row>
                    <xdr:rowOff>485775</xdr:rowOff>
                  </to>
                </anchor>
              </controlPr>
            </control>
          </mc:Choice>
        </mc:AlternateContent>
        <mc:AlternateContent xmlns:mc="http://schemas.openxmlformats.org/markup-compatibility/2006">
          <mc:Choice Requires="x14">
            <control shapeId="1128" r:id="rId106" name="Check Box 104">
              <controlPr defaultSize="0" autoFill="0" autoLine="0" autoPict="0">
                <anchor moveWithCells="1">
                  <from>
                    <xdr:col>0</xdr:col>
                    <xdr:colOff>276225</xdr:colOff>
                    <xdr:row>104</xdr:row>
                    <xdr:rowOff>9525</xdr:rowOff>
                  </from>
                  <to>
                    <xdr:col>3</xdr:col>
                    <xdr:colOff>19050</xdr:colOff>
                    <xdr:row>104</xdr:row>
                    <xdr:rowOff>485775</xdr:rowOff>
                  </to>
                </anchor>
              </controlPr>
            </control>
          </mc:Choice>
        </mc:AlternateContent>
        <mc:AlternateContent xmlns:mc="http://schemas.openxmlformats.org/markup-compatibility/2006">
          <mc:Choice Requires="x14">
            <control shapeId="1129" r:id="rId107" name="Check Box 105">
              <controlPr defaultSize="0" autoFill="0" autoLine="0" autoPict="0">
                <anchor moveWithCells="1">
                  <from>
                    <xdr:col>0</xdr:col>
                    <xdr:colOff>276225</xdr:colOff>
                    <xdr:row>105</xdr:row>
                    <xdr:rowOff>9525</xdr:rowOff>
                  </from>
                  <to>
                    <xdr:col>3</xdr:col>
                    <xdr:colOff>19050</xdr:colOff>
                    <xdr:row>105</xdr:row>
                    <xdr:rowOff>485775</xdr:rowOff>
                  </to>
                </anchor>
              </controlPr>
            </control>
          </mc:Choice>
        </mc:AlternateContent>
        <mc:AlternateContent xmlns:mc="http://schemas.openxmlformats.org/markup-compatibility/2006">
          <mc:Choice Requires="x14">
            <control shapeId="1130" r:id="rId108" name="Check Box 106">
              <controlPr defaultSize="0" autoFill="0" autoLine="0" autoPict="0">
                <anchor moveWithCells="1">
                  <from>
                    <xdr:col>0</xdr:col>
                    <xdr:colOff>276225</xdr:colOff>
                    <xdr:row>106</xdr:row>
                    <xdr:rowOff>9525</xdr:rowOff>
                  </from>
                  <to>
                    <xdr:col>3</xdr:col>
                    <xdr:colOff>19050</xdr:colOff>
                    <xdr:row>106</xdr:row>
                    <xdr:rowOff>485775</xdr:rowOff>
                  </to>
                </anchor>
              </controlPr>
            </control>
          </mc:Choice>
        </mc:AlternateContent>
        <mc:AlternateContent xmlns:mc="http://schemas.openxmlformats.org/markup-compatibility/2006">
          <mc:Choice Requires="x14">
            <control shapeId="1131" r:id="rId109" name="Check Box 107">
              <controlPr defaultSize="0" autoFill="0" autoLine="0" autoPict="0">
                <anchor moveWithCells="1">
                  <from>
                    <xdr:col>0</xdr:col>
                    <xdr:colOff>276225</xdr:colOff>
                    <xdr:row>107</xdr:row>
                    <xdr:rowOff>9525</xdr:rowOff>
                  </from>
                  <to>
                    <xdr:col>3</xdr:col>
                    <xdr:colOff>19050</xdr:colOff>
                    <xdr:row>107</xdr:row>
                    <xdr:rowOff>485775</xdr:rowOff>
                  </to>
                </anchor>
              </controlPr>
            </control>
          </mc:Choice>
        </mc:AlternateContent>
        <mc:AlternateContent xmlns:mc="http://schemas.openxmlformats.org/markup-compatibility/2006">
          <mc:Choice Requires="x14">
            <control shapeId="1132" r:id="rId110" name="Check Box 108">
              <controlPr defaultSize="0" autoFill="0" autoLine="0" autoPict="0">
                <anchor moveWithCells="1">
                  <from>
                    <xdr:col>0</xdr:col>
                    <xdr:colOff>276225</xdr:colOff>
                    <xdr:row>108</xdr:row>
                    <xdr:rowOff>9525</xdr:rowOff>
                  </from>
                  <to>
                    <xdr:col>3</xdr:col>
                    <xdr:colOff>19050</xdr:colOff>
                    <xdr:row>108</xdr:row>
                    <xdr:rowOff>485775</xdr:rowOff>
                  </to>
                </anchor>
              </controlPr>
            </control>
          </mc:Choice>
        </mc:AlternateContent>
        <mc:AlternateContent xmlns:mc="http://schemas.openxmlformats.org/markup-compatibility/2006">
          <mc:Choice Requires="x14">
            <control shapeId="1133" r:id="rId111" name="Check Box 109">
              <controlPr defaultSize="0" autoFill="0" autoLine="0" autoPict="0">
                <anchor moveWithCells="1">
                  <from>
                    <xdr:col>0</xdr:col>
                    <xdr:colOff>276225</xdr:colOff>
                    <xdr:row>109</xdr:row>
                    <xdr:rowOff>9525</xdr:rowOff>
                  </from>
                  <to>
                    <xdr:col>3</xdr:col>
                    <xdr:colOff>19050</xdr:colOff>
                    <xdr:row>109</xdr:row>
                    <xdr:rowOff>485775</xdr:rowOff>
                  </to>
                </anchor>
              </controlPr>
            </control>
          </mc:Choice>
        </mc:AlternateContent>
        <mc:AlternateContent xmlns:mc="http://schemas.openxmlformats.org/markup-compatibility/2006">
          <mc:Choice Requires="x14">
            <control shapeId="1134" r:id="rId112" name="Check Box 110">
              <controlPr defaultSize="0" autoFill="0" autoLine="0" autoPict="0">
                <anchor moveWithCells="1">
                  <from>
                    <xdr:col>0</xdr:col>
                    <xdr:colOff>276225</xdr:colOff>
                    <xdr:row>110</xdr:row>
                    <xdr:rowOff>9525</xdr:rowOff>
                  </from>
                  <to>
                    <xdr:col>3</xdr:col>
                    <xdr:colOff>19050</xdr:colOff>
                    <xdr:row>110</xdr:row>
                    <xdr:rowOff>485775</xdr:rowOff>
                  </to>
                </anchor>
              </controlPr>
            </control>
          </mc:Choice>
        </mc:AlternateContent>
        <mc:AlternateContent xmlns:mc="http://schemas.openxmlformats.org/markup-compatibility/2006">
          <mc:Choice Requires="x14">
            <control shapeId="1135" r:id="rId113" name="Check Box 111">
              <controlPr defaultSize="0" autoFill="0" autoLine="0" autoPict="0">
                <anchor moveWithCells="1">
                  <from>
                    <xdr:col>0</xdr:col>
                    <xdr:colOff>276225</xdr:colOff>
                    <xdr:row>111</xdr:row>
                    <xdr:rowOff>9525</xdr:rowOff>
                  </from>
                  <to>
                    <xdr:col>3</xdr:col>
                    <xdr:colOff>19050</xdr:colOff>
                    <xdr:row>111</xdr:row>
                    <xdr:rowOff>485775</xdr:rowOff>
                  </to>
                </anchor>
              </controlPr>
            </control>
          </mc:Choice>
        </mc:AlternateContent>
        <mc:AlternateContent xmlns:mc="http://schemas.openxmlformats.org/markup-compatibility/2006">
          <mc:Choice Requires="x14">
            <control shapeId="1136" r:id="rId114" name="Check Box 112">
              <controlPr defaultSize="0" autoFill="0" autoLine="0" autoPict="0">
                <anchor moveWithCells="1">
                  <from>
                    <xdr:col>0</xdr:col>
                    <xdr:colOff>276225</xdr:colOff>
                    <xdr:row>112</xdr:row>
                    <xdr:rowOff>9525</xdr:rowOff>
                  </from>
                  <to>
                    <xdr:col>3</xdr:col>
                    <xdr:colOff>19050</xdr:colOff>
                    <xdr:row>112</xdr:row>
                    <xdr:rowOff>485775</xdr:rowOff>
                  </to>
                </anchor>
              </controlPr>
            </control>
          </mc:Choice>
        </mc:AlternateContent>
        <mc:AlternateContent xmlns:mc="http://schemas.openxmlformats.org/markup-compatibility/2006">
          <mc:Choice Requires="x14">
            <control shapeId="1137" r:id="rId115" name="Check Box 113">
              <controlPr defaultSize="0" autoFill="0" autoLine="0" autoPict="0">
                <anchor moveWithCells="1">
                  <from>
                    <xdr:col>0</xdr:col>
                    <xdr:colOff>276225</xdr:colOff>
                    <xdr:row>113</xdr:row>
                    <xdr:rowOff>9525</xdr:rowOff>
                  </from>
                  <to>
                    <xdr:col>3</xdr:col>
                    <xdr:colOff>19050</xdr:colOff>
                    <xdr:row>113</xdr:row>
                    <xdr:rowOff>485775</xdr:rowOff>
                  </to>
                </anchor>
              </controlPr>
            </control>
          </mc:Choice>
        </mc:AlternateContent>
        <mc:AlternateContent xmlns:mc="http://schemas.openxmlformats.org/markup-compatibility/2006">
          <mc:Choice Requires="x14">
            <control shapeId="1138" r:id="rId116" name="Check Box 114">
              <controlPr defaultSize="0" autoFill="0" autoLine="0" autoPict="0">
                <anchor moveWithCells="1">
                  <from>
                    <xdr:col>0</xdr:col>
                    <xdr:colOff>276225</xdr:colOff>
                    <xdr:row>114</xdr:row>
                    <xdr:rowOff>9525</xdr:rowOff>
                  </from>
                  <to>
                    <xdr:col>3</xdr:col>
                    <xdr:colOff>19050</xdr:colOff>
                    <xdr:row>114</xdr:row>
                    <xdr:rowOff>485775</xdr:rowOff>
                  </to>
                </anchor>
              </controlPr>
            </control>
          </mc:Choice>
        </mc:AlternateContent>
        <mc:AlternateContent xmlns:mc="http://schemas.openxmlformats.org/markup-compatibility/2006">
          <mc:Choice Requires="x14">
            <control shapeId="1139" r:id="rId117" name="Check Box 115">
              <controlPr defaultSize="0" autoFill="0" autoLine="0" autoPict="0">
                <anchor moveWithCells="1">
                  <from>
                    <xdr:col>0</xdr:col>
                    <xdr:colOff>276225</xdr:colOff>
                    <xdr:row>115</xdr:row>
                    <xdr:rowOff>9525</xdr:rowOff>
                  </from>
                  <to>
                    <xdr:col>3</xdr:col>
                    <xdr:colOff>19050</xdr:colOff>
                    <xdr:row>115</xdr:row>
                    <xdr:rowOff>485775</xdr:rowOff>
                  </to>
                </anchor>
              </controlPr>
            </control>
          </mc:Choice>
        </mc:AlternateContent>
        <mc:AlternateContent xmlns:mc="http://schemas.openxmlformats.org/markup-compatibility/2006">
          <mc:Choice Requires="x14">
            <control shapeId="1140" r:id="rId118" name="Check Box 116">
              <controlPr defaultSize="0" autoFill="0" autoLine="0" autoPict="0">
                <anchor moveWithCells="1">
                  <from>
                    <xdr:col>0</xdr:col>
                    <xdr:colOff>276225</xdr:colOff>
                    <xdr:row>116</xdr:row>
                    <xdr:rowOff>9525</xdr:rowOff>
                  </from>
                  <to>
                    <xdr:col>3</xdr:col>
                    <xdr:colOff>19050</xdr:colOff>
                    <xdr:row>116</xdr:row>
                    <xdr:rowOff>485775</xdr:rowOff>
                  </to>
                </anchor>
              </controlPr>
            </control>
          </mc:Choice>
        </mc:AlternateContent>
        <mc:AlternateContent xmlns:mc="http://schemas.openxmlformats.org/markup-compatibility/2006">
          <mc:Choice Requires="x14">
            <control shapeId="1141" r:id="rId119" name="Check Box 117">
              <controlPr defaultSize="0" autoFill="0" autoLine="0" autoPict="0">
                <anchor moveWithCells="1">
                  <from>
                    <xdr:col>0</xdr:col>
                    <xdr:colOff>276225</xdr:colOff>
                    <xdr:row>117</xdr:row>
                    <xdr:rowOff>9525</xdr:rowOff>
                  </from>
                  <to>
                    <xdr:col>3</xdr:col>
                    <xdr:colOff>19050</xdr:colOff>
                    <xdr:row>117</xdr:row>
                    <xdr:rowOff>485775</xdr:rowOff>
                  </to>
                </anchor>
              </controlPr>
            </control>
          </mc:Choice>
        </mc:AlternateContent>
        <mc:AlternateContent xmlns:mc="http://schemas.openxmlformats.org/markup-compatibility/2006">
          <mc:Choice Requires="x14">
            <control shapeId="1142" r:id="rId120" name="Check Box 118">
              <controlPr defaultSize="0" autoFill="0" autoLine="0" autoPict="0">
                <anchor moveWithCells="1">
                  <from>
                    <xdr:col>0</xdr:col>
                    <xdr:colOff>276225</xdr:colOff>
                    <xdr:row>118</xdr:row>
                    <xdr:rowOff>9525</xdr:rowOff>
                  </from>
                  <to>
                    <xdr:col>3</xdr:col>
                    <xdr:colOff>19050</xdr:colOff>
                    <xdr:row>118</xdr:row>
                    <xdr:rowOff>485775</xdr:rowOff>
                  </to>
                </anchor>
              </controlPr>
            </control>
          </mc:Choice>
        </mc:AlternateContent>
        <mc:AlternateContent xmlns:mc="http://schemas.openxmlformats.org/markup-compatibility/2006">
          <mc:Choice Requires="x14">
            <control shapeId="1143" r:id="rId121" name="Check Box 119">
              <controlPr defaultSize="0" autoFill="0" autoLine="0" autoPict="0">
                <anchor moveWithCells="1">
                  <from>
                    <xdr:col>0</xdr:col>
                    <xdr:colOff>276225</xdr:colOff>
                    <xdr:row>119</xdr:row>
                    <xdr:rowOff>9525</xdr:rowOff>
                  </from>
                  <to>
                    <xdr:col>3</xdr:col>
                    <xdr:colOff>19050</xdr:colOff>
                    <xdr:row>119</xdr:row>
                    <xdr:rowOff>485775</xdr:rowOff>
                  </to>
                </anchor>
              </controlPr>
            </control>
          </mc:Choice>
        </mc:AlternateContent>
        <mc:AlternateContent xmlns:mc="http://schemas.openxmlformats.org/markup-compatibility/2006">
          <mc:Choice Requires="x14">
            <control shapeId="1144" r:id="rId122" name="Check Box 120">
              <controlPr defaultSize="0" autoFill="0" autoLine="0" autoPict="0">
                <anchor moveWithCells="1">
                  <from>
                    <xdr:col>0</xdr:col>
                    <xdr:colOff>276225</xdr:colOff>
                    <xdr:row>120</xdr:row>
                    <xdr:rowOff>9525</xdr:rowOff>
                  </from>
                  <to>
                    <xdr:col>3</xdr:col>
                    <xdr:colOff>19050</xdr:colOff>
                    <xdr:row>120</xdr:row>
                    <xdr:rowOff>485775</xdr:rowOff>
                  </to>
                </anchor>
              </controlPr>
            </control>
          </mc:Choice>
        </mc:AlternateContent>
        <mc:AlternateContent xmlns:mc="http://schemas.openxmlformats.org/markup-compatibility/2006">
          <mc:Choice Requires="x14">
            <control shapeId="1145" r:id="rId123" name="Check Box 121">
              <controlPr defaultSize="0" autoFill="0" autoLine="0" autoPict="0">
                <anchor moveWithCells="1">
                  <from>
                    <xdr:col>0</xdr:col>
                    <xdr:colOff>276225</xdr:colOff>
                    <xdr:row>121</xdr:row>
                    <xdr:rowOff>9525</xdr:rowOff>
                  </from>
                  <to>
                    <xdr:col>3</xdr:col>
                    <xdr:colOff>19050</xdr:colOff>
                    <xdr:row>121</xdr:row>
                    <xdr:rowOff>485775</xdr:rowOff>
                  </to>
                </anchor>
              </controlPr>
            </control>
          </mc:Choice>
        </mc:AlternateContent>
        <mc:AlternateContent xmlns:mc="http://schemas.openxmlformats.org/markup-compatibility/2006">
          <mc:Choice Requires="x14">
            <control shapeId="1146" r:id="rId124" name="Check Box 122">
              <controlPr defaultSize="0" autoFill="0" autoLine="0" autoPict="0">
                <anchor moveWithCells="1">
                  <from>
                    <xdr:col>0</xdr:col>
                    <xdr:colOff>276225</xdr:colOff>
                    <xdr:row>122</xdr:row>
                    <xdr:rowOff>9525</xdr:rowOff>
                  </from>
                  <to>
                    <xdr:col>3</xdr:col>
                    <xdr:colOff>19050</xdr:colOff>
                    <xdr:row>122</xdr:row>
                    <xdr:rowOff>485775</xdr:rowOff>
                  </to>
                </anchor>
              </controlPr>
            </control>
          </mc:Choice>
        </mc:AlternateContent>
        <mc:AlternateContent xmlns:mc="http://schemas.openxmlformats.org/markup-compatibility/2006">
          <mc:Choice Requires="x14">
            <control shapeId="1147" r:id="rId125" name="Check Box 123">
              <controlPr defaultSize="0" autoFill="0" autoLine="0" autoPict="0">
                <anchor moveWithCells="1">
                  <from>
                    <xdr:col>0</xdr:col>
                    <xdr:colOff>276225</xdr:colOff>
                    <xdr:row>123</xdr:row>
                    <xdr:rowOff>9525</xdr:rowOff>
                  </from>
                  <to>
                    <xdr:col>3</xdr:col>
                    <xdr:colOff>19050</xdr:colOff>
                    <xdr:row>123</xdr:row>
                    <xdr:rowOff>485775</xdr:rowOff>
                  </to>
                </anchor>
              </controlPr>
            </control>
          </mc:Choice>
        </mc:AlternateContent>
        <mc:AlternateContent xmlns:mc="http://schemas.openxmlformats.org/markup-compatibility/2006">
          <mc:Choice Requires="x14">
            <control shapeId="1148" r:id="rId126" name="Check Box 124">
              <controlPr defaultSize="0" autoFill="0" autoLine="0" autoPict="0">
                <anchor moveWithCells="1">
                  <from>
                    <xdr:col>0</xdr:col>
                    <xdr:colOff>276225</xdr:colOff>
                    <xdr:row>124</xdr:row>
                    <xdr:rowOff>9525</xdr:rowOff>
                  </from>
                  <to>
                    <xdr:col>3</xdr:col>
                    <xdr:colOff>19050</xdr:colOff>
                    <xdr:row>124</xdr:row>
                    <xdr:rowOff>485775</xdr:rowOff>
                  </to>
                </anchor>
              </controlPr>
            </control>
          </mc:Choice>
        </mc:AlternateContent>
        <mc:AlternateContent xmlns:mc="http://schemas.openxmlformats.org/markup-compatibility/2006">
          <mc:Choice Requires="x14">
            <control shapeId="1149" r:id="rId127" name="Check Box 125">
              <controlPr defaultSize="0" autoFill="0" autoLine="0" autoPict="0">
                <anchor moveWithCells="1">
                  <from>
                    <xdr:col>0</xdr:col>
                    <xdr:colOff>276225</xdr:colOff>
                    <xdr:row>125</xdr:row>
                    <xdr:rowOff>9525</xdr:rowOff>
                  </from>
                  <to>
                    <xdr:col>3</xdr:col>
                    <xdr:colOff>19050</xdr:colOff>
                    <xdr:row>125</xdr:row>
                    <xdr:rowOff>485775</xdr:rowOff>
                  </to>
                </anchor>
              </controlPr>
            </control>
          </mc:Choice>
        </mc:AlternateContent>
        <mc:AlternateContent xmlns:mc="http://schemas.openxmlformats.org/markup-compatibility/2006">
          <mc:Choice Requires="x14">
            <control shapeId="1150" r:id="rId128" name="Check Box 126">
              <controlPr defaultSize="0" autoFill="0" autoLine="0" autoPict="0">
                <anchor moveWithCells="1">
                  <from>
                    <xdr:col>0</xdr:col>
                    <xdr:colOff>276225</xdr:colOff>
                    <xdr:row>126</xdr:row>
                    <xdr:rowOff>9525</xdr:rowOff>
                  </from>
                  <to>
                    <xdr:col>3</xdr:col>
                    <xdr:colOff>19050</xdr:colOff>
                    <xdr:row>126</xdr:row>
                    <xdr:rowOff>485775</xdr:rowOff>
                  </to>
                </anchor>
              </controlPr>
            </control>
          </mc:Choice>
        </mc:AlternateContent>
        <mc:AlternateContent xmlns:mc="http://schemas.openxmlformats.org/markup-compatibility/2006">
          <mc:Choice Requires="x14">
            <control shapeId="1151" r:id="rId129" name="Check Box 127">
              <controlPr defaultSize="0" autoFill="0" autoLine="0" autoPict="0">
                <anchor moveWithCells="1">
                  <from>
                    <xdr:col>0</xdr:col>
                    <xdr:colOff>276225</xdr:colOff>
                    <xdr:row>127</xdr:row>
                    <xdr:rowOff>9525</xdr:rowOff>
                  </from>
                  <to>
                    <xdr:col>3</xdr:col>
                    <xdr:colOff>19050</xdr:colOff>
                    <xdr:row>127</xdr:row>
                    <xdr:rowOff>485775</xdr:rowOff>
                  </to>
                </anchor>
              </controlPr>
            </control>
          </mc:Choice>
        </mc:AlternateContent>
        <mc:AlternateContent xmlns:mc="http://schemas.openxmlformats.org/markup-compatibility/2006">
          <mc:Choice Requires="x14">
            <control shapeId="1152" r:id="rId130" name="Check Box 128">
              <controlPr defaultSize="0" autoFill="0" autoLine="0" autoPict="0">
                <anchor moveWithCells="1">
                  <from>
                    <xdr:col>0</xdr:col>
                    <xdr:colOff>276225</xdr:colOff>
                    <xdr:row>128</xdr:row>
                    <xdr:rowOff>9525</xdr:rowOff>
                  </from>
                  <to>
                    <xdr:col>3</xdr:col>
                    <xdr:colOff>19050</xdr:colOff>
                    <xdr:row>128</xdr:row>
                    <xdr:rowOff>485775</xdr:rowOff>
                  </to>
                </anchor>
              </controlPr>
            </control>
          </mc:Choice>
        </mc:AlternateContent>
        <mc:AlternateContent xmlns:mc="http://schemas.openxmlformats.org/markup-compatibility/2006">
          <mc:Choice Requires="x14">
            <control shapeId="1153" r:id="rId131" name="Check Box 129">
              <controlPr defaultSize="0" autoFill="0" autoLine="0" autoPict="0">
                <anchor moveWithCells="1">
                  <from>
                    <xdr:col>0</xdr:col>
                    <xdr:colOff>276225</xdr:colOff>
                    <xdr:row>129</xdr:row>
                    <xdr:rowOff>9525</xdr:rowOff>
                  </from>
                  <to>
                    <xdr:col>3</xdr:col>
                    <xdr:colOff>19050</xdr:colOff>
                    <xdr:row>129</xdr:row>
                    <xdr:rowOff>485775</xdr:rowOff>
                  </to>
                </anchor>
              </controlPr>
            </control>
          </mc:Choice>
        </mc:AlternateContent>
        <mc:AlternateContent xmlns:mc="http://schemas.openxmlformats.org/markup-compatibility/2006">
          <mc:Choice Requires="x14">
            <control shapeId="1154" r:id="rId132" name="Check Box 130">
              <controlPr defaultSize="0" autoFill="0" autoLine="0" autoPict="0">
                <anchor moveWithCells="1">
                  <from>
                    <xdr:col>0</xdr:col>
                    <xdr:colOff>276225</xdr:colOff>
                    <xdr:row>130</xdr:row>
                    <xdr:rowOff>9525</xdr:rowOff>
                  </from>
                  <to>
                    <xdr:col>3</xdr:col>
                    <xdr:colOff>19050</xdr:colOff>
                    <xdr:row>130</xdr:row>
                    <xdr:rowOff>485775</xdr:rowOff>
                  </to>
                </anchor>
              </controlPr>
            </control>
          </mc:Choice>
        </mc:AlternateContent>
        <mc:AlternateContent xmlns:mc="http://schemas.openxmlformats.org/markup-compatibility/2006">
          <mc:Choice Requires="x14">
            <control shapeId="1155" r:id="rId133" name="Check Box 131">
              <controlPr defaultSize="0" autoFill="0" autoLine="0" autoPict="0">
                <anchor moveWithCells="1">
                  <from>
                    <xdr:col>0</xdr:col>
                    <xdr:colOff>276225</xdr:colOff>
                    <xdr:row>131</xdr:row>
                    <xdr:rowOff>9525</xdr:rowOff>
                  </from>
                  <to>
                    <xdr:col>3</xdr:col>
                    <xdr:colOff>19050</xdr:colOff>
                    <xdr:row>131</xdr:row>
                    <xdr:rowOff>485775</xdr:rowOff>
                  </to>
                </anchor>
              </controlPr>
            </control>
          </mc:Choice>
        </mc:AlternateContent>
        <mc:AlternateContent xmlns:mc="http://schemas.openxmlformats.org/markup-compatibility/2006">
          <mc:Choice Requires="x14">
            <control shapeId="1156" r:id="rId134" name="Check Box 132">
              <controlPr defaultSize="0" autoFill="0" autoLine="0" autoPict="0">
                <anchor moveWithCells="1">
                  <from>
                    <xdr:col>0</xdr:col>
                    <xdr:colOff>276225</xdr:colOff>
                    <xdr:row>132</xdr:row>
                    <xdr:rowOff>9525</xdr:rowOff>
                  </from>
                  <to>
                    <xdr:col>3</xdr:col>
                    <xdr:colOff>19050</xdr:colOff>
                    <xdr:row>132</xdr:row>
                    <xdr:rowOff>485775</xdr:rowOff>
                  </to>
                </anchor>
              </controlPr>
            </control>
          </mc:Choice>
        </mc:AlternateContent>
        <mc:AlternateContent xmlns:mc="http://schemas.openxmlformats.org/markup-compatibility/2006">
          <mc:Choice Requires="x14">
            <control shapeId="1157" r:id="rId135" name="Check Box 133">
              <controlPr defaultSize="0" autoFill="0" autoLine="0" autoPict="0">
                <anchor moveWithCells="1">
                  <from>
                    <xdr:col>0</xdr:col>
                    <xdr:colOff>276225</xdr:colOff>
                    <xdr:row>133</xdr:row>
                    <xdr:rowOff>9525</xdr:rowOff>
                  </from>
                  <to>
                    <xdr:col>3</xdr:col>
                    <xdr:colOff>19050</xdr:colOff>
                    <xdr:row>133</xdr:row>
                    <xdr:rowOff>485775</xdr:rowOff>
                  </to>
                </anchor>
              </controlPr>
            </control>
          </mc:Choice>
        </mc:AlternateContent>
        <mc:AlternateContent xmlns:mc="http://schemas.openxmlformats.org/markup-compatibility/2006">
          <mc:Choice Requires="x14">
            <control shapeId="1158" r:id="rId136" name="Check Box 134">
              <controlPr defaultSize="0" autoFill="0" autoLine="0" autoPict="0">
                <anchor moveWithCells="1">
                  <from>
                    <xdr:col>0</xdr:col>
                    <xdr:colOff>276225</xdr:colOff>
                    <xdr:row>134</xdr:row>
                    <xdr:rowOff>9525</xdr:rowOff>
                  </from>
                  <to>
                    <xdr:col>3</xdr:col>
                    <xdr:colOff>19050</xdr:colOff>
                    <xdr:row>134</xdr:row>
                    <xdr:rowOff>485775</xdr:rowOff>
                  </to>
                </anchor>
              </controlPr>
            </control>
          </mc:Choice>
        </mc:AlternateContent>
        <mc:AlternateContent xmlns:mc="http://schemas.openxmlformats.org/markup-compatibility/2006">
          <mc:Choice Requires="x14">
            <control shapeId="1159" r:id="rId137" name="Check Box 135">
              <controlPr defaultSize="0" autoFill="0" autoLine="0" autoPict="0">
                <anchor moveWithCells="1">
                  <from>
                    <xdr:col>0</xdr:col>
                    <xdr:colOff>276225</xdr:colOff>
                    <xdr:row>135</xdr:row>
                    <xdr:rowOff>9525</xdr:rowOff>
                  </from>
                  <to>
                    <xdr:col>3</xdr:col>
                    <xdr:colOff>19050</xdr:colOff>
                    <xdr:row>135</xdr:row>
                    <xdr:rowOff>485775</xdr:rowOff>
                  </to>
                </anchor>
              </controlPr>
            </control>
          </mc:Choice>
        </mc:AlternateContent>
        <mc:AlternateContent xmlns:mc="http://schemas.openxmlformats.org/markup-compatibility/2006">
          <mc:Choice Requires="x14">
            <control shapeId="1160" r:id="rId138" name="Check Box 136">
              <controlPr defaultSize="0" autoFill="0" autoLine="0" autoPict="0">
                <anchor moveWithCells="1">
                  <from>
                    <xdr:col>0</xdr:col>
                    <xdr:colOff>276225</xdr:colOff>
                    <xdr:row>136</xdr:row>
                    <xdr:rowOff>9525</xdr:rowOff>
                  </from>
                  <to>
                    <xdr:col>3</xdr:col>
                    <xdr:colOff>19050</xdr:colOff>
                    <xdr:row>136</xdr:row>
                    <xdr:rowOff>485775</xdr:rowOff>
                  </to>
                </anchor>
              </controlPr>
            </control>
          </mc:Choice>
        </mc:AlternateContent>
        <mc:AlternateContent xmlns:mc="http://schemas.openxmlformats.org/markup-compatibility/2006">
          <mc:Choice Requires="x14">
            <control shapeId="1161" r:id="rId139" name="Check Box 137">
              <controlPr defaultSize="0" autoFill="0" autoLine="0" autoPict="0">
                <anchor moveWithCells="1">
                  <from>
                    <xdr:col>0</xdr:col>
                    <xdr:colOff>276225</xdr:colOff>
                    <xdr:row>137</xdr:row>
                    <xdr:rowOff>9525</xdr:rowOff>
                  </from>
                  <to>
                    <xdr:col>3</xdr:col>
                    <xdr:colOff>19050</xdr:colOff>
                    <xdr:row>137</xdr:row>
                    <xdr:rowOff>485775</xdr:rowOff>
                  </to>
                </anchor>
              </controlPr>
            </control>
          </mc:Choice>
        </mc:AlternateContent>
        <mc:AlternateContent xmlns:mc="http://schemas.openxmlformats.org/markup-compatibility/2006">
          <mc:Choice Requires="x14">
            <control shapeId="1162" r:id="rId140" name="Check Box 138">
              <controlPr defaultSize="0" autoFill="0" autoLine="0" autoPict="0">
                <anchor moveWithCells="1">
                  <from>
                    <xdr:col>0</xdr:col>
                    <xdr:colOff>276225</xdr:colOff>
                    <xdr:row>138</xdr:row>
                    <xdr:rowOff>9525</xdr:rowOff>
                  </from>
                  <to>
                    <xdr:col>3</xdr:col>
                    <xdr:colOff>19050</xdr:colOff>
                    <xdr:row>138</xdr:row>
                    <xdr:rowOff>485775</xdr:rowOff>
                  </to>
                </anchor>
              </controlPr>
            </control>
          </mc:Choice>
        </mc:AlternateContent>
        <mc:AlternateContent xmlns:mc="http://schemas.openxmlformats.org/markup-compatibility/2006">
          <mc:Choice Requires="x14">
            <control shapeId="1163" r:id="rId141" name="Check Box 139">
              <controlPr defaultSize="0" autoFill="0" autoLine="0" autoPict="0">
                <anchor moveWithCells="1">
                  <from>
                    <xdr:col>0</xdr:col>
                    <xdr:colOff>276225</xdr:colOff>
                    <xdr:row>139</xdr:row>
                    <xdr:rowOff>9525</xdr:rowOff>
                  </from>
                  <to>
                    <xdr:col>3</xdr:col>
                    <xdr:colOff>19050</xdr:colOff>
                    <xdr:row>139</xdr:row>
                    <xdr:rowOff>485775</xdr:rowOff>
                  </to>
                </anchor>
              </controlPr>
            </control>
          </mc:Choice>
        </mc:AlternateContent>
        <mc:AlternateContent xmlns:mc="http://schemas.openxmlformats.org/markup-compatibility/2006">
          <mc:Choice Requires="x14">
            <control shapeId="1164" r:id="rId142" name="Check Box 140">
              <controlPr defaultSize="0" autoFill="0" autoLine="0" autoPict="0">
                <anchor moveWithCells="1">
                  <from>
                    <xdr:col>0</xdr:col>
                    <xdr:colOff>276225</xdr:colOff>
                    <xdr:row>140</xdr:row>
                    <xdr:rowOff>9525</xdr:rowOff>
                  </from>
                  <to>
                    <xdr:col>3</xdr:col>
                    <xdr:colOff>19050</xdr:colOff>
                    <xdr:row>140</xdr:row>
                    <xdr:rowOff>485775</xdr:rowOff>
                  </to>
                </anchor>
              </controlPr>
            </control>
          </mc:Choice>
        </mc:AlternateContent>
        <mc:AlternateContent xmlns:mc="http://schemas.openxmlformats.org/markup-compatibility/2006">
          <mc:Choice Requires="x14">
            <control shapeId="1165" r:id="rId143" name="Check Box 141">
              <controlPr defaultSize="0" autoFill="0" autoLine="0" autoPict="0">
                <anchor moveWithCells="1">
                  <from>
                    <xdr:col>0</xdr:col>
                    <xdr:colOff>276225</xdr:colOff>
                    <xdr:row>141</xdr:row>
                    <xdr:rowOff>9525</xdr:rowOff>
                  </from>
                  <to>
                    <xdr:col>3</xdr:col>
                    <xdr:colOff>19050</xdr:colOff>
                    <xdr:row>141</xdr:row>
                    <xdr:rowOff>485775</xdr:rowOff>
                  </to>
                </anchor>
              </controlPr>
            </control>
          </mc:Choice>
        </mc:AlternateContent>
        <mc:AlternateContent xmlns:mc="http://schemas.openxmlformats.org/markup-compatibility/2006">
          <mc:Choice Requires="x14">
            <control shapeId="1166" r:id="rId144" name="Check Box 142">
              <controlPr defaultSize="0" autoFill="0" autoLine="0" autoPict="0">
                <anchor moveWithCells="1">
                  <from>
                    <xdr:col>0</xdr:col>
                    <xdr:colOff>276225</xdr:colOff>
                    <xdr:row>142</xdr:row>
                    <xdr:rowOff>9525</xdr:rowOff>
                  </from>
                  <to>
                    <xdr:col>3</xdr:col>
                    <xdr:colOff>19050</xdr:colOff>
                    <xdr:row>142</xdr:row>
                    <xdr:rowOff>485775</xdr:rowOff>
                  </to>
                </anchor>
              </controlPr>
            </control>
          </mc:Choice>
        </mc:AlternateContent>
        <mc:AlternateContent xmlns:mc="http://schemas.openxmlformats.org/markup-compatibility/2006">
          <mc:Choice Requires="x14">
            <control shapeId="1167" r:id="rId145" name="Check Box 143">
              <controlPr defaultSize="0" autoFill="0" autoLine="0" autoPict="0">
                <anchor moveWithCells="1">
                  <from>
                    <xdr:col>0</xdr:col>
                    <xdr:colOff>276225</xdr:colOff>
                    <xdr:row>143</xdr:row>
                    <xdr:rowOff>9525</xdr:rowOff>
                  </from>
                  <to>
                    <xdr:col>3</xdr:col>
                    <xdr:colOff>19050</xdr:colOff>
                    <xdr:row>143</xdr:row>
                    <xdr:rowOff>485775</xdr:rowOff>
                  </to>
                </anchor>
              </controlPr>
            </control>
          </mc:Choice>
        </mc:AlternateContent>
        <mc:AlternateContent xmlns:mc="http://schemas.openxmlformats.org/markup-compatibility/2006">
          <mc:Choice Requires="x14">
            <control shapeId="1168" r:id="rId146" name="Check Box 144">
              <controlPr defaultSize="0" autoFill="0" autoLine="0" autoPict="0">
                <anchor moveWithCells="1">
                  <from>
                    <xdr:col>0</xdr:col>
                    <xdr:colOff>276225</xdr:colOff>
                    <xdr:row>144</xdr:row>
                    <xdr:rowOff>9525</xdr:rowOff>
                  </from>
                  <to>
                    <xdr:col>3</xdr:col>
                    <xdr:colOff>19050</xdr:colOff>
                    <xdr:row>144</xdr:row>
                    <xdr:rowOff>485775</xdr:rowOff>
                  </to>
                </anchor>
              </controlPr>
            </control>
          </mc:Choice>
        </mc:AlternateContent>
        <mc:AlternateContent xmlns:mc="http://schemas.openxmlformats.org/markup-compatibility/2006">
          <mc:Choice Requires="x14">
            <control shapeId="1169" r:id="rId147" name="Check Box 145">
              <controlPr defaultSize="0" autoFill="0" autoLine="0" autoPict="0">
                <anchor moveWithCells="1">
                  <from>
                    <xdr:col>0</xdr:col>
                    <xdr:colOff>276225</xdr:colOff>
                    <xdr:row>145</xdr:row>
                    <xdr:rowOff>9525</xdr:rowOff>
                  </from>
                  <to>
                    <xdr:col>3</xdr:col>
                    <xdr:colOff>19050</xdr:colOff>
                    <xdr:row>145</xdr:row>
                    <xdr:rowOff>485775</xdr:rowOff>
                  </to>
                </anchor>
              </controlPr>
            </control>
          </mc:Choice>
        </mc:AlternateContent>
        <mc:AlternateContent xmlns:mc="http://schemas.openxmlformats.org/markup-compatibility/2006">
          <mc:Choice Requires="x14">
            <control shapeId="1170" r:id="rId148" name="Check Box 146">
              <controlPr defaultSize="0" autoFill="0" autoLine="0" autoPict="0">
                <anchor moveWithCells="1">
                  <from>
                    <xdr:col>0</xdr:col>
                    <xdr:colOff>276225</xdr:colOff>
                    <xdr:row>146</xdr:row>
                    <xdr:rowOff>9525</xdr:rowOff>
                  </from>
                  <to>
                    <xdr:col>3</xdr:col>
                    <xdr:colOff>19050</xdr:colOff>
                    <xdr:row>146</xdr:row>
                    <xdr:rowOff>485775</xdr:rowOff>
                  </to>
                </anchor>
              </controlPr>
            </control>
          </mc:Choice>
        </mc:AlternateContent>
        <mc:AlternateContent xmlns:mc="http://schemas.openxmlformats.org/markup-compatibility/2006">
          <mc:Choice Requires="x14">
            <control shapeId="1171" r:id="rId149" name="Check Box 147">
              <controlPr defaultSize="0" autoFill="0" autoLine="0" autoPict="0">
                <anchor moveWithCells="1">
                  <from>
                    <xdr:col>0</xdr:col>
                    <xdr:colOff>276225</xdr:colOff>
                    <xdr:row>147</xdr:row>
                    <xdr:rowOff>9525</xdr:rowOff>
                  </from>
                  <to>
                    <xdr:col>3</xdr:col>
                    <xdr:colOff>19050</xdr:colOff>
                    <xdr:row>147</xdr:row>
                    <xdr:rowOff>485775</xdr:rowOff>
                  </to>
                </anchor>
              </controlPr>
            </control>
          </mc:Choice>
        </mc:AlternateContent>
        <mc:AlternateContent xmlns:mc="http://schemas.openxmlformats.org/markup-compatibility/2006">
          <mc:Choice Requires="x14">
            <control shapeId="1172" r:id="rId150" name="Check Box 148">
              <controlPr defaultSize="0" autoFill="0" autoLine="0" autoPict="0">
                <anchor moveWithCells="1">
                  <from>
                    <xdr:col>0</xdr:col>
                    <xdr:colOff>276225</xdr:colOff>
                    <xdr:row>148</xdr:row>
                    <xdr:rowOff>9525</xdr:rowOff>
                  </from>
                  <to>
                    <xdr:col>3</xdr:col>
                    <xdr:colOff>19050</xdr:colOff>
                    <xdr:row>148</xdr:row>
                    <xdr:rowOff>485775</xdr:rowOff>
                  </to>
                </anchor>
              </controlPr>
            </control>
          </mc:Choice>
        </mc:AlternateContent>
        <mc:AlternateContent xmlns:mc="http://schemas.openxmlformats.org/markup-compatibility/2006">
          <mc:Choice Requires="x14">
            <control shapeId="1173" r:id="rId151" name="Check Box 149">
              <controlPr defaultSize="0" autoFill="0" autoLine="0" autoPict="0">
                <anchor moveWithCells="1">
                  <from>
                    <xdr:col>0</xdr:col>
                    <xdr:colOff>276225</xdr:colOff>
                    <xdr:row>149</xdr:row>
                    <xdr:rowOff>9525</xdr:rowOff>
                  </from>
                  <to>
                    <xdr:col>3</xdr:col>
                    <xdr:colOff>19050</xdr:colOff>
                    <xdr:row>149</xdr:row>
                    <xdr:rowOff>485775</xdr:rowOff>
                  </to>
                </anchor>
              </controlPr>
            </control>
          </mc:Choice>
        </mc:AlternateContent>
        <mc:AlternateContent xmlns:mc="http://schemas.openxmlformats.org/markup-compatibility/2006">
          <mc:Choice Requires="x14">
            <control shapeId="1174" r:id="rId152" name="Check Box 150">
              <controlPr defaultSize="0" autoFill="0" autoLine="0" autoPict="0">
                <anchor moveWithCells="1">
                  <from>
                    <xdr:col>0</xdr:col>
                    <xdr:colOff>276225</xdr:colOff>
                    <xdr:row>150</xdr:row>
                    <xdr:rowOff>9525</xdr:rowOff>
                  </from>
                  <to>
                    <xdr:col>3</xdr:col>
                    <xdr:colOff>19050</xdr:colOff>
                    <xdr:row>150</xdr:row>
                    <xdr:rowOff>485775</xdr:rowOff>
                  </to>
                </anchor>
              </controlPr>
            </control>
          </mc:Choice>
        </mc:AlternateContent>
        <mc:AlternateContent xmlns:mc="http://schemas.openxmlformats.org/markup-compatibility/2006">
          <mc:Choice Requires="x14">
            <control shapeId="1175" r:id="rId153" name="Check Box 151">
              <controlPr defaultSize="0" autoFill="0" autoLine="0" autoPict="0">
                <anchor moveWithCells="1">
                  <from>
                    <xdr:col>0</xdr:col>
                    <xdr:colOff>276225</xdr:colOff>
                    <xdr:row>151</xdr:row>
                    <xdr:rowOff>9525</xdr:rowOff>
                  </from>
                  <to>
                    <xdr:col>3</xdr:col>
                    <xdr:colOff>19050</xdr:colOff>
                    <xdr:row>151</xdr:row>
                    <xdr:rowOff>485775</xdr:rowOff>
                  </to>
                </anchor>
              </controlPr>
            </control>
          </mc:Choice>
        </mc:AlternateContent>
        <mc:AlternateContent xmlns:mc="http://schemas.openxmlformats.org/markup-compatibility/2006">
          <mc:Choice Requires="x14">
            <control shapeId="1176" r:id="rId154" name="Check Box 152">
              <controlPr defaultSize="0" autoFill="0" autoLine="0" autoPict="0">
                <anchor moveWithCells="1">
                  <from>
                    <xdr:col>0</xdr:col>
                    <xdr:colOff>276225</xdr:colOff>
                    <xdr:row>152</xdr:row>
                    <xdr:rowOff>9525</xdr:rowOff>
                  </from>
                  <to>
                    <xdr:col>3</xdr:col>
                    <xdr:colOff>19050</xdr:colOff>
                    <xdr:row>152</xdr:row>
                    <xdr:rowOff>485775</xdr:rowOff>
                  </to>
                </anchor>
              </controlPr>
            </control>
          </mc:Choice>
        </mc:AlternateContent>
        <mc:AlternateContent xmlns:mc="http://schemas.openxmlformats.org/markup-compatibility/2006">
          <mc:Choice Requires="x14">
            <control shapeId="1177" r:id="rId155" name="Check Box 153">
              <controlPr defaultSize="0" autoFill="0" autoLine="0" autoPict="0">
                <anchor moveWithCells="1">
                  <from>
                    <xdr:col>0</xdr:col>
                    <xdr:colOff>276225</xdr:colOff>
                    <xdr:row>153</xdr:row>
                    <xdr:rowOff>9525</xdr:rowOff>
                  </from>
                  <to>
                    <xdr:col>3</xdr:col>
                    <xdr:colOff>19050</xdr:colOff>
                    <xdr:row>153</xdr:row>
                    <xdr:rowOff>485775</xdr:rowOff>
                  </to>
                </anchor>
              </controlPr>
            </control>
          </mc:Choice>
        </mc:AlternateContent>
        <mc:AlternateContent xmlns:mc="http://schemas.openxmlformats.org/markup-compatibility/2006">
          <mc:Choice Requires="x14">
            <control shapeId="1178" r:id="rId156" name="Check Box 154">
              <controlPr defaultSize="0" autoFill="0" autoLine="0" autoPict="0">
                <anchor moveWithCells="1">
                  <from>
                    <xdr:col>0</xdr:col>
                    <xdr:colOff>276225</xdr:colOff>
                    <xdr:row>154</xdr:row>
                    <xdr:rowOff>9525</xdr:rowOff>
                  </from>
                  <to>
                    <xdr:col>3</xdr:col>
                    <xdr:colOff>19050</xdr:colOff>
                    <xdr:row>154</xdr:row>
                    <xdr:rowOff>485775</xdr:rowOff>
                  </to>
                </anchor>
              </controlPr>
            </control>
          </mc:Choice>
        </mc:AlternateContent>
        <mc:AlternateContent xmlns:mc="http://schemas.openxmlformats.org/markup-compatibility/2006">
          <mc:Choice Requires="x14">
            <control shapeId="1179" r:id="rId157" name="Check Box 155">
              <controlPr defaultSize="0" autoFill="0" autoLine="0" autoPict="0">
                <anchor moveWithCells="1">
                  <from>
                    <xdr:col>0</xdr:col>
                    <xdr:colOff>276225</xdr:colOff>
                    <xdr:row>155</xdr:row>
                    <xdr:rowOff>9525</xdr:rowOff>
                  </from>
                  <to>
                    <xdr:col>3</xdr:col>
                    <xdr:colOff>19050</xdr:colOff>
                    <xdr:row>155</xdr:row>
                    <xdr:rowOff>485775</xdr:rowOff>
                  </to>
                </anchor>
              </controlPr>
            </control>
          </mc:Choice>
        </mc:AlternateContent>
        <mc:AlternateContent xmlns:mc="http://schemas.openxmlformats.org/markup-compatibility/2006">
          <mc:Choice Requires="x14">
            <control shapeId="1180" r:id="rId158" name="Check Box 156">
              <controlPr defaultSize="0" autoFill="0" autoLine="0" autoPict="0">
                <anchor moveWithCells="1">
                  <from>
                    <xdr:col>0</xdr:col>
                    <xdr:colOff>276225</xdr:colOff>
                    <xdr:row>156</xdr:row>
                    <xdr:rowOff>9525</xdr:rowOff>
                  </from>
                  <to>
                    <xdr:col>3</xdr:col>
                    <xdr:colOff>19050</xdr:colOff>
                    <xdr:row>156</xdr:row>
                    <xdr:rowOff>485775</xdr:rowOff>
                  </to>
                </anchor>
              </controlPr>
            </control>
          </mc:Choice>
        </mc:AlternateContent>
        <mc:AlternateContent xmlns:mc="http://schemas.openxmlformats.org/markup-compatibility/2006">
          <mc:Choice Requires="x14">
            <control shapeId="1181" r:id="rId159" name="Check Box 157">
              <controlPr defaultSize="0" autoFill="0" autoLine="0" autoPict="0">
                <anchor moveWithCells="1">
                  <from>
                    <xdr:col>0</xdr:col>
                    <xdr:colOff>276225</xdr:colOff>
                    <xdr:row>157</xdr:row>
                    <xdr:rowOff>9525</xdr:rowOff>
                  </from>
                  <to>
                    <xdr:col>3</xdr:col>
                    <xdr:colOff>19050</xdr:colOff>
                    <xdr:row>157</xdr:row>
                    <xdr:rowOff>485775</xdr:rowOff>
                  </to>
                </anchor>
              </controlPr>
            </control>
          </mc:Choice>
        </mc:AlternateContent>
        <mc:AlternateContent xmlns:mc="http://schemas.openxmlformats.org/markup-compatibility/2006">
          <mc:Choice Requires="x14">
            <control shapeId="1182" r:id="rId160" name="Check Box 158">
              <controlPr defaultSize="0" autoFill="0" autoLine="0" autoPict="0">
                <anchor moveWithCells="1">
                  <from>
                    <xdr:col>0</xdr:col>
                    <xdr:colOff>276225</xdr:colOff>
                    <xdr:row>158</xdr:row>
                    <xdr:rowOff>9525</xdr:rowOff>
                  </from>
                  <to>
                    <xdr:col>3</xdr:col>
                    <xdr:colOff>19050</xdr:colOff>
                    <xdr:row>158</xdr:row>
                    <xdr:rowOff>485775</xdr:rowOff>
                  </to>
                </anchor>
              </controlPr>
            </control>
          </mc:Choice>
        </mc:AlternateContent>
        <mc:AlternateContent xmlns:mc="http://schemas.openxmlformats.org/markup-compatibility/2006">
          <mc:Choice Requires="x14">
            <control shapeId="1183" r:id="rId161" name="Check Box 159">
              <controlPr defaultSize="0" autoFill="0" autoLine="0" autoPict="0">
                <anchor moveWithCells="1">
                  <from>
                    <xdr:col>0</xdr:col>
                    <xdr:colOff>276225</xdr:colOff>
                    <xdr:row>159</xdr:row>
                    <xdr:rowOff>9525</xdr:rowOff>
                  </from>
                  <to>
                    <xdr:col>3</xdr:col>
                    <xdr:colOff>19050</xdr:colOff>
                    <xdr:row>159</xdr:row>
                    <xdr:rowOff>485775</xdr:rowOff>
                  </to>
                </anchor>
              </controlPr>
            </control>
          </mc:Choice>
        </mc:AlternateContent>
        <mc:AlternateContent xmlns:mc="http://schemas.openxmlformats.org/markup-compatibility/2006">
          <mc:Choice Requires="x14">
            <control shapeId="1184" r:id="rId162" name="Check Box 160">
              <controlPr defaultSize="0" autoFill="0" autoLine="0" autoPict="0">
                <anchor moveWithCells="1">
                  <from>
                    <xdr:col>0</xdr:col>
                    <xdr:colOff>276225</xdr:colOff>
                    <xdr:row>160</xdr:row>
                    <xdr:rowOff>9525</xdr:rowOff>
                  </from>
                  <to>
                    <xdr:col>3</xdr:col>
                    <xdr:colOff>19050</xdr:colOff>
                    <xdr:row>160</xdr:row>
                    <xdr:rowOff>485775</xdr:rowOff>
                  </to>
                </anchor>
              </controlPr>
            </control>
          </mc:Choice>
        </mc:AlternateContent>
        <mc:AlternateContent xmlns:mc="http://schemas.openxmlformats.org/markup-compatibility/2006">
          <mc:Choice Requires="x14">
            <control shapeId="1185" r:id="rId163" name="Check Box 161">
              <controlPr defaultSize="0" autoFill="0" autoLine="0" autoPict="0">
                <anchor moveWithCells="1">
                  <from>
                    <xdr:col>0</xdr:col>
                    <xdr:colOff>276225</xdr:colOff>
                    <xdr:row>161</xdr:row>
                    <xdr:rowOff>9525</xdr:rowOff>
                  </from>
                  <to>
                    <xdr:col>3</xdr:col>
                    <xdr:colOff>19050</xdr:colOff>
                    <xdr:row>161</xdr:row>
                    <xdr:rowOff>485775</xdr:rowOff>
                  </to>
                </anchor>
              </controlPr>
            </control>
          </mc:Choice>
        </mc:AlternateContent>
        <mc:AlternateContent xmlns:mc="http://schemas.openxmlformats.org/markup-compatibility/2006">
          <mc:Choice Requires="x14">
            <control shapeId="1186" r:id="rId164" name="Check Box 162">
              <controlPr defaultSize="0" autoFill="0" autoLine="0" autoPict="0">
                <anchor moveWithCells="1">
                  <from>
                    <xdr:col>0</xdr:col>
                    <xdr:colOff>276225</xdr:colOff>
                    <xdr:row>162</xdr:row>
                    <xdr:rowOff>9525</xdr:rowOff>
                  </from>
                  <to>
                    <xdr:col>3</xdr:col>
                    <xdr:colOff>19050</xdr:colOff>
                    <xdr:row>162</xdr:row>
                    <xdr:rowOff>485775</xdr:rowOff>
                  </to>
                </anchor>
              </controlPr>
            </control>
          </mc:Choice>
        </mc:AlternateContent>
        <mc:AlternateContent xmlns:mc="http://schemas.openxmlformats.org/markup-compatibility/2006">
          <mc:Choice Requires="x14">
            <control shapeId="1187" r:id="rId165" name="Check Box 163">
              <controlPr defaultSize="0" autoFill="0" autoLine="0" autoPict="0">
                <anchor moveWithCells="1">
                  <from>
                    <xdr:col>0</xdr:col>
                    <xdr:colOff>276225</xdr:colOff>
                    <xdr:row>163</xdr:row>
                    <xdr:rowOff>9525</xdr:rowOff>
                  </from>
                  <to>
                    <xdr:col>3</xdr:col>
                    <xdr:colOff>19050</xdr:colOff>
                    <xdr:row>163</xdr:row>
                    <xdr:rowOff>485775</xdr:rowOff>
                  </to>
                </anchor>
              </controlPr>
            </control>
          </mc:Choice>
        </mc:AlternateContent>
        <mc:AlternateContent xmlns:mc="http://schemas.openxmlformats.org/markup-compatibility/2006">
          <mc:Choice Requires="x14">
            <control shapeId="1188" r:id="rId166" name="Check Box 164">
              <controlPr defaultSize="0" autoFill="0" autoLine="0" autoPict="0">
                <anchor moveWithCells="1">
                  <from>
                    <xdr:col>0</xdr:col>
                    <xdr:colOff>276225</xdr:colOff>
                    <xdr:row>164</xdr:row>
                    <xdr:rowOff>9525</xdr:rowOff>
                  </from>
                  <to>
                    <xdr:col>3</xdr:col>
                    <xdr:colOff>19050</xdr:colOff>
                    <xdr:row>164</xdr:row>
                    <xdr:rowOff>485775</xdr:rowOff>
                  </to>
                </anchor>
              </controlPr>
            </control>
          </mc:Choice>
        </mc:AlternateContent>
        <mc:AlternateContent xmlns:mc="http://schemas.openxmlformats.org/markup-compatibility/2006">
          <mc:Choice Requires="x14">
            <control shapeId="1189" r:id="rId167" name="Check Box 165">
              <controlPr defaultSize="0" autoFill="0" autoLine="0" autoPict="0">
                <anchor moveWithCells="1">
                  <from>
                    <xdr:col>0</xdr:col>
                    <xdr:colOff>276225</xdr:colOff>
                    <xdr:row>165</xdr:row>
                    <xdr:rowOff>9525</xdr:rowOff>
                  </from>
                  <to>
                    <xdr:col>3</xdr:col>
                    <xdr:colOff>19050</xdr:colOff>
                    <xdr:row>165</xdr:row>
                    <xdr:rowOff>485775</xdr:rowOff>
                  </to>
                </anchor>
              </controlPr>
            </control>
          </mc:Choice>
        </mc:AlternateContent>
        <mc:AlternateContent xmlns:mc="http://schemas.openxmlformats.org/markup-compatibility/2006">
          <mc:Choice Requires="x14">
            <control shapeId="1190" r:id="rId168" name="Check Box 166">
              <controlPr defaultSize="0" autoFill="0" autoLine="0" autoPict="0">
                <anchor moveWithCells="1">
                  <from>
                    <xdr:col>0</xdr:col>
                    <xdr:colOff>276225</xdr:colOff>
                    <xdr:row>166</xdr:row>
                    <xdr:rowOff>9525</xdr:rowOff>
                  </from>
                  <to>
                    <xdr:col>3</xdr:col>
                    <xdr:colOff>19050</xdr:colOff>
                    <xdr:row>166</xdr:row>
                    <xdr:rowOff>485775</xdr:rowOff>
                  </to>
                </anchor>
              </controlPr>
            </control>
          </mc:Choice>
        </mc:AlternateContent>
        <mc:AlternateContent xmlns:mc="http://schemas.openxmlformats.org/markup-compatibility/2006">
          <mc:Choice Requires="x14">
            <control shapeId="1191" r:id="rId169" name="Check Box 167">
              <controlPr defaultSize="0" autoFill="0" autoLine="0" autoPict="0">
                <anchor moveWithCells="1">
                  <from>
                    <xdr:col>0</xdr:col>
                    <xdr:colOff>276225</xdr:colOff>
                    <xdr:row>167</xdr:row>
                    <xdr:rowOff>9525</xdr:rowOff>
                  </from>
                  <to>
                    <xdr:col>3</xdr:col>
                    <xdr:colOff>19050</xdr:colOff>
                    <xdr:row>167</xdr:row>
                    <xdr:rowOff>485775</xdr:rowOff>
                  </to>
                </anchor>
              </controlPr>
            </control>
          </mc:Choice>
        </mc:AlternateContent>
        <mc:AlternateContent xmlns:mc="http://schemas.openxmlformats.org/markup-compatibility/2006">
          <mc:Choice Requires="x14">
            <control shapeId="1192" r:id="rId170" name="Check Box 168">
              <controlPr defaultSize="0" autoFill="0" autoLine="0" autoPict="0">
                <anchor moveWithCells="1">
                  <from>
                    <xdr:col>0</xdr:col>
                    <xdr:colOff>276225</xdr:colOff>
                    <xdr:row>168</xdr:row>
                    <xdr:rowOff>9525</xdr:rowOff>
                  </from>
                  <to>
                    <xdr:col>3</xdr:col>
                    <xdr:colOff>19050</xdr:colOff>
                    <xdr:row>168</xdr:row>
                    <xdr:rowOff>485775</xdr:rowOff>
                  </to>
                </anchor>
              </controlPr>
            </control>
          </mc:Choice>
        </mc:AlternateContent>
        <mc:AlternateContent xmlns:mc="http://schemas.openxmlformats.org/markup-compatibility/2006">
          <mc:Choice Requires="x14">
            <control shapeId="1193" r:id="rId171" name="Check Box 169">
              <controlPr defaultSize="0" autoFill="0" autoLine="0" autoPict="0">
                <anchor moveWithCells="1">
                  <from>
                    <xdr:col>0</xdr:col>
                    <xdr:colOff>276225</xdr:colOff>
                    <xdr:row>169</xdr:row>
                    <xdr:rowOff>9525</xdr:rowOff>
                  </from>
                  <to>
                    <xdr:col>3</xdr:col>
                    <xdr:colOff>19050</xdr:colOff>
                    <xdr:row>169</xdr:row>
                    <xdr:rowOff>485775</xdr:rowOff>
                  </to>
                </anchor>
              </controlPr>
            </control>
          </mc:Choice>
        </mc:AlternateContent>
        <mc:AlternateContent xmlns:mc="http://schemas.openxmlformats.org/markup-compatibility/2006">
          <mc:Choice Requires="x14">
            <control shapeId="1194" r:id="rId172" name="Check Box 170">
              <controlPr defaultSize="0" autoFill="0" autoLine="0" autoPict="0">
                <anchor moveWithCells="1">
                  <from>
                    <xdr:col>0</xdr:col>
                    <xdr:colOff>276225</xdr:colOff>
                    <xdr:row>170</xdr:row>
                    <xdr:rowOff>9525</xdr:rowOff>
                  </from>
                  <to>
                    <xdr:col>3</xdr:col>
                    <xdr:colOff>19050</xdr:colOff>
                    <xdr:row>170</xdr:row>
                    <xdr:rowOff>485775</xdr:rowOff>
                  </to>
                </anchor>
              </controlPr>
            </control>
          </mc:Choice>
        </mc:AlternateContent>
        <mc:AlternateContent xmlns:mc="http://schemas.openxmlformats.org/markup-compatibility/2006">
          <mc:Choice Requires="x14">
            <control shapeId="1195" r:id="rId173" name="Check Box 171">
              <controlPr defaultSize="0" autoFill="0" autoLine="0" autoPict="0">
                <anchor moveWithCells="1">
                  <from>
                    <xdr:col>0</xdr:col>
                    <xdr:colOff>276225</xdr:colOff>
                    <xdr:row>171</xdr:row>
                    <xdr:rowOff>9525</xdr:rowOff>
                  </from>
                  <to>
                    <xdr:col>3</xdr:col>
                    <xdr:colOff>19050</xdr:colOff>
                    <xdr:row>171</xdr:row>
                    <xdr:rowOff>485775</xdr:rowOff>
                  </to>
                </anchor>
              </controlPr>
            </control>
          </mc:Choice>
        </mc:AlternateContent>
        <mc:AlternateContent xmlns:mc="http://schemas.openxmlformats.org/markup-compatibility/2006">
          <mc:Choice Requires="x14">
            <control shapeId="1196" r:id="rId174" name="Check Box 172">
              <controlPr defaultSize="0" autoFill="0" autoLine="0" autoPict="0">
                <anchor moveWithCells="1">
                  <from>
                    <xdr:col>0</xdr:col>
                    <xdr:colOff>276225</xdr:colOff>
                    <xdr:row>172</xdr:row>
                    <xdr:rowOff>9525</xdr:rowOff>
                  </from>
                  <to>
                    <xdr:col>3</xdr:col>
                    <xdr:colOff>19050</xdr:colOff>
                    <xdr:row>172</xdr:row>
                    <xdr:rowOff>485775</xdr:rowOff>
                  </to>
                </anchor>
              </controlPr>
            </control>
          </mc:Choice>
        </mc:AlternateContent>
        <mc:AlternateContent xmlns:mc="http://schemas.openxmlformats.org/markup-compatibility/2006">
          <mc:Choice Requires="x14">
            <control shapeId="1197" r:id="rId175" name="Check Box 173">
              <controlPr defaultSize="0" autoFill="0" autoLine="0" autoPict="0">
                <anchor moveWithCells="1">
                  <from>
                    <xdr:col>0</xdr:col>
                    <xdr:colOff>276225</xdr:colOff>
                    <xdr:row>173</xdr:row>
                    <xdr:rowOff>9525</xdr:rowOff>
                  </from>
                  <to>
                    <xdr:col>3</xdr:col>
                    <xdr:colOff>19050</xdr:colOff>
                    <xdr:row>173</xdr:row>
                    <xdr:rowOff>485775</xdr:rowOff>
                  </to>
                </anchor>
              </controlPr>
            </control>
          </mc:Choice>
        </mc:AlternateContent>
        <mc:AlternateContent xmlns:mc="http://schemas.openxmlformats.org/markup-compatibility/2006">
          <mc:Choice Requires="x14">
            <control shapeId="1198" r:id="rId176" name="Check Box 174">
              <controlPr defaultSize="0" autoFill="0" autoLine="0" autoPict="0">
                <anchor moveWithCells="1">
                  <from>
                    <xdr:col>0</xdr:col>
                    <xdr:colOff>276225</xdr:colOff>
                    <xdr:row>174</xdr:row>
                    <xdr:rowOff>9525</xdr:rowOff>
                  </from>
                  <to>
                    <xdr:col>3</xdr:col>
                    <xdr:colOff>19050</xdr:colOff>
                    <xdr:row>174</xdr:row>
                    <xdr:rowOff>485775</xdr:rowOff>
                  </to>
                </anchor>
              </controlPr>
            </control>
          </mc:Choice>
        </mc:AlternateContent>
        <mc:AlternateContent xmlns:mc="http://schemas.openxmlformats.org/markup-compatibility/2006">
          <mc:Choice Requires="x14">
            <control shapeId="1199" r:id="rId177" name="Check Box 175">
              <controlPr defaultSize="0" autoFill="0" autoLine="0" autoPict="0">
                <anchor moveWithCells="1">
                  <from>
                    <xdr:col>0</xdr:col>
                    <xdr:colOff>276225</xdr:colOff>
                    <xdr:row>175</xdr:row>
                    <xdr:rowOff>9525</xdr:rowOff>
                  </from>
                  <to>
                    <xdr:col>3</xdr:col>
                    <xdr:colOff>19050</xdr:colOff>
                    <xdr:row>175</xdr:row>
                    <xdr:rowOff>485775</xdr:rowOff>
                  </to>
                </anchor>
              </controlPr>
            </control>
          </mc:Choice>
        </mc:AlternateContent>
        <mc:AlternateContent xmlns:mc="http://schemas.openxmlformats.org/markup-compatibility/2006">
          <mc:Choice Requires="x14">
            <control shapeId="1200" r:id="rId178" name="Check Box 176">
              <controlPr defaultSize="0" autoFill="0" autoLine="0" autoPict="0">
                <anchor moveWithCells="1">
                  <from>
                    <xdr:col>0</xdr:col>
                    <xdr:colOff>276225</xdr:colOff>
                    <xdr:row>176</xdr:row>
                    <xdr:rowOff>9525</xdr:rowOff>
                  </from>
                  <to>
                    <xdr:col>3</xdr:col>
                    <xdr:colOff>19050</xdr:colOff>
                    <xdr:row>176</xdr:row>
                    <xdr:rowOff>485775</xdr:rowOff>
                  </to>
                </anchor>
              </controlPr>
            </control>
          </mc:Choice>
        </mc:AlternateContent>
        <mc:AlternateContent xmlns:mc="http://schemas.openxmlformats.org/markup-compatibility/2006">
          <mc:Choice Requires="x14">
            <control shapeId="1201" r:id="rId179" name="Check Box 177">
              <controlPr defaultSize="0" autoFill="0" autoLine="0" autoPict="0">
                <anchor moveWithCells="1">
                  <from>
                    <xdr:col>0</xdr:col>
                    <xdr:colOff>276225</xdr:colOff>
                    <xdr:row>177</xdr:row>
                    <xdr:rowOff>9525</xdr:rowOff>
                  </from>
                  <to>
                    <xdr:col>3</xdr:col>
                    <xdr:colOff>19050</xdr:colOff>
                    <xdr:row>177</xdr:row>
                    <xdr:rowOff>485775</xdr:rowOff>
                  </to>
                </anchor>
              </controlPr>
            </control>
          </mc:Choice>
        </mc:AlternateContent>
        <mc:AlternateContent xmlns:mc="http://schemas.openxmlformats.org/markup-compatibility/2006">
          <mc:Choice Requires="x14">
            <control shapeId="1202" r:id="rId180" name="Check Box 178">
              <controlPr defaultSize="0" autoFill="0" autoLine="0" autoPict="0">
                <anchor moveWithCells="1">
                  <from>
                    <xdr:col>0</xdr:col>
                    <xdr:colOff>276225</xdr:colOff>
                    <xdr:row>178</xdr:row>
                    <xdr:rowOff>9525</xdr:rowOff>
                  </from>
                  <to>
                    <xdr:col>3</xdr:col>
                    <xdr:colOff>19050</xdr:colOff>
                    <xdr:row>178</xdr:row>
                    <xdr:rowOff>485775</xdr:rowOff>
                  </to>
                </anchor>
              </controlPr>
            </control>
          </mc:Choice>
        </mc:AlternateContent>
        <mc:AlternateContent xmlns:mc="http://schemas.openxmlformats.org/markup-compatibility/2006">
          <mc:Choice Requires="x14">
            <control shapeId="1203" r:id="rId181" name="Check Box 179">
              <controlPr defaultSize="0" autoFill="0" autoLine="0" autoPict="0">
                <anchor moveWithCells="1">
                  <from>
                    <xdr:col>0</xdr:col>
                    <xdr:colOff>276225</xdr:colOff>
                    <xdr:row>179</xdr:row>
                    <xdr:rowOff>9525</xdr:rowOff>
                  </from>
                  <to>
                    <xdr:col>3</xdr:col>
                    <xdr:colOff>19050</xdr:colOff>
                    <xdr:row>179</xdr:row>
                    <xdr:rowOff>485775</xdr:rowOff>
                  </to>
                </anchor>
              </controlPr>
            </control>
          </mc:Choice>
        </mc:AlternateContent>
        <mc:AlternateContent xmlns:mc="http://schemas.openxmlformats.org/markup-compatibility/2006">
          <mc:Choice Requires="x14">
            <control shapeId="1204" r:id="rId182" name="Check Box 180">
              <controlPr defaultSize="0" autoFill="0" autoLine="0" autoPict="0">
                <anchor moveWithCells="1">
                  <from>
                    <xdr:col>0</xdr:col>
                    <xdr:colOff>276225</xdr:colOff>
                    <xdr:row>180</xdr:row>
                    <xdr:rowOff>9525</xdr:rowOff>
                  </from>
                  <to>
                    <xdr:col>3</xdr:col>
                    <xdr:colOff>19050</xdr:colOff>
                    <xdr:row>180</xdr:row>
                    <xdr:rowOff>485775</xdr:rowOff>
                  </to>
                </anchor>
              </controlPr>
            </control>
          </mc:Choice>
        </mc:AlternateContent>
        <mc:AlternateContent xmlns:mc="http://schemas.openxmlformats.org/markup-compatibility/2006">
          <mc:Choice Requires="x14">
            <control shapeId="1205" r:id="rId183" name="Check Box 181">
              <controlPr defaultSize="0" autoFill="0" autoLine="0" autoPict="0">
                <anchor moveWithCells="1">
                  <from>
                    <xdr:col>0</xdr:col>
                    <xdr:colOff>276225</xdr:colOff>
                    <xdr:row>181</xdr:row>
                    <xdr:rowOff>9525</xdr:rowOff>
                  </from>
                  <to>
                    <xdr:col>3</xdr:col>
                    <xdr:colOff>19050</xdr:colOff>
                    <xdr:row>181</xdr:row>
                    <xdr:rowOff>485775</xdr:rowOff>
                  </to>
                </anchor>
              </controlPr>
            </control>
          </mc:Choice>
        </mc:AlternateContent>
        <mc:AlternateContent xmlns:mc="http://schemas.openxmlformats.org/markup-compatibility/2006">
          <mc:Choice Requires="x14">
            <control shapeId="1206" r:id="rId184" name="Check Box 182">
              <controlPr defaultSize="0" autoFill="0" autoLine="0" autoPict="0">
                <anchor moveWithCells="1">
                  <from>
                    <xdr:col>0</xdr:col>
                    <xdr:colOff>276225</xdr:colOff>
                    <xdr:row>182</xdr:row>
                    <xdr:rowOff>9525</xdr:rowOff>
                  </from>
                  <to>
                    <xdr:col>3</xdr:col>
                    <xdr:colOff>19050</xdr:colOff>
                    <xdr:row>182</xdr:row>
                    <xdr:rowOff>485775</xdr:rowOff>
                  </to>
                </anchor>
              </controlPr>
            </control>
          </mc:Choice>
        </mc:AlternateContent>
        <mc:AlternateContent xmlns:mc="http://schemas.openxmlformats.org/markup-compatibility/2006">
          <mc:Choice Requires="x14">
            <control shapeId="1207" r:id="rId185" name="Check Box 183">
              <controlPr defaultSize="0" autoFill="0" autoLine="0" autoPict="0">
                <anchor moveWithCells="1">
                  <from>
                    <xdr:col>0</xdr:col>
                    <xdr:colOff>276225</xdr:colOff>
                    <xdr:row>183</xdr:row>
                    <xdr:rowOff>9525</xdr:rowOff>
                  </from>
                  <to>
                    <xdr:col>3</xdr:col>
                    <xdr:colOff>19050</xdr:colOff>
                    <xdr:row>183</xdr:row>
                    <xdr:rowOff>485775</xdr:rowOff>
                  </to>
                </anchor>
              </controlPr>
            </control>
          </mc:Choice>
        </mc:AlternateContent>
        <mc:AlternateContent xmlns:mc="http://schemas.openxmlformats.org/markup-compatibility/2006">
          <mc:Choice Requires="x14">
            <control shapeId="1208" r:id="rId186" name="Check Box 184">
              <controlPr defaultSize="0" autoFill="0" autoLine="0" autoPict="0">
                <anchor moveWithCells="1">
                  <from>
                    <xdr:col>0</xdr:col>
                    <xdr:colOff>276225</xdr:colOff>
                    <xdr:row>184</xdr:row>
                    <xdr:rowOff>9525</xdr:rowOff>
                  </from>
                  <to>
                    <xdr:col>3</xdr:col>
                    <xdr:colOff>19050</xdr:colOff>
                    <xdr:row>184</xdr:row>
                    <xdr:rowOff>485775</xdr:rowOff>
                  </to>
                </anchor>
              </controlPr>
            </control>
          </mc:Choice>
        </mc:AlternateContent>
        <mc:AlternateContent xmlns:mc="http://schemas.openxmlformats.org/markup-compatibility/2006">
          <mc:Choice Requires="x14">
            <control shapeId="1209" r:id="rId187" name="Check Box 185">
              <controlPr defaultSize="0" autoFill="0" autoLine="0" autoPict="0">
                <anchor moveWithCells="1">
                  <from>
                    <xdr:col>0</xdr:col>
                    <xdr:colOff>276225</xdr:colOff>
                    <xdr:row>185</xdr:row>
                    <xdr:rowOff>9525</xdr:rowOff>
                  </from>
                  <to>
                    <xdr:col>3</xdr:col>
                    <xdr:colOff>19050</xdr:colOff>
                    <xdr:row>185</xdr:row>
                    <xdr:rowOff>485775</xdr:rowOff>
                  </to>
                </anchor>
              </controlPr>
            </control>
          </mc:Choice>
        </mc:AlternateContent>
        <mc:AlternateContent xmlns:mc="http://schemas.openxmlformats.org/markup-compatibility/2006">
          <mc:Choice Requires="x14">
            <control shapeId="1210" r:id="rId188" name="Check Box 186">
              <controlPr defaultSize="0" autoFill="0" autoLine="0" autoPict="0">
                <anchor moveWithCells="1">
                  <from>
                    <xdr:col>0</xdr:col>
                    <xdr:colOff>276225</xdr:colOff>
                    <xdr:row>186</xdr:row>
                    <xdr:rowOff>9525</xdr:rowOff>
                  </from>
                  <to>
                    <xdr:col>3</xdr:col>
                    <xdr:colOff>19050</xdr:colOff>
                    <xdr:row>186</xdr:row>
                    <xdr:rowOff>485775</xdr:rowOff>
                  </to>
                </anchor>
              </controlPr>
            </control>
          </mc:Choice>
        </mc:AlternateContent>
        <mc:AlternateContent xmlns:mc="http://schemas.openxmlformats.org/markup-compatibility/2006">
          <mc:Choice Requires="x14">
            <control shapeId="1211" r:id="rId189" name="Check Box 187">
              <controlPr defaultSize="0" autoFill="0" autoLine="0" autoPict="0">
                <anchor moveWithCells="1">
                  <from>
                    <xdr:col>0</xdr:col>
                    <xdr:colOff>276225</xdr:colOff>
                    <xdr:row>187</xdr:row>
                    <xdr:rowOff>9525</xdr:rowOff>
                  </from>
                  <to>
                    <xdr:col>3</xdr:col>
                    <xdr:colOff>19050</xdr:colOff>
                    <xdr:row>187</xdr:row>
                    <xdr:rowOff>485775</xdr:rowOff>
                  </to>
                </anchor>
              </controlPr>
            </control>
          </mc:Choice>
        </mc:AlternateContent>
        <mc:AlternateContent xmlns:mc="http://schemas.openxmlformats.org/markup-compatibility/2006">
          <mc:Choice Requires="x14">
            <control shapeId="1212" r:id="rId190" name="Check Box 188">
              <controlPr defaultSize="0" autoFill="0" autoLine="0" autoPict="0">
                <anchor moveWithCells="1">
                  <from>
                    <xdr:col>0</xdr:col>
                    <xdr:colOff>276225</xdr:colOff>
                    <xdr:row>188</xdr:row>
                    <xdr:rowOff>9525</xdr:rowOff>
                  </from>
                  <to>
                    <xdr:col>3</xdr:col>
                    <xdr:colOff>19050</xdr:colOff>
                    <xdr:row>188</xdr:row>
                    <xdr:rowOff>485775</xdr:rowOff>
                  </to>
                </anchor>
              </controlPr>
            </control>
          </mc:Choice>
        </mc:AlternateContent>
        <mc:AlternateContent xmlns:mc="http://schemas.openxmlformats.org/markup-compatibility/2006">
          <mc:Choice Requires="x14">
            <control shapeId="1213" r:id="rId191" name="Check Box 189">
              <controlPr defaultSize="0" autoFill="0" autoLine="0" autoPict="0">
                <anchor moveWithCells="1">
                  <from>
                    <xdr:col>0</xdr:col>
                    <xdr:colOff>276225</xdr:colOff>
                    <xdr:row>189</xdr:row>
                    <xdr:rowOff>9525</xdr:rowOff>
                  </from>
                  <to>
                    <xdr:col>3</xdr:col>
                    <xdr:colOff>19050</xdr:colOff>
                    <xdr:row>189</xdr:row>
                    <xdr:rowOff>485775</xdr:rowOff>
                  </to>
                </anchor>
              </controlPr>
            </control>
          </mc:Choice>
        </mc:AlternateContent>
        <mc:AlternateContent xmlns:mc="http://schemas.openxmlformats.org/markup-compatibility/2006">
          <mc:Choice Requires="x14">
            <control shapeId="1214" r:id="rId192" name="Check Box 190">
              <controlPr defaultSize="0" autoFill="0" autoLine="0" autoPict="0">
                <anchor moveWithCells="1">
                  <from>
                    <xdr:col>0</xdr:col>
                    <xdr:colOff>276225</xdr:colOff>
                    <xdr:row>190</xdr:row>
                    <xdr:rowOff>9525</xdr:rowOff>
                  </from>
                  <to>
                    <xdr:col>3</xdr:col>
                    <xdr:colOff>19050</xdr:colOff>
                    <xdr:row>190</xdr:row>
                    <xdr:rowOff>485775</xdr:rowOff>
                  </to>
                </anchor>
              </controlPr>
            </control>
          </mc:Choice>
        </mc:AlternateContent>
        <mc:AlternateContent xmlns:mc="http://schemas.openxmlformats.org/markup-compatibility/2006">
          <mc:Choice Requires="x14">
            <control shapeId="1215" r:id="rId193" name="Check Box 191">
              <controlPr defaultSize="0" autoFill="0" autoLine="0" autoPict="0">
                <anchor moveWithCells="1">
                  <from>
                    <xdr:col>0</xdr:col>
                    <xdr:colOff>276225</xdr:colOff>
                    <xdr:row>191</xdr:row>
                    <xdr:rowOff>9525</xdr:rowOff>
                  </from>
                  <to>
                    <xdr:col>3</xdr:col>
                    <xdr:colOff>19050</xdr:colOff>
                    <xdr:row>191</xdr:row>
                    <xdr:rowOff>485775</xdr:rowOff>
                  </to>
                </anchor>
              </controlPr>
            </control>
          </mc:Choice>
        </mc:AlternateContent>
        <mc:AlternateContent xmlns:mc="http://schemas.openxmlformats.org/markup-compatibility/2006">
          <mc:Choice Requires="x14">
            <control shapeId="1216" r:id="rId194" name="Check Box 192">
              <controlPr defaultSize="0" autoFill="0" autoLine="0" autoPict="0">
                <anchor moveWithCells="1">
                  <from>
                    <xdr:col>0</xdr:col>
                    <xdr:colOff>276225</xdr:colOff>
                    <xdr:row>192</xdr:row>
                    <xdr:rowOff>9525</xdr:rowOff>
                  </from>
                  <to>
                    <xdr:col>3</xdr:col>
                    <xdr:colOff>19050</xdr:colOff>
                    <xdr:row>192</xdr:row>
                    <xdr:rowOff>485775</xdr:rowOff>
                  </to>
                </anchor>
              </controlPr>
            </control>
          </mc:Choice>
        </mc:AlternateContent>
        <mc:AlternateContent xmlns:mc="http://schemas.openxmlformats.org/markup-compatibility/2006">
          <mc:Choice Requires="x14">
            <control shapeId="1217" r:id="rId195" name="Check Box 193">
              <controlPr defaultSize="0" autoFill="0" autoLine="0" autoPict="0">
                <anchor moveWithCells="1">
                  <from>
                    <xdr:col>0</xdr:col>
                    <xdr:colOff>276225</xdr:colOff>
                    <xdr:row>193</xdr:row>
                    <xdr:rowOff>9525</xdr:rowOff>
                  </from>
                  <to>
                    <xdr:col>3</xdr:col>
                    <xdr:colOff>19050</xdr:colOff>
                    <xdr:row>193</xdr:row>
                    <xdr:rowOff>485775</xdr:rowOff>
                  </to>
                </anchor>
              </controlPr>
            </control>
          </mc:Choice>
        </mc:AlternateContent>
        <mc:AlternateContent xmlns:mc="http://schemas.openxmlformats.org/markup-compatibility/2006">
          <mc:Choice Requires="x14">
            <control shapeId="1218" r:id="rId196" name="Check Box 194">
              <controlPr defaultSize="0" autoFill="0" autoLine="0" autoPict="0">
                <anchor moveWithCells="1">
                  <from>
                    <xdr:col>0</xdr:col>
                    <xdr:colOff>276225</xdr:colOff>
                    <xdr:row>194</xdr:row>
                    <xdr:rowOff>9525</xdr:rowOff>
                  </from>
                  <to>
                    <xdr:col>3</xdr:col>
                    <xdr:colOff>19050</xdr:colOff>
                    <xdr:row>194</xdr:row>
                    <xdr:rowOff>485775</xdr:rowOff>
                  </to>
                </anchor>
              </controlPr>
            </control>
          </mc:Choice>
        </mc:AlternateContent>
        <mc:AlternateContent xmlns:mc="http://schemas.openxmlformats.org/markup-compatibility/2006">
          <mc:Choice Requires="x14">
            <control shapeId="1219" r:id="rId197" name="Check Box 195">
              <controlPr defaultSize="0" autoFill="0" autoLine="0" autoPict="0">
                <anchor moveWithCells="1">
                  <from>
                    <xdr:col>0</xdr:col>
                    <xdr:colOff>276225</xdr:colOff>
                    <xdr:row>195</xdr:row>
                    <xdr:rowOff>9525</xdr:rowOff>
                  </from>
                  <to>
                    <xdr:col>3</xdr:col>
                    <xdr:colOff>19050</xdr:colOff>
                    <xdr:row>195</xdr:row>
                    <xdr:rowOff>485775</xdr:rowOff>
                  </to>
                </anchor>
              </controlPr>
            </control>
          </mc:Choice>
        </mc:AlternateContent>
        <mc:AlternateContent xmlns:mc="http://schemas.openxmlformats.org/markup-compatibility/2006">
          <mc:Choice Requires="x14">
            <control shapeId="1220" r:id="rId198" name="Check Box 196">
              <controlPr defaultSize="0" autoFill="0" autoLine="0" autoPict="0">
                <anchor moveWithCells="1">
                  <from>
                    <xdr:col>0</xdr:col>
                    <xdr:colOff>276225</xdr:colOff>
                    <xdr:row>196</xdr:row>
                    <xdr:rowOff>9525</xdr:rowOff>
                  </from>
                  <to>
                    <xdr:col>3</xdr:col>
                    <xdr:colOff>19050</xdr:colOff>
                    <xdr:row>196</xdr:row>
                    <xdr:rowOff>485775</xdr:rowOff>
                  </to>
                </anchor>
              </controlPr>
            </control>
          </mc:Choice>
        </mc:AlternateContent>
        <mc:AlternateContent xmlns:mc="http://schemas.openxmlformats.org/markup-compatibility/2006">
          <mc:Choice Requires="x14">
            <control shapeId="1221" r:id="rId199" name="Check Box 197">
              <controlPr defaultSize="0" autoFill="0" autoLine="0" autoPict="0">
                <anchor moveWithCells="1">
                  <from>
                    <xdr:col>0</xdr:col>
                    <xdr:colOff>276225</xdr:colOff>
                    <xdr:row>197</xdr:row>
                    <xdr:rowOff>9525</xdr:rowOff>
                  </from>
                  <to>
                    <xdr:col>3</xdr:col>
                    <xdr:colOff>19050</xdr:colOff>
                    <xdr:row>197</xdr:row>
                    <xdr:rowOff>485775</xdr:rowOff>
                  </to>
                </anchor>
              </controlPr>
            </control>
          </mc:Choice>
        </mc:AlternateContent>
        <mc:AlternateContent xmlns:mc="http://schemas.openxmlformats.org/markup-compatibility/2006">
          <mc:Choice Requires="x14">
            <control shapeId="1222" r:id="rId200" name="Check Box 198">
              <controlPr defaultSize="0" autoFill="0" autoLine="0" autoPict="0">
                <anchor moveWithCells="1">
                  <from>
                    <xdr:col>0</xdr:col>
                    <xdr:colOff>276225</xdr:colOff>
                    <xdr:row>198</xdr:row>
                    <xdr:rowOff>9525</xdr:rowOff>
                  </from>
                  <to>
                    <xdr:col>3</xdr:col>
                    <xdr:colOff>19050</xdr:colOff>
                    <xdr:row>198</xdr:row>
                    <xdr:rowOff>485775</xdr:rowOff>
                  </to>
                </anchor>
              </controlPr>
            </control>
          </mc:Choice>
        </mc:AlternateContent>
        <mc:AlternateContent xmlns:mc="http://schemas.openxmlformats.org/markup-compatibility/2006">
          <mc:Choice Requires="x14">
            <control shapeId="1223" r:id="rId201" name="Check Box 199">
              <controlPr defaultSize="0" autoFill="0" autoLine="0" autoPict="0">
                <anchor moveWithCells="1">
                  <from>
                    <xdr:col>0</xdr:col>
                    <xdr:colOff>276225</xdr:colOff>
                    <xdr:row>199</xdr:row>
                    <xdr:rowOff>9525</xdr:rowOff>
                  </from>
                  <to>
                    <xdr:col>3</xdr:col>
                    <xdr:colOff>19050</xdr:colOff>
                    <xdr:row>199</xdr:row>
                    <xdr:rowOff>485775</xdr:rowOff>
                  </to>
                </anchor>
              </controlPr>
            </control>
          </mc:Choice>
        </mc:AlternateContent>
        <mc:AlternateContent xmlns:mc="http://schemas.openxmlformats.org/markup-compatibility/2006">
          <mc:Choice Requires="x14">
            <control shapeId="1224" r:id="rId202" name="Check Box 200">
              <controlPr defaultSize="0" autoFill="0" autoLine="0" autoPict="0">
                <anchor moveWithCells="1">
                  <from>
                    <xdr:col>0</xdr:col>
                    <xdr:colOff>276225</xdr:colOff>
                    <xdr:row>200</xdr:row>
                    <xdr:rowOff>9525</xdr:rowOff>
                  </from>
                  <to>
                    <xdr:col>3</xdr:col>
                    <xdr:colOff>19050</xdr:colOff>
                    <xdr:row>200</xdr:row>
                    <xdr:rowOff>485775</xdr:rowOff>
                  </to>
                </anchor>
              </controlPr>
            </control>
          </mc:Choice>
        </mc:AlternateContent>
        <mc:AlternateContent xmlns:mc="http://schemas.openxmlformats.org/markup-compatibility/2006">
          <mc:Choice Requires="x14">
            <control shapeId="1225" r:id="rId203" name="Check Box 201">
              <controlPr defaultSize="0" autoFill="0" autoLine="0" autoPict="0">
                <anchor moveWithCells="1">
                  <from>
                    <xdr:col>0</xdr:col>
                    <xdr:colOff>276225</xdr:colOff>
                    <xdr:row>201</xdr:row>
                    <xdr:rowOff>9525</xdr:rowOff>
                  </from>
                  <to>
                    <xdr:col>3</xdr:col>
                    <xdr:colOff>19050</xdr:colOff>
                    <xdr:row>201</xdr:row>
                    <xdr:rowOff>485775</xdr:rowOff>
                  </to>
                </anchor>
              </controlPr>
            </control>
          </mc:Choice>
        </mc:AlternateContent>
        <mc:AlternateContent xmlns:mc="http://schemas.openxmlformats.org/markup-compatibility/2006">
          <mc:Choice Requires="x14">
            <control shapeId="1226" r:id="rId204" name="Check Box 202">
              <controlPr defaultSize="0" autoFill="0" autoLine="0" autoPict="0">
                <anchor moveWithCells="1">
                  <from>
                    <xdr:col>0</xdr:col>
                    <xdr:colOff>276225</xdr:colOff>
                    <xdr:row>202</xdr:row>
                    <xdr:rowOff>9525</xdr:rowOff>
                  </from>
                  <to>
                    <xdr:col>3</xdr:col>
                    <xdr:colOff>19050</xdr:colOff>
                    <xdr:row>202</xdr:row>
                    <xdr:rowOff>485775</xdr:rowOff>
                  </to>
                </anchor>
              </controlPr>
            </control>
          </mc:Choice>
        </mc:AlternateContent>
        <mc:AlternateContent xmlns:mc="http://schemas.openxmlformats.org/markup-compatibility/2006">
          <mc:Choice Requires="x14">
            <control shapeId="1227" r:id="rId205" name="Check Box 203">
              <controlPr defaultSize="0" autoFill="0" autoLine="0" autoPict="0">
                <anchor moveWithCells="1">
                  <from>
                    <xdr:col>0</xdr:col>
                    <xdr:colOff>276225</xdr:colOff>
                    <xdr:row>203</xdr:row>
                    <xdr:rowOff>9525</xdr:rowOff>
                  </from>
                  <to>
                    <xdr:col>3</xdr:col>
                    <xdr:colOff>19050</xdr:colOff>
                    <xdr:row>203</xdr:row>
                    <xdr:rowOff>485775</xdr:rowOff>
                  </to>
                </anchor>
              </controlPr>
            </control>
          </mc:Choice>
        </mc:AlternateContent>
        <mc:AlternateContent xmlns:mc="http://schemas.openxmlformats.org/markup-compatibility/2006">
          <mc:Choice Requires="x14">
            <control shapeId="1228" r:id="rId206" name="Check Box 204">
              <controlPr defaultSize="0" autoFill="0" autoLine="0" autoPict="0">
                <anchor moveWithCells="1">
                  <from>
                    <xdr:col>0</xdr:col>
                    <xdr:colOff>276225</xdr:colOff>
                    <xdr:row>204</xdr:row>
                    <xdr:rowOff>9525</xdr:rowOff>
                  </from>
                  <to>
                    <xdr:col>3</xdr:col>
                    <xdr:colOff>19050</xdr:colOff>
                    <xdr:row>204</xdr:row>
                    <xdr:rowOff>485775</xdr:rowOff>
                  </to>
                </anchor>
              </controlPr>
            </control>
          </mc:Choice>
        </mc:AlternateContent>
        <mc:AlternateContent xmlns:mc="http://schemas.openxmlformats.org/markup-compatibility/2006">
          <mc:Choice Requires="x14">
            <control shapeId="1229" r:id="rId207" name="Check Box 205">
              <controlPr defaultSize="0" autoFill="0" autoLine="0" autoPict="0">
                <anchor moveWithCells="1">
                  <from>
                    <xdr:col>0</xdr:col>
                    <xdr:colOff>276225</xdr:colOff>
                    <xdr:row>205</xdr:row>
                    <xdr:rowOff>9525</xdr:rowOff>
                  </from>
                  <to>
                    <xdr:col>3</xdr:col>
                    <xdr:colOff>19050</xdr:colOff>
                    <xdr:row>205</xdr:row>
                    <xdr:rowOff>485775</xdr:rowOff>
                  </to>
                </anchor>
              </controlPr>
            </control>
          </mc:Choice>
        </mc:AlternateContent>
        <mc:AlternateContent xmlns:mc="http://schemas.openxmlformats.org/markup-compatibility/2006">
          <mc:Choice Requires="x14">
            <control shapeId="1230" r:id="rId208" name="Check Box 206">
              <controlPr defaultSize="0" autoFill="0" autoLine="0" autoPict="0">
                <anchor moveWithCells="1">
                  <from>
                    <xdr:col>0</xdr:col>
                    <xdr:colOff>276225</xdr:colOff>
                    <xdr:row>206</xdr:row>
                    <xdr:rowOff>9525</xdr:rowOff>
                  </from>
                  <to>
                    <xdr:col>3</xdr:col>
                    <xdr:colOff>19050</xdr:colOff>
                    <xdr:row>206</xdr:row>
                    <xdr:rowOff>485775</xdr:rowOff>
                  </to>
                </anchor>
              </controlPr>
            </control>
          </mc:Choice>
        </mc:AlternateContent>
        <mc:AlternateContent xmlns:mc="http://schemas.openxmlformats.org/markup-compatibility/2006">
          <mc:Choice Requires="x14">
            <control shapeId="1231" r:id="rId209" name="Check Box 207">
              <controlPr defaultSize="0" autoFill="0" autoLine="0" autoPict="0">
                <anchor moveWithCells="1">
                  <from>
                    <xdr:col>0</xdr:col>
                    <xdr:colOff>276225</xdr:colOff>
                    <xdr:row>207</xdr:row>
                    <xdr:rowOff>9525</xdr:rowOff>
                  </from>
                  <to>
                    <xdr:col>3</xdr:col>
                    <xdr:colOff>19050</xdr:colOff>
                    <xdr:row>207</xdr:row>
                    <xdr:rowOff>485775</xdr:rowOff>
                  </to>
                </anchor>
              </controlPr>
            </control>
          </mc:Choice>
        </mc:AlternateContent>
        <mc:AlternateContent xmlns:mc="http://schemas.openxmlformats.org/markup-compatibility/2006">
          <mc:Choice Requires="x14">
            <control shapeId="1232" r:id="rId210" name="Check Box 208">
              <controlPr defaultSize="0" autoFill="0" autoLine="0" autoPict="0">
                <anchor moveWithCells="1">
                  <from>
                    <xdr:col>0</xdr:col>
                    <xdr:colOff>276225</xdr:colOff>
                    <xdr:row>208</xdr:row>
                    <xdr:rowOff>9525</xdr:rowOff>
                  </from>
                  <to>
                    <xdr:col>3</xdr:col>
                    <xdr:colOff>19050</xdr:colOff>
                    <xdr:row>208</xdr:row>
                    <xdr:rowOff>485775</xdr:rowOff>
                  </to>
                </anchor>
              </controlPr>
            </control>
          </mc:Choice>
        </mc:AlternateContent>
        <mc:AlternateContent xmlns:mc="http://schemas.openxmlformats.org/markup-compatibility/2006">
          <mc:Choice Requires="x14">
            <control shapeId="1233" r:id="rId211" name="Check Box 209">
              <controlPr defaultSize="0" autoFill="0" autoLine="0" autoPict="0">
                <anchor moveWithCells="1">
                  <from>
                    <xdr:col>0</xdr:col>
                    <xdr:colOff>276225</xdr:colOff>
                    <xdr:row>209</xdr:row>
                    <xdr:rowOff>9525</xdr:rowOff>
                  </from>
                  <to>
                    <xdr:col>3</xdr:col>
                    <xdr:colOff>19050</xdr:colOff>
                    <xdr:row>209</xdr:row>
                    <xdr:rowOff>485775</xdr:rowOff>
                  </to>
                </anchor>
              </controlPr>
            </control>
          </mc:Choice>
        </mc:AlternateContent>
        <mc:AlternateContent xmlns:mc="http://schemas.openxmlformats.org/markup-compatibility/2006">
          <mc:Choice Requires="x14">
            <control shapeId="1234" r:id="rId212" name="Check Box 210">
              <controlPr defaultSize="0" autoFill="0" autoLine="0" autoPict="0">
                <anchor moveWithCells="1">
                  <from>
                    <xdr:col>0</xdr:col>
                    <xdr:colOff>276225</xdr:colOff>
                    <xdr:row>210</xdr:row>
                    <xdr:rowOff>9525</xdr:rowOff>
                  </from>
                  <to>
                    <xdr:col>3</xdr:col>
                    <xdr:colOff>19050</xdr:colOff>
                    <xdr:row>210</xdr:row>
                    <xdr:rowOff>485775</xdr:rowOff>
                  </to>
                </anchor>
              </controlPr>
            </control>
          </mc:Choice>
        </mc:AlternateContent>
        <mc:AlternateContent xmlns:mc="http://schemas.openxmlformats.org/markup-compatibility/2006">
          <mc:Choice Requires="x14">
            <control shapeId="1235" r:id="rId213" name="Check Box 211">
              <controlPr defaultSize="0" autoFill="0" autoLine="0" autoPict="0">
                <anchor moveWithCells="1">
                  <from>
                    <xdr:col>0</xdr:col>
                    <xdr:colOff>276225</xdr:colOff>
                    <xdr:row>211</xdr:row>
                    <xdr:rowOff>9525</xdr:rowOff>
                  </from>
                  <to>
                    <xdr:col>3</xdr:col>
                    <xdr:colOff>19050</xdr:colOff>
                    <xdr:row>211</xdr:row>
                    <xdr:rowOff>485775</xdr:rowOff>
                  </to>
                </anchor>
              </controlPr>
            </control>
          </mc:Choice>
        </mc:AlternateContent>
        <mc:AlternateContent xmlns:mc="http://schemas.openxmlformats.org/markup-compatibility/2006">
          <mc:Choice Requires="x14">
            <control shapeId="1236" r:id="rId214" name="Check Box 212">
              <controlPr defaultSize="0" autoFill="0" autoLine="0" autoPict="0">
                <anchor moveWithCells="1">
                  <from>
                    <xdr:col>0</xdr:col>
                    <xdr:colOff>276225</xdr:colOff>
                    <xdr:row>212</xdr:row>
                    <xdr:rowOff>9525</xdr:rowOff>
                  </from>
                  <to>
                    <xdr:col>3</xdr:col>
                    <xdr:colOff>19050</xdr:colOff>
                    <xdr:row>212</xdr:row>
                    <xdr:rowOff>485775</xdr:rowOff>
                  </to>
                </anchor>
              </controlPr>
            </control>
          </mc:Choice>
        </mc:AlternateContent>
        <mc:AlternateContent xmlns:mc="http://schemas.openxmlformats.org/markup-compatibility/2006">
          <mc:Choice Requires="x14">
            <control shapeId="1237" r:id="rId215" name="Check Box 213">
              <controlPr defaultSize="0" autoFill="0" autoLine="0" autoPict="0">
                <anchor moveWithCells="1">
                  <from>
                    <xdr:col>0</xdr:col>
                    <xdr:colOff>276225</xdr:colOff>
                    <xdr:row>213</xdr:row>
                    <xdr:rowOff>9525</xdr:rowOff>
                  </from>
                  <to>
                    <xdr:col>3</xdr:col>
                    <xdr:colOff>19050</xdr:colOff>
                    <xdr:row>213</xdr:row>
                    <xdr:rowOff>485775</xdr:rowOff>
                  </to>
                </anchor>
              </controlPr>
            </control>
          </mc:Choice>
        </mc:AlternateContent>
        <mc:AlternateContent xmlns:mc="http://schemas.openxmlformats.org/markup-compatibility/2006">
          <mc:Choice Requires="x14">
            <control shapeId="1238" r:id="rId216" name="Check Box 214">
              <controlPr defaultSize="0" autoFill="0" autoLine="0" autoPict="0">
                <anchor moveWithCells="1">
                  <from>
                    <xdr:col>0</xdr:col>
                    <xdr:colOff>276225</xdr:colOff>
                    <xdr:row>214</xdr:row>
                    <xdr:rowOff>9525</xdr:rowOff>
                  </from>
                  <to>
                    <xdr:col>3</xdr:col>
                    <xdr:colOff>19050</xdr:colOff>
                    <xdr:row>214</xdr:row>
                    <xdr:rowOff>485775</xdr:rowOff>
                  </to>
                </anchor>
              </controlPr>
            </control>
          </mc:Choice>
        </mc:AlternateContent>
        <mc:AlternateContent xmlns:mc="http://schemas.openxmlformats.org/markup-compatibility/2006">
          <mc:Choice Requires="x14">
            <control shapeId="1239" r:id="rId217" name="Check Box 215">
              <controlPr defaultSize="0" autoFill="0" autoLine="0" autoPict="0">
                <anchor moveWithCells="1">
                  <from>
                    <xdr:col>0</xdr:col>
                    <xdr:colOff>276225</xdr:colOff>
                    <xdr:row>215</xdr:row>
                    <xdr:rowOff>9525</xdr:rowOff>
                  </from>
                  <to>
                    <xdr:col>3</xdr:col>
                    <xdr:colOff>19050</xdr:colOff>
                    <xdr:row>215</xdr:row>
                    <xdr:rowOff>485775</xdr:rowOff>
                  </to>
                </anchor>
              </controlPr>
            </control>
          </mc:Choice>
        </mc:AlternateContent>
        <mc:AlternateContent xmlns:mc="http://schemas.openxmlformats.org/markup-compatibility/2006">
          <mc:Choice Requires="x14">
            <control shapeId="1240" r:id="rId218" name="Check Box 216">
              <controlPr defaultSize="0" autoFill="0" autoLine="0" autoPict="0">
                <anchor moveWithCells="1">
                  <from>
                    <xdr:col>0</xdr:col>
                    <xdr:colOff>276225</xdr:colOff>
                    <xdr:row>216</xdr:row>
                    <xdr:rowOff>9525</xdr:rowOff>
                  </from>
                  <to>
                    <xdr:col>3</xdr:col>
                    <xdr:colOff>19050</xdr:colOff>
                    <xdr:row>216</xdr:row>
                    <xdr:rowOff>485775</xdr:rowOff>
                  </to>
                </anchor>
              </controlPr>
            </control>
          </mc:Choice>
        </mc:AlternateContent>
        <mc:AlternateContent xmlns:mc="http://schemas.openxmlformats.org/markup-compatibility/2006">
          <mc:Choice Requires="x14">
            <control shapeId="1241" r:id="rId219" name="Check Box 217">
              <controlPr defaultSize="0" autoFill="0" autoLine="0" autoPict="0">
                <anchor moveWithCells="1">
                  <from>
                    <xdr:col>0</xdr:col>
                    <xdr:colOff>276225</xdr:colOff>
                    <xdr:row>217</xdr:row>
                    <xdr:rowOff>9525</xdr:rowOff>
                  </from>
                  <to>
                    <xdr:col>3</xdr:col>
                    <xdr:colOff>19050</xdr:colOff>
                    <xdr:row>217</xdr:row>
                    <xdr:rowOff>485775</xdr:rowOff>
                  </to>
                </anchor>
              </controlPr>
            </control>
          </mc:Choice>
        </mc:AlternateContent>
        <mc:AlternateContent xmlns:mc="http://schemas.openxmlformats.org/markup-compatibility/2006">
          <mc:Choice Requires="x14">
            <control shapeId="1242" r:id="rId220" name="Check Box 218">
              <controlPr defaultSize="0" autoFill="0" autoLine="0" autoPict="0">
                <anchor moveWithCells="1">
                  <from>
                    <xdr:col>0</xdr:col>
                    <xdr:colOff>276225</xdr:colOff>
                    <xdr:row>218</xdr:row>
                    <xdr:rowOff>9525</xdr:rowOff>
                  </from>
                  <to>
                    <xdr:col>3</xdr:col>
                    <xdr:colOff>19050</xdr:colOff>
                    <xdr:row>218</xdr:row>
                    <xdr:rowOff>485775</xdr:rowOff>
                  </to>
                </anchor>
              </controlPr>
            </control>
          </mc:Choice>
        </mc:AlternateContent>
        <mc:AlternateContent xmlns:mc="http://schemas.openxmlformats.org/markup-compatibility/2006">
          <mc:Choice Requires="x14">
            <control shapeId="1243" r:id="rId221" name="Check Box 219">
              <controlPr defaultSize="0" autoFill="0" autoLine="0" autoPict="0">
                <anchor moveWithCells="1">
                  <from>
                    <xdr:col>0</xdr:col>
                    <xdr:colOff>276225</xdr:colOff>
                    <xdr:row>219</xdr:row>
                    <xdr:rowOff>9525</xdr:rowOff>
                  </from>
                  <to>
                    <xdr:col>3</xdr:col>
                    <xdr:colOff>19050</xdr:colOff>
                    <xdr:row>219</xdr:row>
                    <xdr:rowOff>485775</xdr:rowOff>
                  </to>
                </anchor>
              </controlPr>
            </control>
          </mc:Choice>
        </mc:AlternateContent>
        <mc:AlternateContent xmlns:mc="http://schemas.openxmlformats.org/markup-compatibility/2006">
          <mc:Choice Requires="x14">
            <control shapeId="1244" r:id="rId222" name="Check Box 220">
              <controlPr defaultSize="0" autoFill="0" autoLine="0" autoPict="0">
                <anchor moveWithCells="1">
                  <from>
                    <xdr:col>0</xdr:col>
                    <xdr:colOff>276225</xdr:colOff>
                    <xdr:row>220</xdr:row>
                    <xdr:rowOff>9525</xdr:rowOff>
                  </from>
                  <to>
                    <xdr:col>3</xdr:col>
                    <xdr:colOff>19050</xdr:colOff>
                    <xdr:row>220</xdr:row>
                    <xdr:rowOff>485775</xdr:rowOff>
                  </to>
                </anchor>
              </controlPr>
            </control>
          </mc:Choice>
        </mc:AlternateContent>
        <mc:AlternateContent xmlns:mc="http://schemas.openxmlformats.org/markup-compatibility/2006">
          <mc:Choice Requires="x14">
            <control shapeId="1245" r:id="rId223" name="Check Box 221">
              <controlPr defaultSize="0" autoFill="0" autoLine="0" autoPict="0">
                <anchor moveWithCells="1">
                  <from>
                    <xdr:col>0</xdr:col>
                    <xdr:colOff>276225</xdr:colOff>
                    <xdr:row>221</xdr:row>
                    <xdr:rowOff>9525</xdr:rowOff>
                  </from>
                  <to>
                    <xdr:col>3</xdr:col>
                    <xdr:colOff>19050</xdr:colOff>
                    <xdr:row>221</xdr:row>
                    <xdr:rowOff>485775</xdr:rowOff>
                  </to>
                </anchor>
              </controlPr>
            </control>
          </mc:Choice>
        </mc:AlternateContent>
        <mc:AlternateContent xmlns:mc="http://schemas.openxmlformats.org/markup-compatibility/2006">
          <mc:Choice Requires="x14">
            <control shapeId="1246" r:id="rId224" name="Check Box 222">
              <controlPr defaultSize="0" autoFill="0" autoLine="0" autoPict="0">
                <anchor moveWithCells="1">
                  <from>
                    <xdr:col>0</xdr:col>
                    <xdr:colOff>276225</xdr:colOff>
                    <xdr:row>222</xdr:row>
                    <xdr:rowOff>9525</xdr:rowOff>
                  </from>
                  <to>
                    <xdr:col>3</xdr:col>
                    <xdr:colOff>19050</xdr:colOff>
                    <xdr:row>222</xdr:row>
                    <xdr:rowOff>485775</xdr:rowOff>
                  </to>
                </anchor>
              </controlPr>
            </control>
          </mc:Choice>
        </mc:AlternateContent>
        <mc:AlternateContent xmlns:mc="http://schemas.openxmlformats.org/markup-compatibility/2006">
          <mc:Choice Requires="x14">
            <control shapeId="1247" r:id="rId225" name="Check Box 223">
              <controlPr defaultSize="0" autoFill="0" autoLine="0" autoPict="0">
                <anchor moveWithCells="1">
                  <from>
                    <xdr:col>0</xdr:col>
                    <xdr:colOff>276225</xdr:colOff>
                    <xdr:row>223</xdr:row>
                    <xdr:rowOff>9525</xdr:rowOff>
                  </from>
                  <to>
                    <xdr:col>3</xdr:col>
                    <xdr:colOff>19050</xdr:colOff>
                    <xdr:row>223</xdr:row>
                    <xdr:rowOff>485775</xdr:rowOff>
                  </to>
                </anchor>
              </controlPr>
            </control>
          </mc:Choice>
        </mc:AlternateContent>
        <mc:AlternateContent xmlns:mc="http://schemas.openxmlformats.org/markup-compatibility/2006">
          <mc:Choice Requires="x14">
            <control shapeId="1248" r:id="rId226" name="Check Box 224">
              <controlPr defaultSize="0" autoFill="0" autoLine="0" autoPict="0">
                <anchor moveWithCells="1">
                  <from>
                    <xdr:col>0</xdr:col>
                    <xdr:colOff>276225</xdr:colOff>
                    <xdr:row>224</xdr:row>
                    <xdr:rowOff>9525</xdr:rowOff>
                  </from>
                  <to>
                    <xdr:col>3</xdr:col>
                    <xdr:colOff>19050</xdr:colOff>
                    <xdr:row>224</xdr:row>
                    <xdr:rowOff>485775</xdr:rowOff>
                  </to>
                </anchor>
              </controlPr>
            </control>
          </mc:Choice>
        </mc:AlternateContent>
        <mc:AlternateContent xmlns:mc="http://schemas.openxmlformats.org/markup-compatibility/2006">
          <mc:Choice Requires="x14">
            <control shapeId="1249" r:id="rId227" name="Check Box 225">
              <controlPr defaultSize="0" autoFill="0" autoLine="0" autoPict="0">
                <anchor moveWithCells="1">
                  <from>
                    <xdr:col>0</xdr:col>
                    <xdr:colOff>276225</xdr:colOff>
                    <xdr:row>225</xdr:row>
                    <xdr:rowOff>9525</xdr:rowOff>
                  </from>
                  <to>
                    <xdr:col>3</xdr:col>
                    <xdr:colOff>19050</xdr:colOff>
                    <xdr:row>225</xdr:row>
                    <xdr:rowOff>485775</xdr:rowOff>
                  </to>
                </anchor>
              </controlPr>
            </control>
          </mc:Choice>
        </mc:AlternateContent>
        <mc:AlternateContent xmlns:mc="http://schemas.openxmlformats.org/markup-compatibility/2006">
          <mc:Choice Requires="x14">
            <control shapeId="1250" r:id="rId228" name="Check Box 226">
              <controlPr defaultSize="0" autoFill="0" autoLine="0" autoPict="0">
                <anchor moveWithCells="1">
                  <from>
                    <xdr:col>0</xdr:col>
                    <xdr:colOff>276225</xdr:colOff>
                    <xdr:row>226</xdr:row>
                    <xdr:rowOff>9525</xdr:rowOff>
                  </from>
                  <to>
                    <xdr:col>3</xdr:col>
                    <xdr:colOff>19050</xdr:colOff>
                    <xdr:row>226</xdr:row>
                    <xdr:rowOff>485775</xdr:rowOff>
                  </to>
                </anchor>
              </controlPr>
            </control>
          </mc:Choice>
        </mc:AlternateContent>
        <mc:AlternateContent xmlns:mc="http://schemas.openxmlformats.org/markup-compatibility/2006">
          <mc:Choice Requires="x14">
            <control shapeId="1251" r:id="rId229" name="Check Box 227">
              <controlPr defaultSize="0" autoFill="0" autoLine="0" autoPict="0">
                <anchor moveWithCells="1">
                  <from>
                    <xdr:col>0</xdr:col>
                    <xdr:colOff>276225</xdr:colOff>
                    <xdr:row>227</xdr:row>
                    <xdr:rowOff>9525</xdr:rowOff>
                  </from>
                  <to>
                    <xdr:col>3</xdr:col>
                    <xdr:colOff>19050</xdr:colOff>
                    <xdr:row>227</xdr:row>
                    <xdr:rowOff>485775</xdr:rowOff>
                  </to>
                </anchor>
              </controlPr>
            </control>
          </mc:Choice>
        </mc:AlternateContent>
        <mc:AlternateContent xmlns:mc="http://schemas.openxmlformats.org/markup-compatibility/2006">
          <mc:Choice Requires="x14">
            <control shapeId="1252" r:id="rId230" name="Check Box 228">
              <controlPr defaultSize="0" autoFill="0" autoLine="0" autoPict="0">
                <anchor moveWithCells="1">
                  <from>
                    <xdr:col>0</xdr:col>
                    <xdr:colOff>276225</xdr:colOff>
                    <xdr:row>228</xdr:row>
                    <xdr:rowOff>9525</xdr:rowOff>
                  </from>
                  <to>
                    <xdr:col>3</xdr:col>
                    <xdr:colOff>19050</xdr:colOff>
                    <xdr:row>228</xdr:row>
                    <xdr:rowOff>485775</xdr:rowOff>
                  </to>
                </anchor>
              </controlPr>
            </control>
          </mc:Choice>
        </mc:AlternateContent>
        <mc:AlternateContent xmlns:mc="http://schemas.openxmlformats.org/markup-compatibility/2006">
          <mc:Choice Requires="x14">
            <control shapeId="1253" r:id="rId231" name="Check Box 229">
              <controlPr defaultSize="0" autoFill="0" autoLine="0" autoPict="0">
                <anchor moveWithCells="1">
                  <from>
                    <xdr:col>0</xdr:col>
                    <xdr:colOff>276225</xdr:colOff>
                    <xdr:row>229</xdr:row>
                    <xdr:rowOff>9525</xdr:rowOff>
                  </from>
                  <to>
                    <xdr:col>3</xdr:col>
                    <xdr:colOff>19050</xdr:colOff>
                    <xdr:row>229</xdr:row>
                    <xdr:rowOff>485775</xdr:rowOff>
                  </to>
                </anchor>
              </controlPr>
            </control>
          </mc:Choice>
        </mc:AlternateContent>
        <mc:AlternateContent xmlns:mc="http://schemas.openxmlformats.org/markup-compatibility/2006">
          <mc:Choice Requires="x14">
            <control shapeId="1254" r:id="rId232" name="Check Box 230">
              <controlPr defaultSize="0" autoFill="0" autoLine="0" autoPict="0">
                <anchor moveWithCells="1">
                  <from>
                    <xdr:col>0</xdr:col>
                    <xdr:colOff>276225</xdr:colOff>
                    <xdr:row>230</xdr:row>
                    <xdr:rowOff>9525</xdr:rowOff>
                  </from>
                  <to>
                    <xdr:col>3</xdr:col>
                    <xdr:colOff>19050</xdr:colOff>
                    <xdr:row>230</xdr:row>
                    <xdr:rowOff>485775</xdr:rowOff>
                  </to>
                </anchor>
              </controlPr>
            </control>
          </mc:Choice>
        </mc:AlternateContent>
        <mc:AlternateContent xmlns:mc="http://schemas.openxmlformats.org/markup-compatibility/2006">
          <mc:Choice Requires="x14">
            <control shapeId="1255" r:id="rId233" name="Check Box 231">
              <controlPr defaultSize="0" autoFill="0" autoLine="0" autoPict="0">
                <anchor moveWithCells="1">
                  <from>
                    <xdr:col>0</xdr:col>
                    <xdr:colOff>276225</xdr:colOff>
                    <xdr:row>231</xdr:row>
                    <xdr:rowOff>9525</xdr:rowOff>
                  </from>
                  <to>
                    <xdr:col>3</xdr:col>
                    <xdr:colOff>19050</xdr:colOff>
                    <xdr:row>231</xdr:row>
                    <xdr:rowOff>485775</xdr:rowOff>
                  </to>
                </anchor>
              </controlPr>
            </control>
          </mc:Choice>
        </mc:AlternateContent>
        <mc:AlternateContent xmlns:mc="http://schemas.openxmlformats.org/markup-compatibility/2006">
          <mc:Choice Requires="x14">
            <control shapeId="1256" r:id="rId234" name="Check Box 232">
              <controlPr defaultSize="0" autoFill="0" autoLine="0" autoPict="0">
                <anchor moveWithCells="1">
                  <from>
                    <xdr:col>0</xdr:col>
                    <xdr:colOff>276225</xdr:colOff>
                    <xdr:row>232</xdr:row>
                    <xdr:rowOff>9525</xdr:rowOff>
                  </from>
                  <to>
                    <xdr:col>3</xdr:col>
                    <xdr:colOff>19050</xdr:colOff>
                    <xdr:row>232</xdr:row>
                    <xdr:rowOff>485775</xdr:rowOff>
                  </to>
                </anchor>
              </controlPr>
            </control>
          </mc:Choice>
        </mc:AlternateContent>
        <mc:AlternateContent xmlns:mc="http://schemas.openxmlformats.org/markup-compatibility/2006">
          <mc:Choice Requires="x14">
            <control shapeId="1257" r:id="rId235" name="Check Box 233">
              <controlPr defaultSize="0" autoFill="0" autoLine="0" autoPict="0">
                <anchor moveWithCells="1">
                  <from>
                    <xdr:col>0</xdr:col>
                    <xdr:colOff>276225</xdr:colOff>
                    <xdr:row>233</xdr:row>
                    <xdr:rowOff>9525</xdr:rowOff>
                  </from>
                  <to>
                    <xdr:col>3</xdr:col>
                    <xdr:colOff>19050</xdr:colOff>
                    <xdr:row>233</xdr:row>
                    <xdr:rowOff>485775</xdr:rowOff>
                  </to>
                </anchor>
              </controlPr>
            </control>
          </mc:Choice>
        </mc:AlternateContent>
        <mc:AlternateContent xmlns:mc="http://schemas.openxmlformats.org/markup-compatibility/2006">
          <mc:Choice Requires="x14">
            <control shapeId="1258" r:id="rId236" name="Check Box 234">
              <controlPr defaultSize="0" autoFill="0" autoLine="0" autoPict="0">
                <anchor moveWithCells="1">
                  <from>
                    <xdr:col>0</xdr:col>
                    <xdr:colOff>276225</xdr:colOff>
                    <xdr:row>234</xdr:row>
                    <xdr:rowOff>9525</xdr:rowOff>
                  </from>
                  <to>
                    <xdr:col>3</xdr:col>
                    <xdr:colOff>19050</xdr:colOff>
                    <xdr:row>234</xdr:row>
                    <xdr:rowOff>485775</xdr:rowOff>
                  </to>
                </anchor>
              </controlPr>
            </control>
          </mc:Choice>
        </mc:AlternateContent>
        <mc:AlternateContent xmlns:mc="http://schemas.openxmlformats.org/markup-compatibility/2006">
          <mc:Choice Requires="x14">
            <control shapeId="1259" r:id="rId237" name="Check Box 235">
              <controlPr defaultSize="0" autoFill="0" autoLine="0" autoPict="0">
                <anchor moveWithCells="1">
                  <from>
                    <xdr:col>0</xdr:col>
                    <xdr:colOff>276225</xdr:colOff>
                    <xdr:row>235</xdr:row>
                    <xdr:rowOff>9525</xdr:rowOff>
                  </from>
                  <to>
                    <xdr:col>3</xdr:col>
                    <xdr:colOff>19050</xdr:colOff>
                    <xdr:row>235</xdr:row>
                    <xdr:rowOff>485775</xdr:rowOff>
                  </to>
                </anchor>
              </controlPr>
            </control>
          </mc:Choice>
        </mc:AlternateContent>
        <mc:AlternateContent xmlns:mc="http://schemas.openxmlformats.org/markup-compatibility/2006">
          <mc:Choice Requires="x14">
            <control shapeId="1260" r:id="rId238" name="Check Box 236">
              <controlPr defaultSize="0" autoFill="0" autoLine="0" autoPict="0">
                <anchor moveWithCells="1">
                  <from>
                    <xdr:col>0</xdr:col>
                    <xdr:colOff>276225</xdr:colOff>
                    <xdr:row>236</xdr:row>
                    <xdr:rowOff>9525</xdr:rowOff>
                  </from>
                  <to>
                    <xdr:col>3</xdr:col>
                    <xdr:colOff>19050</xdr:colOff>
                    <xdr:row>236</xdr:row>
                    <xdr:rowOff>485775</xdr:rowOff>
                  </to>
                </anchor>
              </controlPr>
            </control>
          </mc:Choice>
        </mc:AlternateContent>
        <mc:AlternateContent xmlns:mc="http://schemas.openxmlformats.org/markup-compatibility/2006">
          <mc:Choice Requires="x14">
            <control shapeId="1261" r:id="rId239" name="Check Box 237">
              <controlPr defaultSize="0" autoFill="0" autoLine="0" autoPict="0">
                <anchor moveWithCells="1">
                  <from>
                    <xdr:col>0</xdr:col>
                    <xdr:colOff>276225</xdr:colOff>
                    <xdr:row>237</xdr:row>
                    <xdr:rowOff>9525</xdr:rowOff>
                  </from>
                  <to>
                    <xdr:col>3</xdr:col>
                    <xdr:colOff>19050</xdr:colOff>
                    <xdr:row>237</xdr:row>
                    <xdr:rowOff>485775</xdr:rowOff>
                  </to>
                </anchor>
              </controlPr>
            </control>
          </mc:Choice>
        </mc:AlternateContent>
        <mc:AlternateContent xmlns:mc="http://schemas.openxmlformats.org/markup-compatibility/2006">
          <mc:Choice Requires="x14">
            <control shapeId="1262" r:id="rId240" name="Check Box 238">
              <controlPr defaultSize="0" autoFill="0" autoLine="0" autoPict="0">
                <anchor moveWithCells="1">
                  <from>
                    <xdr:col>0</xdr:col>
                    <xdr:colOff>276225</xdr:colOff>
                    <xdr:row>238</xdr:row>
                    <xdr:rowOff>9525</xdr:rowOff>
                  </from>
                  <to>
                    <xdr:col>3</xdr:col>
                    <xdr:colOff>19050</xdr:colOff>
                    <xdr:row>238</xdr:row>
                    <xdr:rowOff>485775</xdr:rowOff>
                  </to>
                </anchor>
              </controlPr>
            </control>
          </mc:Choice>
        </mc:AlternateContent>
        <mc:AlternateContent xmlns:mc="http://schemas.openxmlformats.org/markup-compatibility/2006">
          <mc:Choice Requires="x14">
            <control shapeId="1263" r:id="rId241" name="Check Box 239">
              <controlPr defaultSize="0" autoFill="0" autoLine="0" autoPict="0">
                <anchor moveWithCells="1">
                  <from>
                    <xdr:col>0</xdr:col>
                    <xdr:colOff>276225</xdr:colOff>
                    <xdr:row>239</xdr:row>
                    <xdr:rowOff>9525</xdr:rowOff>
                  </from>
                  <to>
                    <xdr:col>3</xdr:col>
                    <xdr:colOff>19050</xdr:colOff>
                    <xdr:row>239</xdr:row>
                    <xdr:rowOff>485775</xdr:rowOff>
                  </to>
                </anchor>
              </controlPr>
            </control>
          </mc:Choice>
        </mc:AlternateContent>
        <mc:AlternateContent xmlns:mc="http://schemas.openxmlformats.org/markup-compatibility/2006">
          <mc:Choice Requires="x14">
            <control shapeId="1264" r:id="rId242" name="Check Box 240">
              <controlPr defaultSize="0" autoFill="0" autoLine="0" autoPict="0">
                <anchor moveWithCells="1">
                  <from>
                    <xdr:col>0</xdr:col>
                    <xdr:colOff>276225</xdr:colOff>
                    <xdr:row>240</xdr:row>
                    <xdr:rowOff>9525</xdr:rowOff>
                  </from>
                  <to>
                    <xdr:col>3</xdr:col>
                    <xdr:colOff>19050</xdr:colOff>
                    <xdr:row>240</xdr:row>
                    <xdr:rowOff>485775</xdr:rowOff>
                  </to>
                </anchor>
              </controlPr>
            </control>
          </mc:Choice>
        </mc:AlternateContent>
        <mc:AlternateContent xmlns:mc="http://schemas.openxmlformats.org/markup-compatibility/2006">
          <mc:Choice Requires="x14">
            <control shapeId="1265" r:id="rId243" name="Check Box 241">
              <controlPr defaultSize="0" autoFill="0" autoLine="0" autoPict="0">
                <anchor moveWithCells="1">
                  <from>
                    <xdr:col>0</xdr:col>
                    <xdr:colOff>276225</xdr:colOff>
                    <xdr:row>241</xdr:row>
                    <xdr:rowOff>9525</xdr:rowOff>
                  </from>
                  <to>
                    <xdr:col>3</xdr:col>
                    <xdr:colOff>19050</xdr:colOff>
                    <xdr:row>241</xdr:row>
                    <xdr:rowOff>485775</xdr:rowOff>
                  </to>
                </anchor>
              </controlPr>
            </control>
          </mc:Choice>
        </mc:AlternateContent>
        <mc:AlternateContent xmlns:mc="http://schemas.openxmlformats.org/markup-compatibility/2006">
          <mc:Choice Requires="x14">
            <control shapeId="1266" r:id="rId244" name="Check Box 242">
              <controlPr defaultSize="0" autoFill="0" autoLine="0" autoPict="0">
                <anchor moveWithCells="1">
                  <from>
                    <xdr:col>0</xdr:col>
                    <xdr:colOff>276225</xdr:colOff>
                    <xdr:row>242</xdr:row>
                    <xdr:rowOff>9525</xdr:rowOff>
                  </from>
                  <to>
                    <xdr:col>3</xdr:col>
                    <xdr:colOff>19050</xdr:colOff>
                    <xdr:row>242</xdr:row>
                    <xdr:rowOff>485775</xdr:rowOff>
                  </to>
                </anchor>
              </controlPr>
            </control>
          </mc:Choice>
        </mc:AlternateContent>
        <mc:AlternateContent xmlns:mc="http://schemas.openxmlformats.org/markup-compatibility/2006">
          <mc:Choice Requires="x14">
            <control shapeId="1267" r:id="rId245" name="Check Box 243">
              <controlPr defaultSize="0" autoFill="0" autoLine="0" autoPict="0">
                <anchor moveWithCells="1">
                  <from>
                    <xdr:col>0</xdr:col>
                    <xdr:colOff>276225</xdr:colOff>
                    <xdr:row>243</xdr:row>
                    <xdr:rowOff>9525</xdr:rowOff>
                  </from>
                  <to>
                    <xdr:col>3</xdr:col>
                    <xdr:colOff>19050</xdr:colOff>
                    <xdr:row>243</xdr:row>
                    <xdr:rowOff>485775</xdr:rowOff>
                  </to>
                </anchor>
              </controlPr>
            </control>
          </mc:Choice>
        </mc:AlternateContent>
        <mc:AlternateContent xmlns:mc="http://schemas.openxmlformats.org/markup-compatibility/2006">
          <mc:Choice Requires="x14">
            <control shapeId="1268" r:id="rId246" name="Check Box 244">
              <controlPr defaultSize="0" autoFill="0" autoLine="0" autoPict="0">
                <anchor moveWithCells="1">
                  <from>
                    <xdr:col>0</xdr:col>
                    <xdr:colOff>276225</xdr:colOff>
                    <xdr:row>244</xdr:row>
                    <xdr:rowOff>9525</xdr:rowOff>
                  </from>
                  <to>
                    <xdr:col>3</xdr:col>
                    <xdr:colOff>19050</xdr:colOff>
                    <xdr:row>244</xdr:row>
                    <xdr:rowOff>485775</xdr:rowOff>
                  </to>
                </anchor>
              </controlPr>
            </control>
          </mc:Choice>
        </mc:AlternateContent>
        <mc:AlternateContent xmlns:mc="http://schemas.openxmlformats.org/markup-compatibility/2006">
          <mc:Choice Requires="x14">
            <control shapeId="1269" r:id="rId247" name="Check Box 245">
              <controlPr defaultSize="0" autoFill="0" autoLine="0" autoPict="0">
                <anchor moveWithCells="1">
                  <from>
                    <xdr:col>0</xdr:col>
                    <xdr:colOff>276225</xdr:colOff>
                    <xdr:row>245</xdr:row>
                    <xdr:rowOff>9525</xdr:rowOff>
                  </from>
                  <to>
                    <xdr:col>3</xdr:col>
                    <xdr:colOff>19050</xdr:colOff>
                    <xdr:row>245</xdr:row>
                    <xdr:rowOff>485775</xdr:rowOff>
                  </to>
                </anchor>
              </controlPr>
            </control>
          </mc:Choice>
        </mc:AlternateContent>
        <mc:AlternateContent xmlns:mc="http://schemas.openxmlformats.org/markup-compatibility/2006">
          <mc:Choice Requires="x14">
            <control shapeId="1270" r:id="rId248" name="Check Box 246">
              <controlPr defaultSize="0" autoFill="0" autoLine="0" autoPict="0">
                <anchor moveWithCells="1">
                  <from>
                    <xdr:col>0</xdr:col>
                    <xdr:colOff>276225</xdr:colOff>
                    <xdr:row>246</xdr:row>
                    <xdr:rowOff>9525</xdr:rowOff>
                  </from>
                  <to>
                    <xdr:col>3</xdr:col>
                    <xdr:colOff>19050</xdr:colOff>
                    <xdr:row>246</xdr:row>
                    <xdr:rowOff>485775</xdr:rowOff>
                  </to>
                </anchor>
              </controlPr>
            </control>
          </mc:Choice>
        </mc:AlternateContent>
        <mc:AlternateContent xmlns:mc="http://schemas.openxmlformats.org/markup-compatibility/2006">
          <mc:Choice Requires="x14">
            <control shapeId="1271" r:id="rId249" name="Check Box 247">
              <controlPr defaultSize="0" autoFill="0" autoLine="0" autoPict="0">
                <anchor moveWithCells="1">
                  <from>
                    <xdr:col>0</xdr:col>
                    <xdr:colOff>276225</xdr:colOff>
                    <xdr:row>247</xdr:row>
                    <xdr:rowOff>9525</xdr:rowOff>
                  </from>
                  <to>
                    <xdr:col>3</xdr:col>
                    <xdr:colOff>19050</xdr:colOff>
                    <xdr:row>247</xdr:row>
                    <xdr:rowOff>485775</xdr:rowOff>
                  </to>
                </anchor>
              </controlPr>
            </control>
          </mc:Choice>
        </mc:AlternateContent>
        <mc:AlternateContent xmlns:mc="http://schemas.openxmlformats.org/markup-compatibility/2006">
          <mc:Choice Requires="x14">
            <control shapeId="1272" r:id="rId250" name="Check Box 248">
              <controlPr defaultSize="0" autoFill="0" autoLine="0" autoPict="0">
                <anchor moveWithCells="1">
                  <from>
                    <xdr:col>0</xdr:col>
                    <xdr:colOff>276225</xdr:colOff>
                    <xdr:row>248</xdr:row>
                    <xdr:rowOff>9525</xdr:rowOff>
                  </from>
                  <to>
                    <xdr:col>3</xdr:col>
                    <xdr:colOff>19050</xdr:colOff>
                    <xdr:row>248</xdr:row>
                    <xdr:rowOff>485775</xdr:rowOff>
                  </to>
                </anchor>
              </controlPr>
            </control>
          </mc:Choice>
        </mc:AlternateContent>
        <mc:AlternateContent xmlns:mc="http://schemas.openxmlformats.org/markup-compatibility/2006">
          <mc:Choice Requires="x14">
            <control shapeId="1273" r:id="rId251" name="Check Box 249">
              <controlPr defaultSize="0" autoFill="0" autoLine="0" autoPict="0">
                <anchor moveWithCells="1">
                  <from>
                    <xdr:col>0</xdr:col>
                    <xdr:colOff>276225</xdr:colOff>
                    <xdr:row>249</xdr:row>
                    <xdr:rowOff>9525</xdr:rowOff>
                  </from>
                  <to>
                    <xdr:col>3</xdr:col>
                    <xdr:colOff>19050</xdr:colOff>
                    <xdr:row>249</xdr:row>
                    <xdr:rowOff>485775</xdr:rowOff>
                  </to>
                </anchor>
              </controlPr>
            </control>
          </mc:Choice>
        </mc:AlternateContent>
        <mc:AlternateContent xmlns:mc="http://schemas.openxmlformats.org/markup-compatibility/2006">
          <mc:Choice Requires="x14">
            <control shapeId="1274" r:id="rId252" name="Check Box 250">
              <controlPr defaultSize="0" autoFill="0" autoLine="0" autoPict="0">
                <anchor moveWithCells="1">
                  <from>
                    <xdr:col>0</xdr:col>
                    <xdr:colOff>276225</xdr:colOff>
                    <xdr:row>250</xdr:row>
                    <xdr:rowOff>9525</xdr:rowOff>
                  </from>
                  <to>
                    <xdr:col>3</xdr:col>
                    <xdr:colOff>19050</xdr:colOff>
                    <xdr:row>250</xdr:row>
                    <xdr:rowOff>485775</xdr:rowOff>
                  </to>
                </anchor>
              </controlPr>
            </control>
          </mc:Choice>
        </mc:AlternateContent>
        <mc:AlternateContent xmlns:mc="http://schemas.openxmlformats.org/markup-compatibility/2006">
          <mc:Choice Requires="x14">
            <control shapeId="1275" r:id="rId253" name="Check Box 251">
              <controlPr defaultSize="0" autoFill="0" autoLine="0" autoPict="0">
                <anchor moveWithCells="1">
                  <from>
                    <xdr:col>0</xdr:col>
                    <xdr:colOff>276225</xdr:colOff>
                    <xdr:row>251</xdr:row>
                    <xdr:rowOff>9525</xdr:rowOff>
                  </from>
                  <to>
                    <xdr:col>3</xdr:col>
                    <xdr:colOff>19050</xdr:colOff>
                    <xdr:row>251</xdr:row>
                    <xdr:rowOff>485775</xdr:rowOff>
                  </to>
                </anchor>
              </controlPr>
            </control>
          </mc:Choice>
        </mc:AlternateContent>
        <mc:AlternateContent xmlns:mc="http://schemas.openxmlformats.org/markup-compatibility/2006">
          <mc:Choice Requires="x14">
            <control shapeId="1276" r:id="rId254" name="Check Box 252">
              <controlPr defaultSize="0" autoFill="0" autoLine="0" autoPict="0">
                <anchor moveWithCells="1">
                  <from>
                    <xdr:col>0</xdr:col>
                    <xdr:colOff>276225</xdr:colOff>
                    <xdr:row>252</xdr:row>
                    <xdr:rowOff>9525</xdr:rowOff>
                  </from>
                  <to>
                    <xdr:col>3</xdr:col>
                    <xdr:colOff>19050</xdr:colOff>
                    <xdr:row>252</xdr:row>
                    <xdr:rowOff>485775</xdr:rowOff>
                  </to>
                </anchor>
              </controlPr>
            </control>
          </mc:Choice>
        </mc:AlternateContent>
        <mc:AlternateContent xmlns:mc="http://schemas.openxmlformats.org/markup-compatibility/2006">
          <mc:Choice Requires="x14">
            <control shapeId="1277" r:id="rId255" name="Check Box 253">
              <controlPr defaultSize="0" autoFill="0" autoLine="0" autoPict="0">
                <anchor moveWithCells="1">
                  <from>
                    <xdr:col>0</xdr:col>
                    <xdr:colOff>276225</xdr:colOff>
                    <xdr:row>253</xdr:row>
                    <xdr:rowOff>9525</xdr:rowOff>
                  </from>
                  <to>
                    <xdr:col>3</xdr:col>
                    <xdr:colOff>19050</xdr:colOff>
                    <xdr:row>253</xdr:row>
                    <xdr:rowOff>485775</xdr:rowOff>
                  </to>
                </anchor>
              </controlPr>
            </control>
          </mc:Choice>
        </mc:AlternateContent>
        <mc:AlternateContent xmlns:mc="http://schemas.openxmlformats.org/markup-compatibility/2006">
          <mc:Choice Requires="x14">
            <control shapeId="1278" r:id="rId256" name="Check Box 254">
              <controlPr defaultSize="0" autoFill="0" autoLine="0" autoPict="0">
                <anchor moveWithCells="1">
                  <from>
                    <xdr:col>0</xdr:col>
                    <xdr:colOff>276225</xdr:colOff>
                    <xdr:row>254</xdr:row>
                    <xdr:rowOff>9525</xdr:rowOff>
                  </from>
                  <to>
                    <xdr:col>3</xdr:col>
                    <xdr:colOff>19050</xdr:colOff>
                    <xdr:row>254</xdr:row>
                    <xdr:rowOff>485775</xdr:rowOff>
                  </to>
                </anchor>
              </controlPr>
            </control>
          </mc:Choice>
        </mc:AlternateContent>
        <mc:AlternateContent xmlns:mc="http://schemas.openxmlformats.org/markup-compatibility/2006">
          <mc:Choice Requires="x14">
            <control shapeId="1279" r:id="rId257" name="Check Box 255">
              <controlPr defaultSize="0" autoFill="0" autoLine="0" autoPict="0">
                <anchor moveWithCells="1">
                  <from>
                    <xdr:col>0</xdr:col>
                    <xdr:colOff>276225</xdr:colOff>
                    <xdr:row>255</xdr:row>
                    <xdr:rowOff>9525</xdr:rowOff>
                  </from>
                  <to>
                    <xdr:col>3</xdr:col>
                    <xdr:colOff>19050</xdr:colOff>
                    <xdr:row>255</xdr:row>
                    <xdr:rowOff>485775</xdr:rowOff>
                  </to>
                </anchor>
              </controlPr>
            </control>
          </mc:Choice>
        </mc:AlternateContent>
        <mc:AlternateContent xmlns:mc="http://schemas.openxmlformats.org/markup-compatibility/2006">
          <mc:Choice Requires="x14">
            <control shapeId="1280" r:id="rId258" name="Check Box 256">
              <controlPr defaultSize="0" autoFill="0" autoLine="0" autoPict="0">
                <anchor moveWithCells="1">
                  <from>
                    <xdr:col>0</xdr:col>
                    <xdr:colOff>276225</xdr:colOff>
                    <xdr:row>256</xdr:row>
                    <xdr:rowOff>9525</xdr:rowOff>
                  </from>
                  <to>
                    <xdr:col>3</xdr:col>
                    <xdr:colOff>19050</xdr:colOff>
                    <xdr:row>256</xdr:row>
                    <xdr:rowOff>485775</xdr:rowOff>
                  </to>
                </anchor>
              </controlPr>
            </control>
          </mc:Choice>
        </mc:AlternateContent>
        <mc:AlternateContent xmlns:mc="http://schemas.openxmlformats.org/markup-compatibility/2006">
          <mc:Choice Requires="x14">
            <control shapeId="1281" r:id="rId259" name="Check Box 257">
              <controlPr defaultSize="0" autoFill="0" autoLine="0" autoPict="0">
                <anchor moveWithCells="1">
                  <from>
                    <xdr:col>0</xdr:col>
                    <xdr:colOff>276225</xdr:colOff>
                    <xdr:row>257</xdr:row>
                    <xdr:rowOff>9525</xdr:rowOff>
                  </from>
                  <to>
                    <xdr:col>3</xdr:col>
                    <xdr:colOff>19050</xdr:colOff>
                    <xdr:row>257</xdr:row>
                    <xdr:rowOff>485775</xdr:rowOff>
                  </to>
                </anchor>
              </controlPr>
            </control>
          </mc:Choice>
        </mc:AlternateContent>
        <mc:AlternateContent xmlns:mc="http://schemas.openxmlformats.org/markup-compatibility/2006">
          <mc:Choice Requires="x14">
            <control shapeId="1282" r:id="rId260" name="Check Box 258">
              <controlPr defaultSize="0" autoFill="0" autoLine="0" autoPict="0">
                <anchor moveWithCells="1">
                  <from>
                    <xdr:col>0</xdr:col>
                    <xdr:colOff>276225</xdr:colOff>
                    <xdr:row>258</xdr:row>
                    <xdr:rowOff>9525</xdr:rowOff>
                  </from>
                  <to>
                    <xdr:col>3</xdr:col>
                    <xdr:colOff>19050</xdr:colOff>
                    <xdr:row>258</xdr:row>
                    <xdr:rowOff>485775</xdr:rowOff>
                  </to>
                </anchor>
              </controlPr>
            </control>
          </mc:Choice>
        </mc:AlternateContent>
        <mc:AlternateContent xmlns:mc="http://schemas.openxmlformats.org/markup-compatibility/2006">
          <mc:Choice Requires="x14">
            <control shapeId="1283" r:id="rId261" name="Check Box 259">
              <controlPr defaultSize="0" autoFill="0" autoLine="0" autoPict="0">
                <anchor moveWithCells="1">
                  <from>
                    <xdr:col>0</xdr:col>
                    <xdr:colOff>276225</xdr:colOff>
                    <xdr:row>259</xdr:row>
                    <xdr:rowOff>9525</xdr:rowOff>
                  </from>
                  <to>
                    <xdr:col>3</xdr:col>
                    <xdr:colOff>19050</xdr:colOff>
                    <xdr:row>259</xdr:row>
                    <xdr:rowOff>485775</xdr:rowOff>
                  </to>
                </anchor>
              </controlPr>
            </control>
          </mc:Choice>
        </mc:AlternateContent>
        <mc:AlternateContent xmlns:mc="http://schemas.openxmlformats.org/markup-compatibility/2006">
          <mc:Choice Requires="x14">
            <control shapeId="1284" r:id="rId262" name="Check Box 260">
              <controlPr defaultSize="0" autoFill="0" autoLine="0" autoPict="0">
                <anchor moveWithCells="1">
                  <from>
                    <xdr:col>0</xdr:col>
                    <xdr:colOff>276225</xdr:colOff>
                    <xdr:row>260</xdr:row>
                    <xdr:rowOff>9525</xdr:rowOff>
                  </from>
                  <to>
                    <xdr:col>3</xdr:col>
                    <xdr:colOff>19050</xdr:colOff>
                    <xdr:row>260</xdr:row>
                    <xdr:rowOff>485775</xdr:rowOff>
                  </to>
                </anchor>
              </controlPr>
            </control>
          </mc:Choice>
        </mc:AlternateContent>
        <mc:AlternateContent xmlns:mc="http://schemas.openxmlformats.org/markup-compatibility/2006">
          <mc:Choice Requires="x14">
            <control shapeId="1285" r:id="rId263" name="Check Box 261">
              <controlPr defaultSize="0" autoFill="0" autoLine="0" autoPict="0">
                <anchor moveWithCells="1">
                  <from>
                    <xdr:col>0</xdr:col>
                    <xdr:colOff>276225</xdr:colOff>
                    <xdr:row>261</xdr:row>
                    <xdr:rowOff>9525</xdr:rowOff>
                  </from>
                  <to>
                    <xdr:col>3</xdr:col>
                    <xdr:colOff>19050</xdr:colOff>
                    <xdr:row>261</xdr:row>
                    <xdr:rowOff>485775</xdr:rowOff>
                  </to>
                </anchor>
              </controlPr>
            </control>
          </mc:Choice>
        </mc:AlternateContent>
        <mc:AlternateContent xmlns:mc="http://schemas.openxmlformats.org/markup-compatibility/2006">
          <mc:Choice Requires="x14">
            <control shapeId="1286" r:id="rId264" name="Check Box 262">
              <controlPr defaultSize="0" autoFill="0" autoLine="0" autoPict="0">
                <anchor moveWithCells="1">
                  <from>
                    <xdr:col>0</xdr:col>
                    <xdr:colOff>276225</xdr:colOff>
                    <xdr:row>262</xdr:row>
                    <xdr:rowOff>9525</xdr:rowOff>
                  </from>
                  <to>
                    <xdr:col>3</xdr:col>
                    <xdr:colOff>19050</xdr:colOff>
                    <xdr:row>262</xdr:row>
                    <xdr:rowOff>485775</xdr:rowOff>
                  </to>
                </anchor>
              </controlPr>
            </control>
          </mc:Choice>
        </mc:AlternateContent>
        <mc:AlternateContent xmlns:mc="http://schemas.openxmlformats.org/markup-compatibility/2006">
          <mc:Choice Requires="x14">
            <control shapeId="1287" r:id="rId265" name="Check Box 263">
              <controlPr defaultSize="0" autoFill="0" autoLine="0" autoPict="0">
                <anchor moveWithCells="1">
                  <from>
                    <xdr:col>0</xdr:col>
                    <xdr:colOff>276225</xdr:colOff>
                    <xdr:row>263</xdr:row>
                    <xdr:rowOff>9525</xdr:rowOff>
                  </from>
                  <to>
                    <xdr:col>3</xdr:col>
                    <xdr:colOff>19050</xdr:colOff>
                    <xdr:row>263</xdr:row>
                    <xdr:rowOff>485775</xdr:rowOff>
                  </to>
                </anchor>
              </controlPr>
            </control>
          </mc:Choice>
        </mc:AlternateContent>
        <mc:AlternateContent xmlns:mc="http://schemas.openxmlformats.org/markup-compatibility/2006">
          <mc:Choice Requires="x14">
            <control shapeId="1288" r:id="rId266" name="Check Box 264">
              <controlPr defaultSize="0" autoFill="0" autoLine="0" autoPict="0">
                <anchor moveWithCells="1">
                  <from>
                    <xdr:col>0</xdr:col>
                    <xdr:colOff>276225</xdr:colOff>
                    <xdr:row>264</xdr:row>
                    <xdr:rowOff>9525</xdr:rowOff>
                  </from>
                  <to>
                    <xdr:col>3</xdr:col>
                    <xdr:colOff>19050</xdr:colOff>
                    <xdr:row>264</xdr:row>
                    <xdr:rowOff>485775</xdr:rowOff>
                  </to>
                </anchor>
              </controlPr>
            </control>
          </mc:Choice>
        </mc:AlternateContent>
        <mc:AlternateContent xmlns:mc="http://schemas.openxmlformats.org/markup-compatibility/2006">
          <mc:Choice Requires="x14">
            <control shapeId="1289" r:id="rId267" name="Check Box 265">
              <controlPr defaultSize="0" autoFill="0" autoLine="0" autoPict="0">
                <anchor moveWithCells="1">
                  <from>
                    <xdr:col>0</xdr:col>
                    <xdr:colOff>276225</xdr:colOff>
                    <xdr:row>265</xdr:row>
                    <xdr:rowOff>9525</xdr:rowOff>
                  </from>
                  <to>
                    <xdr:col>3</xdr:col>
                    <xdr:colOff>19050</xdr:colOff>
                    <xdr:row>265</xdr:row>
                    <xdr:rowOff>485775</xdr:rowOff>
                  </to>
                </anchor>
              </controlPr>
            </control>
          </mc:Choice>
        </mc:AlternateContent>
        <mc:AlternateContent xmlns:mc="http://schemas.openxmlformats.org/markup-compatibility/2006">
          <mc:Choice Requires="x14">
            <control shapeId="1290" r:id="rId268" name="Check Box 266">
              <controlPr defaultSize="0" autoFill="0" autoLine="0" autoPict="0">
                <anchor moveWithCells="1">
                  <from>
                    <xdr:col>0</xdr:col>
                    <xdr:colOff>276225</xdr:colOff>
                    <xdr:row>266</xdr:row>
                    <xdr:rowOff>9525</xdr:rowOff>
                  </from>
                  <to>
                    <xdr:col>3</xdr:col>
                    <xdr:colOff>19050</xdr:colOff>
                    <xdr:row>266</xdr:row>
                    <xdr:rowOff>485775</xdr:rowOff>
                  </to>
                </anchor>
              </controlPr>
            </control>
          </mc:Choice>
        </mc:AlternateContent>
        <mc:AlternateContent xmlns:mc="http://schemas.openxmlformats.org/markup-compatibility/2006">
          <mc:Choice Requires="x14">
            <control shapeId="1291" r:id="rId269" name="Check Box 267">
              <controlPr defaultSize="0" autoFill="0" autoLine="0" autoPict="0">
                <anchor moveWithCells="1">
                  <from>
                    <xdr:col>0</xdr:col>
                    <xdr:colOff>276225</xdr:colOff>
                    <xdr:row>267</xdr:row>
                    <xdr:rowOff>9525</xdr:rowOff>
                  </from>
                  <to>
                    <xdr:col>3</xdr:col>
                    <xdr:colOff>19050</xdr:colOff>
                    <xdr:row>267</xdr:row>
                    <xdr:rowOff>485775</xdr:rowOff>
                  </to>
                </anchor>
              </controlPr>
            </control>
          </mc:Choice>
        </mc:AlternateContent>
        <mc:AlternateContent xmlns:mc="http://schemas.openxmlformats.org/markup-compatibility/2006">
          <mc:Choice Requires="x14">
            <control shapeId="1292" r:id="rId270" name="Check Box 268">
              <controlPr defaultSize="0" autoFill="0" autoLine="0" autoPict="0">
                <anchor moveWithCells="1">
                  <from>
                    <xdr:col>0</xdr:col>
                    <xdr:colOff>276225</xdr:colOff>
                    <xdr:row>268</xdr:row>
                    <xdr:rowOff>9525</xdr:rowOff>
                  </from>
                  <to>
                    <xdr:col>3</xdr:col>
                    <xdr:colOff>19050</xdr:colOff>
                    <xdr:row>268</xdr:row>
                    <xdr:rowOff>485775</xdr:rowOff>
                  </to>
                </anchor>
              </controlPr>
            </control>
          </mc:Choice>
        </mc:AlternateContent>
        <mc:AlternateContent xmlns:mc="http://schemas.openxmlformats.org/markup-compatibility/2006">
          <mc:Choice Requires="x14">
            <control shapeId="1293" r:id="rId271" name="Check Box 269">
              <controlPr defaultSize="0" autoFill="0" autoLine="0" autoPict="0">
                <anchor moveWithCells="1">
                  <from>
                    <xdr:col>0</xdr:col>
                    <xdr:colOff>276225</xdr:colOff>
                    <xdr:row>269</xdr:row>
                    <xdr:rowOff>9525</xdr:rowOff>
                  </from>
                  <to>
                    <xdr:col>3</xdr:col>
                    <xdr:colOff>19050</xdr:colOff>
                    <xdr:row>269</xdr:row>
                    <xdr:rowOff>485775</xdr:rowOff>
                  </to>
                </anchor>
              </controlPr>
            </control>
          </mc:Choice>
        </mc:AlternateContent>
        <mc:AlternateContent xmlns:mc="http://schemas.openxmlformats.org/markup-compatibility/2006">
          <mc:Choice Requires="x14">
            <control shapeId="1294" r:id="rId272" name="Check Box 270">
              <controlPr defaultSize="0" autoFill="0" autoLine="0" autoPict="0">
                <anchor moveWithCells="1">
                  <from>
                    <xdr:col>0</xdr:col>
                    <xdr:colOff>276225</xdr:colOff>
                    <xdr:row>270</xdr:row>
                    <xdr:rowOff>9525</xdr:rowOff>
                  </from>
                  <to>
                    <xdr:col>3</xdr:col>
                    <xdr:colOff>19050</xdr:colOff>
                    <xdr:row>270</xdr:row>
                    <xdr:rowOff>485775</xdr:rowOff>
                  </to>
                </anchor>
              </controlPr>
            </control>
          </mc:Choice>
        </mc:AlternateContent>
        <mc:AlternateContent xmlns:mc="http://schemas.openxmlformats.org/markup-compatibility/2006">
          <mc:Choice Requires="x14">
            <control shapeId="1295" r:id="rId273" name="Check Box 271">
              <controlPr defaultSize="0" autoFill="0" autoLine="0" autoPict="0">
                <anchor moveWithCells="1">
                  <from>
                    <xdr:col>0</xdr:col>
                    <xdr:colOff>276225</xdr:colOff>
                    <xdr:row>271</xdr:row>
                    <xdr:rowOff>9525</xdr:rowOff>
                  </from>
                  <to>
                    <xdr:col>3</xdr:col>
                    <xdr:colOff>19050</xdr:colOff>
                    <xdr:row>271</xdr:row>
                    <xdr:rowOff>485775</xdr:rowOff>
                  </to>
                </anchor>
              </controlPr>
            </control>
          </mc:Choice>
        </mc:AlternateContent>
        <mc:AlternateContent xmlns:mc="http://schemas.openxmlformats.org/markup-compatibility/2006">
          <mc:Choice Requires="x14">
            <control shapeId="1296" r:id="rId274" name="Check Box 272">
              <controlPr defaultSize="0" autoFill="0" autoLine="0" autoPict="0">
                <anchor moveWithCells="1">
                  <from>
                    <xdr:col>0</xdr:col>
                    <xdr:colOff>276225</xdr:colOff>
                    <xdr:row>272</xdr:row>
                    <xdr:rowOff>9525</xdr:rowOff>
                  </from>
                  <to>
                    <xdr:col>3</xdr:col>
                    <xdr:colOff>19050</xdr:colOff>
                    <xdr:row>272</xdr:row>
                    <xdr:rowOff>485775</xdr:rowOff>
                  </to>
                </anchor>
              </controlPr>
            </control>
          </mc:Choice>
        </mc:AlternateContent>
        <mc:AlternateContent xmlns:mc="http://schemas.openxmlformats.org/markup-compatibility/2006">
          <mc:Choice Requires="x14">
            <control shapeId="1297" r:id="rId275" name="Check Box 273">
              <controlPr defaultSize="0" autoFill="0" autoLine="0" autoPict="0">
                <anchor moveWithCells="1">
                  <from>
                    <xdr:col>0</xdr:col>
                    <xdr:colOff>276225</xdr:colOff>
                    <xdr:row>273</xdr:row>
                    <xdr:rowOff>9525</xdr:rowOff>
                  </from>
                  <to>
                    <xdr:col>3</xdr:col>
                    <xdr:colOff>19050</xdr:colOff>
                    <xdr:row>273</xdr:row>
                    <xdr:rowOff>485775</xdr:rowOff>
                  </to>
                </anchor>
              </controlPr>
            </control>
          </mc:Choice>
        </mc:AlternateContent>
        <mc:AlternateContent xmlns:mc="http://schemas.openxmlformats.org/markup-compatibility/2006">
          <mc:Choice Requires="x14">
            <control shapeId="1298" r:id="rId276" name="Check Box 274">
              <controlPr defaultSize="0" autoFill="0" autoLine="0" autoPict="0">
                <anchor moveWithCells="1">
                  <from>
                    <xdr:col>0</xdr:col>
                    <xdr:colOff>276225</xdr:colOff>
                    <xdr:row>274</xdr:row>
                    <xdr:rowOff>9525</xdr:rowOff>
                  </from>
                  <to>
                    <xdr:col>3</xdr:col>
                    <xdr:colOff>19050</xdr:colOff>
                    <xdr:row>274</xdr:row>
                    <xdr:rowOff>485775</xdr:rowOff>
                  </to>
                </anchor>
              </controlPr>
            </control>
          </mc:Choice>
        </mc:AlternateContent>
        <mc:AlternateContent xmlns:mc="http://schemas.openxmlformats.org/markup-compatibility/2006">
          <mc:Choice Requires="x14">
            <control shapeId="1299" r:id="rId277" name="Check Box 275">
              <controlPr defaultSize="0" autoFill="0" autoLine="0" autoPict="0">
                <anchor moveWithCells="1">
                  <from>
                    <xdr:col>0</xdr:col>
                    <xdr:colOff>276225</xdr:colOff>
                    <xdr:row>275</xdr:row>
                    <xdr:rowOff>9525</xdr:rowOff>
                  </from>
                  <to>
                    <xdr:col>3</xdr:col>
                    <xdr:colOff>19050</xdr:colOff>
                    <xdr:row>275</xdr:row>
                    <xdr:rowOff>485775</xdr:rowOff>
                  </to>
                </anchor>
              </controlPr>
            </control>
          </mc:Choice>
        </mc:AlternateContent>
        <mc:AlternateContent xmlns:mc="http://schemas.openxmlformats.org/markup-compatibility/2006">
          <mc:Choice Requires="x14">
            <control shapeId="1300" r:id="rId278" name="Check Box 276">
              <controlPr defaultSize="0" autoFill="0" autoLine="0" autoPict="0">
                <anchor moveWithCells="1">
                  <from>
                    <xdr:col>0</xdr:col>
                    <xdr:colOff>276225</xdr:colOff>
                    <xdr:row>276</xdr:row>
                    <xdr:rowOff>9525</xdr:rowOff>
                  </from>
                  <to>
                    <xdr:col>3</xdr:col>
                    <xdr:colOff>19050</xdr:colOff>
                    <xdr:row>276</xdr:row>
                    <xdr:rowOff>485775</xdr:rowOff>
                  </to>
                </anchor>
              </controlPr>
            </control>
          </mc:Choice>
        </mc:AlternateContent>
        <mc:AlternateContent xmlns:mc="http://schemas.openxmlformats.org/markup-compatibility/2006">
          <mc:Choice Requires="x14">
            <control shapeId="1301" r:id="rId279" name="Check Box 277">
              <controlPr defaultSize="0" autoFill="0" autoLine="0" autoPict="0">
                <anchor moveWithCells="1">
                  <from>
                    <xdr:col>0</xdr:col>
                    <xdr:colOff>276225</xdr:colOff>
                    <xdr:row>277</xdr:row>
                    <xdr:rowOff>9525</xdr:rowOff>
                  </from>
                  <to>
                    <xdr:col>3</xdr:col>
                    <xdr:colOff>19050</xdr:colOff>
                    <xdr:row>277</xdr:row>
                    <xdr:rowOff>485775</xdr:rowOff>
                  </to>
                </anchor>
              </controlPr>
            </control>
          </mc:Choice>
        </mc:AlternateContent>
        <mc:AlternateContent xmlns:mc="http://schemas.openxmlformats.org/markup-compatibility/2006">
          <mc:Choice Requires="x14">
            <control shapeId="1302" r:id="rId280" name="Check Box 278">
              <controlPr defaultSize="0" autoFill="0" autoLine="0" autoPict="0">
                <anchor moveWithCells="1">
                  <from>
                    <xdr:col>0</xdr:col>
                    <xdr:colOff>276225</xdr:colOff>
                    <xdr:row>278</xdr:row>
                    <xdr:rowOff>9525</xdr:rowOff>
                  </from>
                  <to>
                    <xdr:col>3</xdr:col>
                    <xdr:colOff>19050</xdr:colOff>
                    <xdr:row>278</xdr:row>
                    <xdr:rowOff>485775</xdr:rowOff>
                  </to>
                </anchor>
              </controlPr>
            </control>
          </mc:Choice>
        </mc:AlternateContent>
        <mc:AlternateContent xmlns:mc="http://schemas.openxmlformats.org/markup-compatibility/2006">
          <mc:Choice Requires="x14">
            <control shapeId="1303" r:id="rId281" name="Check Box 279">
              <controlPr defaultSize="0" autoFill="0" autoLine="0" autoPict="0">
                <anchor moveWithCells="1">
                  <from>
                    <xdr:col>0</xdr:col>
                    <xdr:colOff>276225</xdr:colOff>
                    <xdr:row>279</xdr:row>
                    <xdr:rowOff>9525</xdr:rowOff>
                  </from>
                  <to>
                    <xdr:col>3</xdr:col>
                    <xdr:colOff>19050</xdr:colOff>
                    <xdr:row>279</xdr:row>
                    <xdr:rowOff>485775</xdr:rowOff>
                  </to>
                </anchor>
              </controlPr>
            </control>
          </mc:Choice>
        </mc:AlternateContent>
        <mc:AlternateContent xmlns:mc="http://schemas.openxmlformats.org/markup-compatibility/2006">
          <mc:Choice Requires="x14">
            <control shapeId="1304" r:id="rId282" name="Check Box 280">
              <controlPr defaultSize="0" autoFill="0" autoLine="0" autoPict="0">
                <anchor moveWithCells="1">
                  <from>
                    <xdr:col>0</xdr:col>
                    <xdr:colOff>276225</xdr:colOff>
                    <xdr:row>280</xdr:row>
                    <xdr:rowOff>9525</xdr:rowOff>
                  </from>
                  <to>
                    <xdr:col>3</xdr:col>
                    <xdr:colOff>19050</xdr:colOff>
                    <xdr:row>280</xdr:row>
                    <xdr:rowOff>485775</xdr:rowOff>
                  </to>
                </anchor>
              </controlPr>
            </control>
          </mc:Choice>
        </mc:AlternateContent>
        <mc:AlternateContent xmlns:mc="http://schemas.openxmlformats.org/markup-compatibility/2006">
          <mc:Choice Requires="x14">
            <control shapeId="1305" r:id="rId283" name="Check Box 281">
              <controlPr defaultSize="0" autoFill="0" autoLine="0" autoPict="0">
                <anchor moveWithCells="1">
                  <from>
                    <xdr:col>0</xdr:col>
                    <xdr:colOff>276225</xdr:colOff>
                    <xdr:row>281</xdr:row>
                    <xdr:rowOff>9525</xdr:rowOff>
                  </from>
                  <to>
                    <xdr:col>3</xdr:col>
                    <xdr:colOff>19050</xdr:colOff>
                    <xdr:row>281</xdr:row>
                    <xdr:rowOff>485775</xdr:rowOff>
                  </to>
                </anchor>
              </controlPr>
            </control>
          </mc:Choice>
        </mc:AlternateContent>
        <mc:AlternateContent xmlns:mc="http://schemas.openxmlformats.org/markup-compatibility/2006">
          <mc:Choice Requires="x14">
            <control shapeId="1306" r:id="rId284" name="Check Box 282">
              <controlPr defaultSize="0" autoFill="0" autoLine="0" autoPict="0">
                <anchor moveWithCells="1">
                  <from>
                    <xdr:col>0</xdr:col>
                    <xdr:colOff>276225</xdr:colOff>
                    <xdr:row>282</xdr:row>
                    <xdr:rowOff>9525</xdr:rowOff>
                  </from>
                  <to>
                    <xdr:col>3</xdr:col>
                    <xdr:colOff>19050</xdr:colOff>
                    <xdr:row>282</xdr:row>
                    <xdr:rowOff>485775</xdr:rowOff>
                  </to>
                </anchor>
              </controlPr>
            </control>
          </mc:Choice>
        </mc:AlternateContent>
        <mc:AlternateContent xmlns:mc="http://schemas.openxmlformats.org/markup-compatibility/2006">
          <mc:Choice Requires="x14">
            <control shapeId="1307" r:id="rId285" name="Check Box 283">
              <controlPr defaultSize="0" autoFill="0" autoLine="0" autoPict="0">
                <anchor moveWithCells="1">
                  <from>
                    <xdr:col>0</xdr:col>
                    <xdr:colOff>276225</xdr:colOff>
                    <xdr:row>283</xdr:row>
                    <xdr:rowOff>9525</xdr:rowOff>
                  </from>
                  <to>
                    <xdr:col>3</xdr:col>
                    <xdr:colOff>19050</xdr:colOff>
                    <xdr:row>283</xdr:row>
                    <xdr:rowOff>485775</xdr:rowOff>
                  </to>
                </anchor>
              </controlPr>
            </control>
          </mc:Choice>
        </mc:AlternateContent>
        <mc:AlternateContent xmlns:mc="http://schemas.openxmlformats.org/markup-compatibility/2006">
          <mc:Choice Requires="x14">
            <control shapeId="1308" r:id="rId286" name="Check Box 284">
              <controlPr defaultSize="0" autoFill="0" autoLine="0" autoPict="0">
                <anchor moveWithCells="1">
                  <from>
                    <xdr:col>0</xdr:col>
                    <xdr:colOff>276225</xdr:colOff>
                    <xdr:row>284</xdr:row>
                    <xdr:rowOff>9525</xdr:rowOff>
                  </from>
                  <to>
                    <xdr:col>3</xdr:col>
                    <xdr:colOff>19050</xdr:colOff>
                    <xdr:row>284</xdr:row>
                    <xdr:rowOff>485775</xdr:rowOff>
                  </to>
                </anchor>
              </controlPr>
            </control>
          </mc:Choice>
        </mc:AlternateContent>
        <mc:AlternateContent xmlns:mc="http://schemas.openxmlformats.org/markup-compatibility/2006">
          <mc:Choice Requires="x14">
            <control shapeId="1309" r:id="rId287" name="Check Box 285">
              <controlPr defaultSize="0" autoFill="0" autoLine="0" autoPict="0">
                <anchor moveWithCells="1">
                  <from>
                    <xdr:col>0</xdr:col>
                    <xdr:colOff>276225</xdr:colOff>
                    <xdr:row>285</xdr:row>
                    <xdr:rowOff>9525</xdr:rowOff>
                  </from>
                  <to>
                    <xdr:col>3</xdr:col>
                    <xdr:colOff>19050</xdr:colOff>
                    <xdr:row>285</xdr:row>
                    <xdr:rowOff>485775</xdr:rowOff>
                  </to>
                </anchor>
              </controlPr>
            </control>
          </mc:Choice>
        </mc:AlternateContent>
        <mc:AlternateContent xmlns:mc="http://schemas.openxmlformats.org/markup-compatibility/2006">
          <mc:Choice Requires="x14">
            <control shapeId="1310" r:id="rId288" name="Check Box 286">
              <controlPr defaultSize="0" autoFill="0" autoLine="0" autoPict="0">
                <anchor moveWithCells="1">
                  <from>
                    <xdr:col>0</xdr:col>
                    <xdr:colOff>276225</xdr:colOff>
                    <xdr:row>286</xdr:row>
                    <xdr:rowOff>9525</xdr:rowOff>
                  </from>
                  <to>
                    <xdr:col>3</xdr:col>
                    <xdr:colOff>19050</xdr:colOff>
                    <xdr:row>286</xdr:row>
                    <xdr:rowOff>485775</xdr:rowOff>
                  </to>
                </anchor>
              </controlPr>
            </control>
          </mc:Choice>
        </mc:AlternateContent>
        <mc:AlternateContent xmlns:mc="http://schemas.openxmlformats.org/markup-compatibility/2006">
          <mc:Choice Requires="x14">
            <control shapeId="1311" r:id="rId289" name="Check Box 287">
              <controlPr defaultSize="0" autoFill="0" autoLine="0" autoPict="0">
                <anchor moveWithCells="1">
                  <from>
                    <xdr:col>0</xdr:col>
                    <xdr:colOff>276225</xdr:colOff>
                    <xdr:row>287</xdr:row>
                    <xdr:rowOff>9525</xdr:rowOff>
                  </from>
                  <to>
                    <xdr:col>3</xdr:col>
                    <xdr:colOff>19050</xdr:colOff>
                    <xdr:row>287</xdr:row>
                    <xdr:rowOff>485775</xdr:rowOff>
                  </to>
                </anchor>
              </controlPr>
            </control>
          </mc:Choice>
        </mc:AlternateContent>
        <mc:AlternateContent xmlns:mc="http://schemas.openxmlformats.org/markup-compatibility/2006">
          <mc:Choice Requires="x14">
            <control shapeId="1312" r:id="rId290" name="Check Box 288">
              <controlPr defaultSize="0" autoFill="0" autoLine="0" autoPict="0">
                <anchor moveWithCells="1">
                  <from>
                    <xdr:col>0</xdr:col>
                    <xdr:colOff>276225</xdr:colOff>
                    <xdr:row>288</xdr:row>
                    <xdr:rowOff>9525</xdr:rowOff>
                  </from>
                  <to>
                    <xdr:col>3</xdr:col>
                    <xdr:colOff>19050</xdr:colOff>
                    <xdr:row>288</xdr:row>
                    <xdr:rowOff>485775</xdr:rowOff>
                  </to>
                </anchor>
              </controlPr>
            </control>
          </mc:Choice>
        </mc:AlternateContent>
        <mc:AlternateContent xmlns:mc="http://schemas.openxmlformats.org/markup-compatibility/2006">
          <mc:Choice Requires="x14">
            <control shapeId="1313" r:id="rId291" name="Check Box 289">
              <controlPr defaultSize="0" autoFill="0" autoLine="0" autoPict="0">
                <anchor moveWithCells="1">
                  <from>
                    <xdr:col>0</xdr:col>
                    <xdr:colOff>276225</xdr:colOff>
                    <xdr:row>289</xdr:row>
                    <xdr:rowOff>9525</xdr:rowOff>
                  </from>
                  <to>
                    <xdr:col>3</xdr:col>
                    <xdr:colOff>19050</xdr:colOff>
                    <xdr:row>289</xdr:row>
                    <xdr:rowOff>485775</xdr:rowOff>
                  </to>
                </anchor>
              </controlPr>
            </control>
          </mc:Choice>
        </mc:AlternateContent>
        <mc:AlternateContent xmlns:mc="http://schemas.openxmlformats.org/markup-compatibility/2006">
          <mc:Choice Requires="x14">
            <control shapeId="1314" r:id="rId292" name="Check Box 290">
              <controlPr defaultSize="0" autoFill="0" autoLine="0" autoPict="0">
                <anchor moveWithCells="1">
                  <from>
                    <xdr:col>0</xdr:col>
                    <xdr:colOff>276225</xdr:colOff>
                    <xdr:row>290</xdr:row>
                    <xdr:rowOff>9525</xdr:rowOff>
                  </from>
                  <to>
                    <xdr:col>3</xdr:col>
                    <xdr:colOff>19050</xdr:colOff>
                    <xdr:row>290</xdr:row>
                    <xdr:rowOff>485775</xdr:rowOff>
                  </to>
                </anchor>
              </controlPr>
            </control>
          </mc:Choice>
        </mc:AlternateContent>
        <mc:AlternateContent xmlns:mc="http://schemas.openxmlformats.org/markup-compatibility/2006">
          <mc:Choice Requires="x14">
            <control shapeId="1315" r:id="rId293" name="Check Box 291">
              <controlPr defaultSize="0" autoFill="0" autoLine="0" autoPict="0">
                <anchor moveWithCells="1">
                  <from>
                    <xdr:col>0</xdr:col>
                    <xdr:colOff>276225</xdr:colOff>
                    <xdr:row>291</xdr:row>
                    <xdr:rowOff>9525</xdr:rowOff>
                  </from>
                  <to>
                    <xdr:col>3</xdr:col>
                    <xdr:colOff>19050</xdr:colOff>
                    <xdr:row>291</xdr:row>
                    <xdr:rowOff>485775</xdr:rowOff>
                  </to>
                </anchor>
              </controlPr>
            </control>
          </mc:Choice>
        </mc:AlternateContent>
        <mc:AlternateContent xmlns:mc="http://schemas.openxmlformats.org/markup-compatibility/2006">
          <mc:Choice Requires="x14">
            <control shapeId="1316" r:id="rId294" name="Check Box 292">
              <controlPr defaultSize="0" autoFill="0" autoLine="0" autoPict="0">
                <anchor moveWithCells="1">
                  <from>
                    <xdr:col>0</xdr:col>
                    <xdr:colOff>276225</xdr:colOff>
                    <xdr:row>292</xdr:row>
                    <xdr:rowOff>9525</xdr:rowOff>
                  </from>
                  <to>
                    <xdr:col>3</xdr:col>
                    <xdr:colOff>19050</xdr:colOff>
                    <xdr:row>292</xdr:row>
                    <xdr:rowOff>485775</xdr:rowOff>
                  </to>
                </anchor>
              </controlPr>
            </control>
          </mc:Choice>
        </mc:AlternateContent>
        <mc:AlternateContent xmlns:mc="http://schemas.openxmlformats.org/markup-compatibility/2006">
          <mc:Choice Requires="x14">
            <control shapeId="1317" r:id="rId295" name="Check Box 293">
              <controlPr defaultSize="0" autoFill="0" autoLine="0" autoPict="0">
                <anchor moveWithCells="1">
                  <from>
                    <xdr:col>0</xdr:col>
                    <xdr:colOff>276225</xdr:colOff>
                    <xdr:row>293</xdr:row>
                    <xdr:rowOff>9525</xdr:rowOff>
                  </from>
                  <to>
                    <xdr:col>3</xdr:col>
                    <xdr:colOff>19050</xdr:colOff>
                    <xdr:row>293</xdr:row>
                    <xdr:rowOff>485775</xdr:rowOff>
                  </to>
                </anchor>
              </controlPr>
            </control>
          </mc:Choice>
        </mc:AlternateContent>
        <mc:AlternateContent xmlns:mc="http://schemas.openxmlformats.org/markup-compatibility/2006">
          <mc:Choice Requires="x14">
            <control shapeId="1318" r:id="rId296" name="Check Box 294">
              <controlPr defaultSize="0" autoFill="0" autoLine="0" autoPict="0">
                <anchor moveWithCells="1">
                  <from>
                    <xdr:col>0</xdr:col>
                    <xdr:colOff>276225</xdr:colOff>
                    <xdr:row>294</xdr:row>
                    <xdr:rowOff>9525</xdr:rowOff>
                  </from>
                  <to>
                    <xdr:col>3</xdr:col>
                    <xdr:colOff>19050</xdr:colOff>
                    <xdr:row>294</xdr:row>
                    <xdr:rowOff>485775</xdr:rowOff>
                  </to>
                </anchor>
              </controlPr>
            </control>
          </mc:Choice>
        </mc:AlternateContent>
        <mc:AlternateContent xmlns:mc="http://schemas.openxmlformats.org/markup-compatibility/2006">
          <mc:Choice Requires="x14">
            <control shapeId="1319" r:id="rId297" name="Check Box 295">
              <controlPr defaultSize="0" autoFill="0" autoLine="0" autoPict="0">
                <anchor moveWithCells="1">
                  <from>
                    <xdr:col>0</xdr:col>
                    <xdr:colOff>276225</xdr:colOff>
                    <xdr:row>295</xdr:row>
                    <xdr:rowOff>9525</xdr:rowOff>
                  </from>
                  <to>
                    <xdr:col>3</xdr:col>
                    <xdr:colOff>19050</xdr:colOff>
                    <xdr:row>295</xdr:row>
                    <xdr:rowOff>485775</xdr:rowOff>
                  </to>
                </anchor>
              </controlPr>
            </control>
          </mc:Choice>
        </mc:AlternateContent>
        <mc:AlternateContent xmlns:mc="http://schemas.openxmlformats.org/markup-compatibility/2006">
          <mc:Choice Requires="x14">
            <control shapeId="1320" r:id="rId298" name="Check Box 296">
              <controlPr defaultSize="0" autoFill="0" autoLine="0" autoPict="0">
                <anchor moveWithCells="1">
                  <from>
                    <xdr:col>0</xdr:col>
                    <xdr:colOff>276225</xdr:colOff>
                    <xdr:row>296</xdr:row>
                    <xdr:rowOff>9525</xdr:rowOff>
                  </from>
                  <to>
                    <xdr:col>3</xdr:col>
                    <xdr:colOff>19050</xdr:colOff>
                    <xdr:row>296</xdr:row>
                    <xdr:rowOff>485775</xdr:rowOff>
                  </to>
                </anchor>
              </controlPr>
            </control>
          </mc:Choice>
        </mc:AlternateContent>
        <mc:AlternateContent xmlns:mc="http://schemas.openxmlformats.org/markup-compatibility/2006">
          <mc:Choice Requires="x14">
            <control shapeId="1321" r:id="rId299" name="Check Box 297">
              <controlPr defaultSize="0" autoFill="0" autoLine="0" autoPict="0">
                <anchor moveWithCells="1">
                  <from>
                    <xdr:col>0</xdr:col>
                    <xdr:colOff>276225</xdr:colOff>
                    <xdr:row>297</xdr:row>
                    <xdr:rowOff>9525</xdr:rowOff>
                  </from>
                  <to>
                    <xdr:col>3</xdr:col>
                    <xdr:colOff>19050</xdr:colOff>
                    <xdr:row>297</xdr:row>
                    <xdr:rowOff>485775</xdr:rowOff>
                  </to>
                </anchor>
              </controlPr>
            </control>
          </mc:Choice>
        </mc:AlternateContent>
        <mc:AlternateContent xmlns:mc="http://schemas.openxmlformats.org/markup-compatibility/2006">
          <mc:Choice Requires="x14">
            <control shapeId="1322" r:id="rId300" name="Check Box 298">
              <controlPr defaultSize="0" autoFill="0" autoLine="0" autoPict="0">
                <anchor moveWithCells="1">
                  <from>
                    <xdr:col>0</xdr:col>
                    <xdr:colOff>276225</xdr:colOff>
                    <xdr:row>298</xdr:row>
                    <xdr:rowOff>9525</xdr:rowOff>
                  </from>
                  <to>
                    <xdr:col>3</xdr:col>
                    <xdr:colOff>19050</xdr:colOff>
                    <xdr:row>298</xdr:row>
                    <xdr:rowOff>485775</xdr:rowOff>
                  </to>
                </anchor>
              </controlPr>
            </control>
          </mc:Choice>
        </mc:AlternateContent>
        <mc:AlternateContent xmlns:mc="http://schemas.openxmlformats.org/markup-compatibility/2006">
          <mc:Choice Requires="x14">
            <control shapeId="1323" r:id="rId301" name="Check Box 299">
              <controlPr defaultSize="0" autoFill="0" autoLine="0" autoPict="0">
                <anchor moveWithCells="1">
                  <from>
                    <xdr:col>0</xdr:col>
                    <xdr:colOff>276225</xdr:colOff>
                    <xdr:row>299</xdr:row>
                    <xdr:rowOff>9525</xdr:rowOff>
                  </from>
                  <to>
                    <xdr:col>3</xdr:col>
                    <xdr:colOff>19050</xdr:colOff>
                    <xdr:row>299</xdr:row>
                    <xdr:rowOff>485775</xdr:rowOff>
                  </to>
                </anchor>
              </controlPr>
            </control>
          </mc:Choice>
        </mc:AlternateContent>
        <mc:AlternateContent xmlns:mc="http://schemas.openxmlformats.org/markup-compatibility/2006">
          <mc:Choice Requires="x14">
            <control shapeId="1324" r:id="rId302" name="Check Box 300">
              <controlPr defaultSize="0" autoFill="0" autoLine="0" autoPict="0">
                <anchor moveWithCells="1">
                  <from>
                    <xdr:col>0</xdr:col>
                    <xdr:colOff>276225</xdr:colOff>
                    <xdr:row>300</xdr:row>
                    <xdr:rowOff>9525</xdr:rowOff>
                  </from>
                  <to>
                    <xdr:col>3</xdr:col>
                    <xdr:colOff>19050</xdr:colOff>
                    <xdr:row>300</xdr:row>
                    <xdr:rowOff>485775</xdr:rowOff>
                  </to>
                </anchor>
              </controlPr>
            </control>
          </mc:Choice>
        </mc:AlternateContent>
        <mc:AlternateContent xmlns:mc="http://schemas.openxmlformats.org/markup-compatibility/2006">
          <mc:Choice Requires="x14">
            <control shapeId="1325" r:id="rId303" name="Check Box 301">
              <controlPr defaultSize="0" autoFill="0" autoLine="0" autoPict="0">
                <anchor moveWithCells="1">
                  <from>
                    <xdr:col>0</xdr:col>
                    <xdr:colOff>276225</xdr:colOff>
                    <xdr:row>301</xdr:row>
                    <xdr:rowOff>9525</xdr:rowOff>
                  </from>
                  <to>
                    <xdr:col>3</xdr:col>
                    <xdr:colOff>19050</xdr:colOff>
                    <xdr:row>301</xdr:row>
                    <xdr:rowOff>485775</xdr:rowOff>
                  </to>
                </anchor>
              </controlPr>
            </control>
          </mc:Choice>
        </mc:AlternateContent>
        <mc:AlternateContent xmlns:mc="http://schemas.openxmlformats.org/markup-compatibility/2006">
          <mc:Choice Requires="x14">
            <control shapeId="1326" r:id="rId304" name="Check Box 302">
              <controlPr defaultSize="0" autoFill="0" autoLine="0" autoPict="0">
                <anchor moveWithCells="1">
                  <from>
                    <xdr:col>0</xdr:col>
                    <xdr:colOff>276225</xdr:colOff>
                    <xdr:row>302</xdr:row>
                    <xdr:rowOff>9525</xdr:rowOff>
                  </from>
                  <to>
                    <xdr:col>3</xdr:col>
                    <xdr:colOff>19050</xdr:colOff>
                    <xdr:row>302</xdr:row>
                    <xdr:rowOff>485775</xdr:rowOff>
                  </to>
                </anchor>
              </controlPr>
            </control>
          </mc:Choice>
        </mc:AlternateContent>
      </controls>
    </mc:Choice>
  </mc:AlternateConten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FBB38ED5D0D274CB2EE2DBFB4DF27AF" ma:contentTypeVersion="16" ma:contentTypeDescription="Create a new document." ma:contentTypeScope="" ma:versionID="343be7708d3bfc8b8cd1354f85bdb4ef">
  <xsd:schema xmlns:xsd="http://www.w3.org/2001/XMLSchema" xmlns:xs="http://www.w3.org/2001/XMLSchema" xmlns:p="http://schemas.microsoft.com/office/2006/metadata/properties" xmlns:ns1="7623ea29-c77c-4024-9954-09e8d33ddb63" xmlns:ns3="a2717908-15ff-42bd-a5fc-d9ac8b8728f4" targetNamespace="http://schemas.microsoft.com/office/2006/metadata/properties" ma:root="true" ma:fieldsID="ba37602cec7d275ad63d8520a3e085f5" ns1:_="" ns3:_="">
    <xsd:import namespace="7623ea29-c77c-4024-9954-09e8d33ddb63"/>
    <xsd:import namespace="a2717908-15ff-42bd-a5fc-d9ac8b8728f4"/>
    <xsd:element name="properties">
      <xsd:complexType>
        <xsd:sequence>
          <xsd:element name="documentManagement">
            <xsd:complexType>
              <xsd:all>
                <xsd:element ref="ns1:Number" minOccurs="0"/>
                <xsd:element ref="ns1:MediaServiceMetadata" minOccurs="0"/>
                <xsd:element ref="ns1:MediaServiceFastMetadata" minOccurs="0"/>
                <xsd:element ref="ns1:MediaServiceDateTaken" minOccurs="0"/>
                <xsd:element ref="ns3:SharedWithUsers" minOccurs="0"/>
                <xsd:element ref="ns3:SharedWithDetails" minOccurs="0"/>
                <xsd:element ref="ns1:MediaServiceAutoKeyPoints" minOccurs="0"/>
                <xsd:element ref="ns1:MediaServiceKeyPoints" minOccurs="0"/>
                <xsd:element ref="ns1:MediaServiceAutoTags" minOccurs="0"/>
                <xsd:element ref="ns1:MediaServiceOCR" minOccurs="0"/>
                <xsd:element ref="ns1:MediaServiceGenerationTime" minOccurs="0"/>
                <xsd:element ref="ns1:MediaServiceEventHashCode" minOccurs="0"/>
                <xsd:element ref="ns1:MediaServiceLocation" minOccurs="0"/>
                <xsd:element ref="ns1:MediaLengthInSeconds" minOccurs="0"/>
                <xsd:element ref="ns1:statuswithucomm" minOccurs="0"/>
                <xsd:element ref="ns1:submittedtoUCOm"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623ea29-c77c-4024-9954-09e8d33ddb63" elementFormDefault="qualified">
    <xsd:import namespace="http://schemas.microsoft.com/office/2006/documentManagement/types"/>
    <xsd:import namespace="http://schemas.microsoft.com/office/infopath/2007/PartnerControls"/>
    <xsd:element name="Number" ma:index="0" nillable="true" ma:displayName="Number" ma:description="Sort Order" ma:format="Dropdown" ma:internalName="Number" ma:percentage="FALSE">
      <xsd:simpleType>
        <xsd:restriction base="dms:Number"/>
      </xsd:simpleType>
    </xsd:element>
    <xsd:element name="MediaServiceMetadata" ma:index="6" nillable="true" ma:displayName="MediaServiceMetadata" ma:hidden="true" ma:internalName="MediaServiceMetadata" ma:readOnly="true">
      <xsd:simpleType>
        <xsd:restriction base="dms:Note"/>
      </xsd:simpleType>
    </xsd:element>
    <xsd:element name="MediaServiceFastMetadata" ma:index="7" nillable="true" ma:displayName="MediaServiceFastMetadata" ma:hidden="true" ma:internalName="MediaServiceFastMetadata" ma:readOnly="true">
      <xsd:simpleType>
        <xsd:restriction base="dms:Note"/>
      </xsd:simpleType>
    </xsd:element>
    <xsd:element name="MediaServiceDateTaken" ma:index="8" nillable="true" ma:displayName="MediaServiceDateTaken" ma:hidden="true" ma:internalName="MediaServiceDateTaken" ma:readOnly="true">
      <xsd:simpleType>
        <xsd:restriction base="dms:Text"/>
      </xsd:simpleType>
    </xsd:element>
    <xsd:element name="MediaServiceAutoKeyPoints" ma:index="11" nillable="true" ma:displayName="MediaServiceAutoKeyPoints" ma:hidden="true" ma:internalName="MediaServiceAutoKeyPoints" ma:readOnly="true">
      <xsd:simpleType>
        <xsd:restriction base="dms:Note"/>
      </xsd:simpleType>
    </xsd:element>
    <xsd:element name="MediaServiceKeyPoints" ma:index="12" nillable="true" ma:displayName="KeyPoints" ma:internalName="MediaServiceKeyPoints" ma:readOnly="true">
      <xsd:simpleType>
        <xsd:restriction base="dms:Note">
          <xsd:maxLength value="255"/>
        </xsd:restriction>
      </xsd:simpleType>
    </xsd:element>
    <xsd:element name="MediaServiceAutoTags" ma:index="16" nillable="true" ma:displayName="Tags" ma:internalName="MediaServiceAutoTags"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Location" ma:index="20" nillable="true" ma:displayName="Location" ma:internalName="MediaServiceLocation" ma:readOnly="true">
      <xsd:simpleType>
        <xsd:restriction base="dms:Text"/>
      </xsd:simpleType>
    </xsd:element>
    <xsd:element name="MediaLengthInSeconds" ma:index="21" nillable="true" ma:displayName="Length (seconds)" ma:internalName="MediaLengthInSeconds" ma:readOnly="true">
      <xsd:simpleType>
        <xsd:restriction base="dms:Unknown"/>
      </xsd:simpleType>
    </xsd:element>
    <xsd:element name="statuswithucomm" ma:index="22" nillable="true" ma:displayName="status with ucomm" ma:format="Dropdown" ma:internalName="statuswithucomm">
      <xsd:simpleType>
        <xsd:restriction base="dms:Text">
          <xsd:maxLength value="255"/>
        </xsd:restriction>
      </xsd:simpleType>
    </xsd:element>
    <xsd:element name="submittedtoUCOm" ma:index="23" nillable="true" ma:displayName="submitted to UCOm" ma:default="0" ma:format="Dropdown" ma:internalName="submittedtoUCOm">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a2717908-15ff-42bd-a5fc-d9ac8b8728f4" elementFormDefault="qualified">
    <xsd:import namespace="http://schemas.microsoft.com/office/2006/documentManagement/types"/>
    <xsd:import namespace="http://schemas.microsoft.com/office/infopath/2007/PartnerControls"/>
    <xsd:element name="SharedWithUsers" ma:index="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0"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3" ma:displayName="Content Type"/>
        <xsd:element ref="dc:title" minOccurs="0" maxOccurs="1" ma:index="2"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Number xmlns="7623ea29-c77c-4024-9954-09e8d33ddb63" xsi:nil="true"/>
    <SharedWithUsers xmlns="a2717908-15ff-42bd-a5fc-d9ac8b8728f4">
      <UserInfo>
        <DisplayName/>
        <AccountId xsi:nil="true"/>
        <AccountType/>
      </UserInfo>
    </SharedWithUsers>
    <MediaLengthInSeconds xmlns="7623ea29-c77c-4024-9954-09e8d33ddb63" xsi:nil="true"/>
    <submittedtoUCOm xmlns="7623ea29-c77c-4024-9954-09e8d33ddb63">false</submittedtoUCOm>
    <statuswithucomm xmlns="7623ea29-c77c-4024-9954-09e8d33ddb63" xsi:nil="true"/>
  </documentManagement>
</p:properties>
</file>

<file path=customXml/itemProps1.xml><?xml version="1.0" encoding="utf-8"?>
<ds:datastoreItem xmlns:ds="http://schemas.openxmlformats.org/officeDocument/2006/customXml" ds:itemID="{0A534EDC-0924-40A4-9287-9DF7BD572D86}"/>
</file>

<file path=customXml/itemProps2.xml><?xml version="1.0" encoding="utf-8"?>
<ds:datastoreItem xmlns:ds="http://schemas.openxmlformats.org/officeDocument/2006/customXml" ds:itemID="{C99863B8-F0F6-46BF-B993-119C57B91956}"/>
</file>

<file path=customXml/itemProps3.xml><?xml version="1.0" encoding="utf-8"?>
<ds:datastoreItem xmlns:ds="http://schemas.openxmlformats.org/officeDocument/2006/customXml" ds:itemID="{067742D5-91DD-41BB-B46E-231F68A14596}"/>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Elizabeth Kiscaden</dc:creator>
  <cp:keywords/>
  <dc:description/>
  <cp:lastModifiedBy>Kiscaden, Elizabeth</cp:lastModifiedBy>
  <cp:revision/>
  <dcterms:created xsi:type="dcterms:W3CDTF">2022-03-02T04:20:52Z</dcterms:created>
  <dcterms:modified xsi:type="dcterms:W3CDTF">2022-03-03T17:24:58Z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0x0101007FBB38ED5D0D274CB2EE2DBFB4DF27AF</vt:lpwstr>
  </property>
  <property fmtid="{D5CDD505-2E9C-101B-9397-08002B2CF9AE}" pid="3" name="Order">
    <vt:r8>288900</vt:r8>
  </property>
  <property fmtid="{D5CDD505-2E9C-101B-9397-08002B2CF9AE}" pid="4" name="_ExtendedDescription">
    <vt:lpwstr/>
  </property>
  <property fmtid="{D5CDD505-2E9C-101B-9397-08002B2CF9AE}" pid="5" name="TriggerFlowInfo">
    <vt:lpwstr/>
  </property>
  <property fmtid="{D5CDD505-2E9C-101B-9397-08002B2CF9AE}" pid="6" name="_SourceUrl">
    <vt:lpwstr/>
  </property>
  <property fmtid="{D5CDD505-2E9C-101B-9397-08002B2CF9AE}" pid="7" name="_SharedFileIndex">
    <vt:lpwstr/>
  </property>
  <property fmtid="{D5CDD505-2E9C-101B-9397-08002B2CF9AE}" pid="8" name="ComplianceAssetId">
    <vt:lpwstr/>
  </property>
</Properties>
</file>