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creightonuniv-my.sharepoint.com/personal/ejk60737_creighton_edu/Documents/Collections/Print Book Deselection/"/>
    </mc:Choice>
  </mc:AlternateContent>
  <xr:revisionPtr revIDLastSave="0" documentId="8_{E3305C87-4553-4A24-824C-1FD22F31B2EF}" xr6:coauthVersionLast="47" xr6:coauthVersionMax="47" xr10:uidLastSave="{00000000-0000-0000-0000-000000000000}"/>
  <bookViews>
    <workbookView xWindow="-120" yWindow="-120" windowWidth="29040" windowHeight="15840" xr2:uid="{ED73846D-265C-4865-82D8-F8BB1F2A05E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T1630" i="1" l="1"/>
  <c r="AS1630" i="1"/>
  <c r="AT1629" i="1"/>
  <c r="AS1629" i="1"/>
  <c r="AT1628" i="1"/>
  <c r="AS1628" i="1"/>
  <c r="AT1627" i="1"/>
  <c r="AS1627" i="1"/>
  <c r="AT1626" i="1"/>
  <c r="AS1626" i="1"/>
  <c r="AR1626" i="1"/>
  <c r="AT1625" i="1"/>
  <c r="AS1625" i="1"/>
  <c r="AT1624" i="1"/>
  <c r="AS1624" i="1"/>
  <c r="AT1623" i="1"/>
  <c r="AS1623" i="1"/>
  <c r="AR1623" i="1"/>
  <c r="AT1622" i="1"/>
  <c r="AS1622" i="1"/>
  <c r="AR1622" i="1"/>
  <c r="AT1621" i="1"/>
  <c r="AS1621" i="1"/>
  <c r="AT1620" i="1"/>
  <c r="AS1620" i="1"/>
  <c r="AT1619" i="1"/>
  <c r="AS1619" i="1"/>
  <c r="AT1618" i="1"/>
  <c r="AS1618" i="1"/>
  <c r="AT1617" i="1"/>
  <c r="AS1617" i="1"/>
  <c r="AR1617" i="1"/>
  <c r="AT1616" i="1"/>
  <c r="AS1616" i="1"/>
  <c r="AT1615" i="1"/>
  <c r="AS1615" i="1"/>
  <c r="AR1615" i="1"/>
  <c r="AT1614" i="1"/>
  <c r="AS1614" i="1"/>
  <c r="AR1614" i="1"/>
  <c r="AT1613" i="1"/>
  <c r="AS1613" i="1"/>
  <c r="AR1613" i="1"/>
  <c r="AT1612" i="1"/>
  <c r="AS1612" i="1"/>
  <c r="AT1611" i="1"/>
  <c r="AS1611" i="1"/>
  <c r="AT1610" i="1"/>
  <c r="AS1610" i="1"/>
  <c r="AR1610" i="1"/>
  <c r="AT1609" i="1"/>
  <c r="AS1609" i="1"/>
  <c r="AR1609" i="1"/>
  <c r="AT1608" i="1"/>
  <c r="AS1608" i="1"/>
  <c r="AR1608" i="1"/>
  <c r="AT1607" i="1"/>
  <c r="AS1607" i="1"/>
  <c r="AR1607" i="1"/>
  <c r="AT1606" i="1"/>
  <c r="AS1606" i="1"/>
  <c r="AT1605" i="1"/>
  <c r="AS1605" i="1"/>
  <c r="AR1605" i="1"/>
  <c r="AT1604" i="1"/>
  <c r="AS1604" i="1"/>
  <c r="AR1604" i="1"/>
  <c r="AT1603" i="1"/>
  <c r="AS1603" i="1"/>
  <c r="AR1603" i="1"/>
  <c r="AT1602" i="1"/>
  <c r="AS1602" i="1"/>
  <c r="AR1602" i="1"/>
  <c r="AT1601" i="1"/>
  <c r="AS1601" i="1"/>
  <c r="AR1601" i="1"/>
  <c r="AT1600" i="1"/>
  <c r="AS1600" i="1"/>
  <c r="AR1600" i="1"/>
  <c r="AT1599" i="1"/>
  <c r="AS1599" i="1"/>
  <c r="AR1599" i="1"/>
  <c r="AT1598" i="1"/>
  <c r="AS1598" i="1"/>
  <c r="AR1598" i="1"/>
  <c r="AT1597" i="1"/>
  <c r="AS1597" i="1"/>
  <c r="AR1597" i="1"/>
  <c r="AT1596" i="1"/>
  <c r="AS1596" i="1"/>
  <c r="AR1596" i="1"/>
  <c r="AT1595" i="1"/>
  <c r="AS1595" i="1"/>
  <c r="AR1595" i="1"/>
  <c r="AT1594" i="1"/>
  <c r="AS1594" i="1"/>
  <c r="AR1594" i="1"/>
  <c r="AT1593" i="1"/>
  <c r="AS1593" i="1"/>
  <c r="AR1593" i="1"/>
  <c r="AT1592" i="1"/>
  <c r="AS1592" i="1"/>
  <c r="AR1592" i="1"/>
  <c r="AT1591" i="1"/>
  <c r="AS1591" i="1"/>
  <c r="AR1591" i="1"/>
  <c r="AT1590" i="1"/>
  <c r="AS1590" i="1"/>
  <c r="AR1590" i="1"/>
  <c r="AT1589" i="1"/>
  <c r="AS1589" i="1"/>
  <c r="AR1589" i="1"/>
  <c r="AT1588" i="1"/>
  <c r="AS1588" i="1"/>
  <c r="AT1587" i="1"/>
  <c r="AS1587" i="1"/>
  <c r="AT1586" i="1"/>
  <c r="AS1586" i="1"/>
  <c r="AR1586" i="1"/>
  <c r="AT1585" i="1"/>
  <c r="AS1585" i="1"/>
  <c r="AT1584" i="1"/>
  <c r="AS1584" i="1"/>
  <c r="AT1583" i="1"/>
  <c r="AS1583" i="1"/>
  <c r="AT1582" i="1"/>
  <c r="AS1582" i="1"/>
  <c r="AT1581" i="1"/>
  <c r="AS1581" i="1"/>
  <c r="AR1581" i="1"/>
  <c r="AT1580" i="1"/>
  <c r="AS1580" i="1"/>
  <c r="AT1579" i="1"/>
  <c r="AS1579" i="1"/>
  <c r="AT1578" i="1"/>
  <c r="AS1578" i="1"/>
  <c r="AR1578" i="1"/>
  <c r="AT1577" i="1"/>
  <c r="AS1577" i="1"/>
  <c r="AR1577" i="1"/>
  <c r="AT1576" i="1"/>
  <c r="AS1576" i="1"/>
  <c r="AR1576" i="1"/>
  <c r="AT1575" i="1"/>
  <c r="AS1575" i="1"/>
  <c r="AT1574" i="1"/>
  <c r="AS1574" i="1"/>
  <c r="AT1573" i="1"/>
  <c r="AS1573" i="1"/>
  <c r="AT1572" i="1"/>
  <c r="AS1572" i="1"/>
  <c r="AT1571" i="1"/>
  <c r="AS1571" i="1"/>
  <c r="AR1571" i="1"/>
  <c r="AT1570" i="1"/>
  <c r="AS1570" i="1"/>
  <c r="AT1569" i="1"/>
  <c r="AS1569" i="1"/>
  <c r="AT1568" i="1"/>
  <c r="AS1568" i="1"/>
  <c r="AR1568" i="1"/>
  <c r="AT1567" i="1"/>
  <c r="AS1567" i="1"/>
  <c r="AR1567" i="1"/>
  <c r="AT1566" i="1"/>
  <c r="AS1566" i="1"/>
  <c r="AR1566" i="1"/>
  <c r="AT1565" i="1"/>
  <c r="AS1565" i="1"/>
  <c r="AT1564" i="1"/>
  <c r="AS1564" i="1"/>
  <c r="AT1563" i="1"/>
  <c r="AS1563" i="1"/>
  <c r="AT1562" i="1"/>
  <c r="AS1562" i="1"/>
  <c r="AT1561" i="1"/>
  <c r="AS1561" i="1"/>
  <c r="AR1561" i="1"/>
  <c r="AT1560" i="1"/>
  <c r="AS1560" i="1"/>
  <c r="AR1560" i="1"/>
  <c r="AT1559" i="1"/>
  <c r="AS1559" i="1"/>
  <c r="AR1559" i="1"/>
  <c r="AT1558" i="1"/>
  <c r="AS1558" i="1"/>
  <c r="AT1557" i="1"/>
  <c r="AS1557" i="1"/>
  <c r="AT1556" i="1"/>
  <c r="AS1556" i="1"/>
  <c r="AT1555" i="1"/>
  <c r="AS1555" i="1"/>
  <c r="AT1554" i="1"/>
  <c r="AS1554" i="1"/>
  <c r="AR1554" i="1"/>
  <c r="AT1553" i="1"/>
  <c r="AS1553" i="1"/>
  <c r="AR1553" i="1"/>
  <c r="AT1552" i="1"/>
  <c r="AS1552" i="1"/>
  <c r="AT1551" i="1"/>
  <c r="AS1551" i="1"/>
  <c r="AR1551" i="1"/>
  <c r="AT1550" i="1"/>
  <c r="AS1550" i="1"/>
  <c r="AT1549" i="1"/>
  <c r="AS1549" i="1"/>
  <c r="AT1548" i="1"/>
  <c r="AS1548" i="1"/>
  <c r="AT1547" i="1"/>
  <c r="AS1547" i="1"/>
  <c r="AR1547" i="1"/>
  <c r="AT1546" i="1"/>
  <c r="AS1546" i="1"/>
  <c r="AR1546" i="1"/>
  <c r="AT1545" i="1"/>
  <c r="AS1545" i="1"/>
  <c r="AR1545" i="1"/>
  <c r="AT1544" i="1"/>
  <c r="AS1544" i="1"/>
  <c r="AT1543" i="1"/>
  <c r="AS1543" i="1"/>
  <c r="AT1542" i="1"/>
  <c r="AS1542" i="1"/>
  <c r="AT1541" i="1"/>
  <c r="AS1541" i="1"/>
  <c r="AT1540" i="1"/>
  <c r="AS1540" i="1"/>
  <c r="AT1539" i="1"/>
  <c r="AS1539" i="1"/>
  <c r="AT1538" i="1"/>
  <c r="AS1538" i="1"/>
  <c r="AT1537" i="1"/>
  <c r="AS1537" i="1"/>
  <c r="AT1536" i="1"/>
  <c r="AS1536" i="1"/>
  <c r="AR1536" i="1"/>
  <c r="AT1535" i="1"/>
  <c r="AS1535" i="1"/>
  <c r="AT1534" i="1"/>
  <c r="AS1534" i="1"/>
  <c r="AR1534" i="1"/>
  <c r="AT1533" i="1"/>
  <c r="AS1533" i="1"/>
  <c r="AT1532" i="1"/>
  <c r="AS1532" i="1"/>
  <c r="AR1532" i="1"/>
  <c r="AT1531" i="1"/>
  <c r="AS1531" i="1"/>
  <c r="AR1531" i="1"/>
  <c r="AT1530" i="1"/>
  <c r="AS1530" i="1"/>
  <c r="AR1530" i="1"/>
  <c r="AT1529" i="1"/>
  <c r="AS1529" i="1"/>
  <c r="AR1529" i="1"/>
  <c r="AT1528" i="1"/>
  <c r="AS1528" i="1"/>
  <c r="AR1528" i="1"/>
  <c r="AT1527" i="1"/>
  <c r="AS1527" i="1"/>
  <c r="AR1527" i="1"/>
  <c r="AT1526" i="1"/>
  <c r="AS1526" i="1"/>
  <c r="AT1525" i="1"/>
  <c r="AS1525" i="1"/>
  <c r="AT1524" i="1"/>
  <c r="AS1524" i="1"/>
  <c r="AT1523" i="1"/>
  <c r="AS1523" i="1"/>
  <c r="AR1523" i="1"/>
  <c r="AT1522" i="1"/>
  <c r="AS1522" i="1"/>
  <c r="AR1522" i="1"/>
  <c r="AT1521" i="1"/>
  <c r="AS1521" i="1"/>
  <c r="AT1520" i="1"/>
  <c r="AS1520" i="1"/>
  <c r="AR1520" i="1"/>
  <c r="AT1519" i="1"/>
  <c r="AS1519" i="1"/>
  <c r="AR1519" i="1"/>
  <c r="AT1518" i="1"/>
  <c r="AS1518" i="1"/>
  <c r="AR1518" i="1"/>
  <c r="AT1517" i="1"/>
  <c r="AS1517" i="1"/>
  <c r="AT1516" i="1"/>
  <c r="AS1516" i="1"/>
  <c r="AR1516" i="1"/>
  <c r="AT1515" i="1"/>
  <c r="AS1515" i="1"/>
  <c r="AR1515" i="1"/>
  <c r="AT1514" i="1"/>
  <c r="AS1514" i="1"/>
  <c r="AR1514" i="1"/>
  <c r="AT1513" i="1"/>
  <c r="AS1513" i="1"/>
  <c r="AT1512" i="1"/>
  <c r="AS1512" i="1"/>
  <c r="AR1512" i="1"/>
  <c r="AT1511" i="1"/>
  <c r="AS1511" i="1"/>
  <c r="AT1510" i="1"/>
  <c r="AS1510" i="1"/>
  <c r="AR1510" i="1"/>
  <c r="AT1509" i="1"/>
  <c r="AS1509" i="1"/>
  <c r="AR1509" i="1"/>
  <c r="AT1508" i="1"/>
  <c r="AS1508" i="1"/>
  <c r="AR1508" i="1"/>
  <c r="AT1507" i="1"/>
  <c r="AS1507" i="1"/>
  <c r="AR1507" i="1"/>
  <c r="AT1506" i="1"/>
  <c r="AS1506" i="1"/>
  <c r="AR1506" i="1"/>
  <c r="AT1505" i="1"/>
  <c r="AS1505" i="1"/>
  <c r="AT1504" i="1"/>
  <c r="AS1504" i="1"/>
  <c r="AR1504" i="1"/>
  <c r="AT1503" i="1"/>
  <c r="AS1503" i="1"/>
  <c r="AR1503" i="1"/>
  <c r="AT1502" i="1"/>
  <c r="AS1502" i="1"/>
  <c r="AT1501" i="1"/>
  <c r="AS1501" i="1"/>
  <c r="AR1501" i="1"/>
  <c r="AT1500" i="1"/>
  <c r="AS1500" i="1"/>
  <c r="AR1500" i="1"/>
  <c r="AT1499" i="1"/>
  <c r="AS1499" i="1"/>
  <c r="AR1499" i="1"/>
  <c r="AT1498" i="1"/>
  <c r="AS1498" i="1"/>
  <c r="AR1498" i="1"/>
  <c r="AT1497" i="1"/>
  <c r="AS1497" i="1"/>
  <c r="AR1497" i="1"/>
  <c r="AT1496" i="1"/>
  <c r="AS1496" i="1"/>
  <c r="AT1495" i="1"/>
  <c r="AS1495" i="1"/>
  <c r="AR1495" i="1"/>
  <c r="AT1494" i="1"/>
  <c r="AS1494" i="1"/>
  <c r="AR1494" i="1"/>
  <c r="AT1493" i="1"/>
  <c r="AS1493" i="1"/>
  <c r="AR1493" i="1"/>
  <c r="AT1492" i="1"/>
  <c r="AS1492" i="1"/>
  <c r="AT1491" i="1"/>
  <c r="AS1491" i="1"/>
  <c r="AR1491" i="1"/>
  <c r="AT1490" i="1"/>
  <c r="AS1490" i="1"/>
  <c r="AR1490" i="1"/>
  <c r="AT1489" i="1"/>
  <c r="AS1489" i="1"/>
  <c r="AR1489" i="1"/>
  <c r="AT1488" i="1"/>
  <c r="AS1488" i="1"/>
  <c r="AT1487" i="1"/>
  <c r="AS1487" i="1"/>
  <c r="AR1487" i="1"/>
  <c r="AT1486" i="1"/>
  <c r="AS1486" i="1"/>
  <c r="AR1486" i="1"/>
  <c r="AT1485" i="1"/>
  <c r="AS1485" i="1"/>
  <c r="AR1485" i="1"/>
  <c r="AT1484" i="1"/>
  <c r="AS1484" i="1"/>
  <c r="AT1483" i="1"/>
  <c r="AS1483" i="1"/>
  <c r="AR1483" i="1"/>
  <c r="AT1482" i="1"/>
  <c r="AS1482" i="1"/>
  <c r="AR1482" i="1"/>
  <c r="AT1481" i="1"/>
  <c r="AS1481" i="1"/>
  <c r="AT1480" i="1"/>
  <c r="AS1480" i="1"/>
  <c r="AT1479" i="1"/>
  <c r="AS1479" i="1"/>
  <c r="AR1479" i="1"/>
  <c r="AT1478" i="1"/>
  <c r="AS1478" i="1"/>
  <c r="AR1478" i="1"/>
  <c r="AT1477" i="1"/>
  <c r="AS1477" i="1"/>
  <c r="AR1477" i="1"/>
  <c r="AT1476" i="1"/>
  <c r="AS1476" i="1"/>
  <c r="AR1476" i="1"/>
  <c r="AT1475" i="1"/>
  <c r="AS1475" i="1"/>
  <c r="AR1475" i="1"/>
  <c r="AT1474" i="1"/>
  <c r="AS1474" i="1"/>
  <c r="AT1473" i="1"/>
  <c r="AS1473" i="1"/>
  <c r="AT1472" i="1"/>
  <c r="AS1472" i="1"/>
  <c r="AR1472" i="1"/>
  <c r="AT1471" i="1"/>
  <c r="AS1471" i="1"/>
  <c r="AR1471" i="1"/>
  <c r="AT1470" i="1"/>
  <c r="AS1470" i="1"/>
  <c r="AR1470" i="1"/>
  <c r="AT1469" i="1"/>
  <c r="AS1469" i="1"/>
  <c r="AT1468" i="1"/>
  <c r="AS1468" i="1"/>
  <c r="AR1468" i="1"/>
  <c r="AT1467" i="1"/>
  <c r="AS1467" i="1"/>
  <c r="AT1466" i="1"/>
  <c r="AS1466" i="1"/>
  <c r="AR1466" i="1"/>
  <c r="AT1465" i="1"/>
  <c r="AS1465" i="1"/>
  <c r="AT1464" i="1"/>
  <c r="AS1464" i="1"/>
  <c r="AT1463" i="1"/>
  <c r="AS1463" i="1"/>
  <c r="AT1462" i="1"/>
  <c r="AS1462" i="1"/>
  <c r="AR1462" i="1"/>
  <c r="AT1461" i="1"/>
  <c r="AS1461" i="1"/>
  <c r="AT1460" i="1"/>
  <c r="AS1460" i="1"/>
  <c r="AT1459" i="1"/>
  <c r="AS1459" i="1"/>
  <c r="AR1459" i="1"/>
  <c r="AT1458" i="1"/>
  <c r="AS1458" i="1"/>
  <c r="AR1458" i="1"/>
  <c r="AT1457" i="1"/>
  <c r="AS1457" i="1"/>
  <c r="AT1456" i="1"/>
  <c r="AS1456" i="1"/>
  <c r="AT1455" i="1"/>
  <c r="AS1455" i="1"/>
  <c r="AR1455" i="1"/>
  <c r="AT1454" i="1"/>
  <c r="AS1454" i="1"/>
  <c r="AR1454" i="1"/>
  <c r="AT1453" i="1"/>
  <c r="AS1453" i="1"/>
  <c r="AT1452" i="1"/>
  <c r="AS1452" i="1"/>
  <c r="AT1451" i="1"/>
  <c r="AS1451" i="1"/>
  <c r="AT1450" i="1"/>
  <c r="AS1450" i="1"/>
  <c r="AR1450" i="1"/>
  <c r="AT1449" i="1"/>
  <c r="AS1449" i="1"/>
  <c r="AT1448" i="1"/>
  <c r="AS1448" i="1"/>
  <c r="AR1448" i="1"/>
  <c r="AT1447" i="1"/>
  <c r="AS1447" i="1"/>
  <c r="AT1446" i="1"/>
  <c r="AS1446" i="1"/>
  <c r="AR1446" i="1"/>
  <c r="AT1445" i="1"/>
  <c r="AS1445" i="1"/>
  <c r="AT1444" i="1"/>
  <c r="AS1444" i="1"/>
  <c r="AR1444" i="1"/>
  <c r="AT1443" i="1"/>
  <c r="AS1443" i="1"/>
  <c r="AR1443" i="1"/>
  <c r="AT1442" i="1"/>
  <c r="AS1442" i="1"/>
  <c r="AR1442" i="1"/>
  <c r="AT1441" i="1"/>
  <c r="AS1441" i="1"/>
  <c r="AR1441" i="1"/>
  <c r="AT1440" i="1"/>
  <c r="AS1440" i="1"/>
  <c r="AR1440" i="1"/>
  <c r="AT1439" i="1"/>
  <c r="AS1439" i="1"/>
  <c r="AT1438" i="1"/>
  <c r="AS1438" i="1"/>
  <c r="AR1438" i="1"/>
  <c r="AT1437" i="1"/>
  <c r="AS1437" i="1"/>
  <c r="AT1436" i="1"/>
  <c r="AS1436" i="1"/>
  <c r="AT1435" i="1"/>
  <c r="AS1435" i="1"/>
  <c r="AR1435" i="1"/>
  <c r="AT1434" i="1"/>
  <c r="AS1434" i="1"/>
  <c r="AR1434" i="1"/>
  <c r="AT1433" i="1"/>
  <c r="AS1433" i="1"/>
  <c r="AT1432" i="1"/>
  <c r="AS1432" i="1"/>
  <c r="AT1431" i="1"/>
  <c r="AS1431" i="1"/>
  <c r="AR1431" i="1"/>
  <c r="AT1430" i="1"/>
  <c r="AS1430" i="1"/>
  <c r="AR1430" i="1"/>
  <c r="AT1429" i="1"/>
  <c r="AS1429" i="1"/>
  <c r="AT1428" i="1"/>
  <c r="AS1428" i="1"/>
  <c r="AT1427" i="1"/>
  <c r="AS1427" i="1"/>
  <c r="AT1426" i="1"/>
  <c r="AS1426" i="1"/>
  <c r="AR1426" i="1"/>
  <c r="AT1425" i="1"/>
  <c r="AS1425" i="1"/>
  <c r="AT1424" i="1"/>
  <c r="AS1424" i="1"/>
  <c r="AT1423" i="1"/>
  <c r="AS1423" i="1"/>
  <c r="AT1422" i="1"/>
  <c r="AS1422" i="1"/>
  <c r="AT1421" i="1"/>
  <c r="AS1421" i="1"/>
  <c r="AR1421" i="1"/>
  <c r="AT1420" i="1"/>
  <c r="AS1420" i="1"/>
  <c r="AR1420" i="1"/>
  <c r="AT1419" i="1"/>
  <c r="AS1419" i="1"/>
  <c r="AR1419" i="1"/>
  <c r="AT1418" i="1"/>
  <c r="AS1418" i="1"/>
  <c r="AT1417" i="1"/>
  <c r="AS1417" i="1"/>
  <c r="AT1416" i="1"/>
  <c r="AS1416" i="1"/>
  <c r="AR1416" i="1"/>
  <c r="AT1415" i="1"/>
  <c r="AS1415" i="1"/>
  <c r="AR1415" i="1"/>
  <c r="AT1414" i="1"/>
  <c r="AS1414" i="1"/>
  <c r="AR1414" i="1"/>
  <c r="AT1413" i="1"/>
  <c r="AS1413" i="1"/>
  <c r="AT1412" i="1"/>
  <c r="AS1412" i="1"/>
  <c r="AR1412" i="1"/>
  <c r="AT1411" i="1"/>
  <c r="AS1411" i="1"/>
  <c r="AT1410" i="1"/>
  <c r="AS1410" i="1"/>
  <c r="AT1409" i="1"/>
  <c r="AS1409" i="1"/>
  <c r="AR1409" i="1"/>
  <c r="AT1408" i="1"/>
  <c r="AS1408" i="1"/>
  <c r="AR1408" i="1"/>
  <c r="AT1407" i="1"/>
  <c r="AS1407" i="1"/>
  <c r="AT1406" i="1"/>
  <c r="AS1406" i="1"/>
  <c r="AT1405" i="1"/>
  <c r="AS1405" i="1"/>
  <c r="AT1404" i="1"/>
  <c r="AS1404" i="1"/>
  <c r="AR1404" i="1"/>
  <c r="AT1403" i="1"/>
  <c r="AS1403" i="1"/>
  <c r="AT1402" i="1"/>
  <c r="AS1402" i="1"/>
  <c r="AT1401" i="1"/>
  <c r="AS1401" i="1"/>
  <c r="AT1400" i="1"/>
  <c r="AS1400" i="1"/>
  <c r="AR1400" i="1"/>
  <c r="AT1399" i="1"/>
  <c r="AS1399" i="1"/>
  <c r="AR1399" i="1"/>
  <c r="AT1398" i="1"/>
  <c r="AS1398" i="1"/>
  <c r="AR1398" i="1"/>
  <c r="AT1397" i="1"/>
  <c r="AS1397" i="1"/>
  <c r="AR1397" i="1"/>
  <c r="AT1396" i="1"/>
  <c r="AS1396" i="1"/>
  <c r="AR1396" i="1"/>
  <c r="AT1395" i="1"/>
  <c r="AS1395" i="1"/>
  <c r="AT1394" i="1"/>
  <c r="AS1394" i="1"/>
  <c r="AT1393" i="1"/>
  <c r="AS1393" i="1"/>
  <c r="AR1393" i="1"/>
  <c r="AT1392" i="1"/>
  <c r="AS1392" i="1"/>
  <c r="AR1392" i="1"/>
  <c r="AT1391" i="1"/>
  <c r="AS1391" i="1"/>
  <c r="AR1391" i="1"/>
  <c r="AT1390" i="1"/>
  <c r="AS1390" i="1"/>
  <c r="AT1389" i="1"/>
  <c r="AS1389" i="1"/>
  <c r="AR1389" i="1"/>
  <c r="AT1388" i="1"/>
  <c r="AS1388" i="1"/>
  <c r="AT1387" i="1"/>
  <c r="AS1387" i="1"/>
  <c r="AT1386" i="1"/>
  <c r="AS1386" i="1"/>
  <c r="AT1385" i="1"/>
  <c r="AS1385" i="1"/>
  <c r="AR1385" i="1"/>
  <c r="AT1384" i="1"/>
  <c r="AS1384" i="1"/>
  <c r="AT1383" i="1"/>
  <c r="AS1383" i="1"/>
  <c r="AT1382" i="1"/>
  <c r="AS1382" i="1"/>
  <c r="AR1382" i="1"/>
  <c r="AT1381" i="1"/>
  <c r="AS1381" i="1"/>
  <c r="AR1381" i="1"/>
  <c r="AT1380" i="1"/>
  <c r="AS1380" i="1"/>
  <c r="AT1379" i="1"/>
  <c r="AS1379" i="1"/>
  <c r="AT1378" i="1"/>
  <c r="AS1378" i="1"/>
  <c r="AR1378" i="1"/>
  <c r="AT1377" i="1"/>
  <c r="AS1377" i="1"/>
  <c r="AT1376" i="1"/>
  <c r="AS1376" i="1"/>
  <c r="AT1375" i="1"/>
  <c r="AS1375" i="1"/>
  <c r="AT1374" i="1"/>
  <c r="AS1374" i="1"/>
  <c r="AR1374" i="1"/>
  <c r="AT1373" i="1"/>
  <c r="AS1373" i="1"/>
  <c r="AT1372" i="1"/>
  <c r="AS1372" i="1"/>
  <c r="AT1371" i="1"/>
  <c r="AS1371" i="1"/>
  <c r="AR1371" i="1"/>
  <c r="AT1370" i="1"/>
  <c r="AS1370" i="1"/>
  <c r="AR1370" i="1"/>
  <c r="AT1369" i="1"/>
  <c r="AS1369" i="1"/>
  <c r="AR1369" i="1"/>
  <c r="AT1368" i="1"/>
  <c r="AS1368" i="1"/>
  <c r="AR1368" i="1"/>
  <c r="AT1367" i="1"/>
  <c r="AS1367" i="1"/>
  <c r="AR1367" i="1"/>
  <c r="AT1366" i="1"/>
  <c r="AS1366" i="1"/>
  <c r="AR1366" i="1"/>
  <c r="AT1365" i="1"/>
  <c r="AS1365" i="1"/>
  <c r="AR1365" i="1"/>
  <c r="AT1364" i="1"/>
  <c r="AS1364" i="1"/>
  <c r="AR1364" i="1"/>
  <c r="AT1363" i="1"/>
  <c r="AS1363" i="1"/>
  <c r="AT1362" i="1"/>
  <c r="AS1362" i="1"/>
  <c r="AT1361" i="1"/>
  <c r="AS1361" i="1"/>
  <c r="AT1360" i="1"/>
  <c r="AS1360" i="1"/>
  <c r="AT1359" i="1"/>
  <c r="AS1359" i="1"/>
  <c r="AT1358" i="1"/>
  <c r="AS1358" i="1"/>
  <c r="AT1357" i="1"/>
  <c r="AS1357" i="1"/>
  <c r="AT1356" i="1"/>
  <c r="AS1356" i="1"/>
  <c r="AT1355" i="1"/>
  <c r="AS1355" i="1"/>
  <c r="AT1354" i="1"/>
  <c r="AS1354" i="1"/>
  <c r="AR1354" i="1"/>
  <c r="AT1353" i="1"/>
  <c r="AS1353" i="1"/>
  <c r="AR1353" i="1"/>
  <c r="AT1352" i="1"/>
  <c r="AS1352" i="1"/>
  <c r="AT1351" i="1"/>
  <c r="AS1351" i="1"/>
  <c r="AR1351" i="1"/>
  <c r="AT1350" i="1"/>
  <c r="AS1350" i="1"/>
  <c r="AT1349" i="1"/>
  <c r="AS1349" i="1"/>
  <c r="AR1349" i="1"/>
  <c r="AT1348" i="1"/>
  <c r="AS1348" i="1"/>
  <c r="AR1348" i="1"/>
  <c r="AT1347" i="1"/>
  <c r="AS1347" i="1"/>
  <c r="AT1346" i="1"/>
  <c r="AS1346" i="1"/>
  <c r="AT1345" i="1"/>
  <c r="AS1345" i="1"/>
  <c r="AR1345" i="1"/>
  <c r="AT1344" i="1"/>
  <c r="AS1344" i="1"/>
  <c r="AT1343" i="1"/>
  <c r="AS1343" i="1"/>
  <c r="AT1342" i="1"/>
  <c r="AS1342" i="1"/>
  <c r="AR1342" i="1"/>
  <c r="AT1341" i="1"/>
  <c r="AS1341" i="1"/>
  <c r="AR1341" i="1"/>
  <c r="AT1340" i="1"/>
  <c r="AS1340" i="1"/>
  <c r="AT1339" i="1"/>
  <c r="AS1339" i="1"/>
  <c r="AT1338" i="1"/>
  <c r="AS1338" i="1"/>
  <c r="AT1337" i="1"/>
  <c r="AS1337" i="1"/>
  <c r="AT1336" i="1"/>
  <c r="AS1336" i="1"/>
  <c r="AR1336" i="1"/>
  <c r="AT1335" i="1"/>
  <c r="AS1335" i="1"/>
  <c r="AR1335" i="1"/>
  <c r="AT1334" i="1"/>
  <c r="AS1334" i="1"/>
  <c r="AR1334" i="1"/>
  <c r="AT1333" i="1"/>
  <c r="AS1333" i="1"/>
  <c r="AR1333" i="1"/>
  <c r="AT1332" i="1"/>
  <c r="AS1332" i="1"/>
  <c r="AT1331" i="1"/>
  <c r="AS1331" i="1"/>
  <c r="AR1331" i="1"/>
  <c r="AT1330" i="1"/>
  <c r="AS1330" i="1"/>
  <c r="AT1329" i="1"/>
  <c r="AS1329" i="1"/>
  <c r="AR1329" i="1"/>
  <c r="AT1328" i="1"/>
  <c r="AS1328" i="1"/>
  <c r="AR1328" i="1"/>
  <c r="AT1327" i="1"/>
  <c r="AS1327" i="1"/>
  <c r="AR1327" i="1"/>
  <c r="AT1326" i="1"/>
  <c r="AS1326" i="1"/>
  <c r="AR1326" i="1"/>
  <c r="AT1325" i="1"/>
  <c r="AS1325" i="1"/>
  <c r="AT1324" i="1"/>
  <c r="AS1324" i="1"/>
  <c r="AT1323" i="1"/>
  <c r="AS1323" i="1"/>
  <c r="AR1323" i="1"/>
  <c r="AT1322" i="1"/>
  <c r="AS1322" i="1"/>
  <c r="AT1321" i="1"/>
  <c r="AS1321" i="1"/>
  <c r="AT1320" i="1"/>
  <c r="AS1320" i="1"/>
  <c r="AT1319" i="1"/>
  <c r="AS1319" i="1"/>
  <c r="AR1319" i="1"/>
  <c r="AT1318" i="1"/>
  <c r="AS1318" i="1"/>
  <c r="AR1318" i="1"/>
  <c r="AT1317" i="1"/>
  <c r="AS1317" i="1"/>
  <c r="AT1316" i="1"/>
  <c r="AS1316" i="1"/>
  <c r="AR1316" i="1"/>
  <c r="AT1315" i="1"/>
  <c r="AS1315" i="1"/>
  <c r="AR1315" i="1"/>
  <c r="AT1314" i="1"/>
  <c r="AS1314" i="1"/>
  <c r="AR1314" i="1"/>
  <c r="AT1313" i="1"/>
  <c r="AS1313" i="1"/>
  <c r="AR1313" i="1"/>
  <c r="AT1312" i="1"/>
  <c r="AS1312" i="1"/>
  <c r="AR1312" i="1"/>
  <c r="AT1311" i="1"/>
  <c r="AS1311" i="1"/>
  <c r="AT1310" i="1"/>
  <c r="AS1310" i="1"/>
  <c r="AR1310" i="1"/>
  <c r="AT1309" i="1"/>
  <c r="AS1309" i="1"/>
  <c r="AR1309" i="1"/>
  <c r="AT1308" i="1"/>
  <c r="AS1308" i="1"/>
  <c r="AR1308" i="1"/>
  <c r="AT1307" i="1"/>
  <c r="AS1307" i="1"/>
  <c r="AT1306" i="1"/>
  <c r="AS1306" i="1"/>
  <c r="AR1306" i="1"/>
  <c r="AT1305" i="1"/>
  <c r="AS1305" i="1"/>
  <c r="AR1305" i="1"/>
  <c r="AT1304" i="1"/>
  <c r="AS1304" i="1"/>
  <c r="AR1304" i="1"/>
  <c r="AT1303" i="1"/>
  <c r="AS1303" i="1"/>
  <c r="AR1303" i="1"/>
  <c r="AT1302" i="1"/>
  <c r="AS1302" i="1"/>
  <c r="AR1302" i="1"/>
  <c r="AT1301" i="1"/>
  <c r="AS1301" i="1"/>
  <c r="AR1301" i="1"/>
  <c r="AT1300" i="1"/>
  <c r="AS1300" i="1"/>
  <c r="AT1299" i="1"/>
  <c r="AS1299" i="1"/>
  <c r="AR1299" i="1"/>
  <c r="AT1298" i="1"/>
  <c r="AS1298" i="1"/>
  <c r="AR1298" i="1"/>
  <c r="AT1297" i="1"/>
  <c r="AS1297" i="1"/>
  <c r="AR1297" i="1"/>
  <c r="AT1296" i="1"/>
  <c r="AS1296" i="1"/>
  <c r="AT1295" i="1"/>
  <c r="AS1295" i="1"/>
  <c r="AR1295" i="1"/>
  <c r="AT1294" i="1"/>
  <c r="AS1294" i="1"/>
  <c r="AT1293" i="1"/>
  <c r="AS1293" i="1"/>
  <c r="AT1292" i="1"/>
  <c r="AS1292" i="1"/>
  <c r="AR1292" i="1"/>
  <c r="AT1291" i="1"/>
  <c r="AS1291" i="1"/>
  <c r="AT1290" i="1"/>
  <c r="AS1290" i="1"/>
  <c r="AR1290" i="1"/>
  <c r="AT1289" i="1"/>
  <c r="AS1289" i="1"/>
  <c r="AR1289" i="1"/>
  <c r="AT1288" i="1"/>
  <c r="AS1288" i="1"/>
  <c r="AT1287" i="1"/>
  <c r="AS1287" i="1"/>
  <c r="AR1287" i="1"/>
  <c r="AT1286" i="1"/>
  <c r="AS1286" i="1"/>
  <c r="AT1285" i="1"/>
  <c r="AS1285" i="1"/>
  <c r="AT1284" i="1"/>
  <c r="AS1284" i="1"/>
  <c r="AT1283" i="1"/>
  <c r="AS1283" i="1"/>
  <c r="AR1283" i="1"/>
  <c r="AT1282" i="1"/>
  <c r="AS1282" i="1"/>
  <c r="AR1282" i="1"/>
  <c r="AT1281" i="1"/>
  <c r="AS1281" i="1"/>
  <c r="AR1281" i="1"/>
  <c r="AT1280" i="1"/>
  <c r="AS1280" i="1"/>
  <c r="AT1279" i="1"/>
  <c r="AS1279" i="1"/>
  <c r="AR1279" i="1"/>
  <c r="AT1278" i="1"/>
  <c r="AS1278" i="1"/>
  <c r="AR1278" i="1"/>
  <c r="AT1277" i="1"/>
  <c r="AS1277" i="1"/>
  <c r="AT1276" i="1"/>
  <c r="AS1276" i="1"/>
  <c r="AT1275" i="1"/>
  <c r="AS1275" i="1"/>
  <c r="AR1275" i="1"/>
  <c r="AT1274" i="1"/>
  <c r="AS1274" i="1"/>
  <c r="AR1274" i="1"/>
  <c r="AT1273" i="1"/>
  <c r="AS1273" i="1"/>
  <c r="AR1273" i="1"/>
  <c r="AT1272" i="1"/>
  <c r="AS1272" i="1"/>
  <c r="AR1272" i="1"/>
  <c r="AT1271" i="1"/>
  <c r="AS1271" i="1"/>
  <c r="AR1271" i="1"/>
  <c r="AT1270" i="1"/>
  <c r="AS1270" i="1"/>
  <c r="AR1270" i="1"/>
  <c r="AT1269" i="1"/>
  <c r="AS1269" i="1"/>
  <c r="AR1269" i="1"/>
  <c r="AT1268" i="1"/>
  <c r="AS1268" i="1"/>
  <c r="AR1268" i="1"/>
  <c r="AT1267" i="1"/>
  <c r="AS1267" i="1"/>
  <c r="AR1267" i="1"/>
  <c r="AT1266" i="1"/>
  <c r="AS1266" i="1"/>
  <c r="AR1266" i="1"/>
  <c r="AT1265" i="1"/>
  <c r="AS1265" i="1"/>
  <c r="AT1264" i="1"/>
  <c r="AS1264" i="1"/>
  <c r="AR1264" i="1"/>
  <c r="AT1263" i="1"/>
  <c r="AS1263" i="1"/>
  <c r="AR1263" i="1"/>
  <c r="AT1262" i="1"/>
  <c r="AS1262" i="1"/>
  <c r="AR1262" i="1"/>
  <c r="AT1261" i="1"/>
  <c r="AS1261" i="1"/>
  <c r="AR1261" i="1"/>
  <c r="AT1260" i="1"/>
  <c r="AS1260" i="1"/>
  <c r="AT1259" i="1"/>
  <c r="AS1259" i="1"/>
  <c r="AR1259" i="1"/>
  <c r="AT1258" i="1"/>
  <c r="AS1258" i="1"/>
  <c r="AR1258" i="1"/>
  <c r="AT1257" i="1"/>
  <c r="AS1257" i="1"/>
  <c r="AT1256" i="1"/>
  <c r="AS1256" i="1"/>
  <c r="AT1255" i="1"/>
  <c r="AS1255" i="1"/>
  <c r="AT1254" i="1"/>
  <c r="AS1254" i="1"/>
  <c r="AT1253" i="1"/>
  <c r="AS1253" i="1"/>
  <c r="AT1252" i="1"/>
  <c r="AS1252" i="1"/>
  <c r="AT1251" i="1"/>
  <c r="AS1251" i="1"/>
  <c r="AR1251" i="1"/>
  <c r="AT1250" i="1"/>
  <c r="AS1250" i="1"/>
  <c r="AR1250" i="1"/>
  <c r="AT1249" i="1"/>
  <c r="AS1249" i="1"/>
  <c r="AT1248" i="1"/>
  <c r="AS1248" i="1"/>
  <c r="AT1247" i="1"/>
  <c r="AS1247" i="1"/>
  <c r="AT1246" i="1"/>
  <c r="AS1246" i="1"/>
  <c r="AT1245" i="1"/>
  <c r="AS1245" i="1"/>
  <c r="AR1245" i="1"/>
  <c r="AT1244" i="1"/>
  <c r="AS1244" i="1"/>
  <c r="AT1243" i="1"/>
  <c r="AS1243" i="1"/>
  <c r="AR1243" i="1"/>
  <c r="AT1242" i="1"/>
  <c r="AS1242" i="1"/>
  <c r="AT1241" i="1"/>
  <c r="AS1241" i="1"/>
  <c r="AT1240" i="1"/>
  <c r="AS1240" i="1"/>
  <c r="AT1239" i="1"/>
  <c r="AS1239" i="1"/>
  <c r="AR1239" i="1"/>
  <c r="AT1238" i="1"/>
  <c r="AS1238" i="1"/>
  <c r="AT1237" i="1"/>
  <c r="AS1237" i="1"/>
  <c r="AT1236" i="1"/>
  <c r="AS1236" i="1"/>
  <c r="AR1236" i="1"/>
  <c r="AT1235" i="1"/>
  <c r="AS1235" i="1"/>
  <c r="AT1234" i="1"/>
  <c r="AS1234" i="1"/>
  <c r="AR1234" i="1"/>
  <c r="AT1233" i="1"/>
  <c r="AS1233" i="1"/>
  <c r="AT1232" i="1"/>
  <c r="AS1232" i="1"/>
  <c r="AR1232" i="1"/>
  <c r="AT1231" i="1"/>
  <c r="AS1231" i="1"/>
  <c r="AT1230" i="1"/>
  <c r="AS1230" i="1"/>
  <c r="AR1230" i="1"/>
  <c r="AT1229" i="1"/>
  <c r="AS1229" i="1"/>
  <c r="AR1229" i="1"/>
  <c r="AT1228" i="1"/>
  <c r="AS1228" i="1"/>
  <c r="AR1228" i="1"/>
  <c r="AT1227" i="1"/>
  <c r="AS1227" i="1"/>
  <c r="AT1226" i="1"/>
  <c r="AS1226" i="1"/>
  <c r="AR1226" i="1"/>
  <c r="AT1225" i="1"/>
  <c r="AS1225" i="1"/>
  <c r="AT1224" i="1"/>
  <c r="AS1224" i="1"/>
  <c r="AR1224" i="1"/>
  <c r="AT1223" i="1"/>
  <c r="AS1223" i="1"/>
  <c r="AT1222" i="1"/>
  <c r="AS1222" i="1"/>
  <c r="AR1222" i="1"/>
  <c r="AT1221" i="1"/>
  <c r="AS1221" i="1"/>
  <c r="AR1221" i="1"/>
  <c r="AT1220" i="1"/>
  <c r="AS1220" i="1"/>
  <c r="AR1220" i="1"/>
  <c r="AT1219" i="1"/>
  <c r="AS1219" i="1"/>
  <c r="AR1219" i="1"/>
  <c r="AT1218" i="1"/>
  <c r="AS1218" i="1"/>
  <c r="AT1217" i="1"/>
  <c r="AS1217" i="1"/>
  <c r="AR1217" i="1"/>
  <c r="AT1216" i="1"/>
  <c r="AS1216" i="1"/>
  <c r="AR1216" i="1"/>
  <c r="AT1215" i="1"/>
  <c r="AS1215" i="1"/>
  <c r="AR1215" i="1"/>
  <c r="AT1214" i="1"/>
  <c r="AS1214" i="1"/>
  <c r="AT1213" i="1"/>
  <c r="AS1213" i="1"/>
  <c r="AR1213" i="1"/>
  <c r="AT1212" i="1"/>
  <c r="AS1212" i="1"/>
  <c r="AT1211" i="1"/>
  <c r="AS1211" i="1"/>
  <c r="AT1210" i="1"/>
  <c r="AS1210" i="1"/>
  <c r="AR1210" i="1"/>
  <c r="AT1209" i="1"/>
  <c r="AS1209" i="1"/>
  <c r="AR1209" i="1"/>
  <c r="AT1208" i="1"/>
  <c r="AS1208" i="1"/>
  <c r="AT1207" i="1"/>
  <c r="AS1207" i="1"/>
  <c r="AR1207" i="1"/>
  <c r="AT1206" i="1"/>
  <c r="AS1206" i="1"/>
  <c r="AR1206" i="1"/>
  <c r="AT1205" i="1"/>
  <c r="AS1205" i="1"/>
  <c r="AR1205" i="1"/>
  <c r="AT1204" i="1"/>
  <c r="AS1204" i="1"/>
  <c r="AT1203" i="1"/>
  <c r="AS1203" i="1"/>
  <c r="AT1202" i="1"/>
  <c r="AS1202" i="1"/>
  <c r="AR1202" i="1"/>
  <c r="AT1201" i="1"/>
  <c r="AS1201" i="1"/>
  <c r="AR1201" i="1"/>
  <c r="AT1200" i="1"/>
  <c r="AS1200" i="1"/>
  <c r="AR1200" i="1"/>
  <c r="AT1199" i="1"/>
  <c r="AS1199" i="1"/>
  <c r="AR1199" i="1"/>
  <c r="AT1198" i="1"/>
  <c r="AS1198" i="1"/>
  <c r="AT1197" i="1"/>
  <c r="AS1197" i="1"/>
  <c r="AT1196" i="1"/>
  <c r="AS1196" i="1"/>
  <c r="AT1195" i="1"/>
  <c r="AS1195" i="1"/>
  <c r="AR1195" i="1"/>
  <c r="AT1194" i="1"/>
  <c r="AS1194" i="1"/>
  <c r="AR1194" i="1"/>
  <c r="AT1193" i="1"/>
  <c r="AS1193" i="1"/>
  <c r="AT1192" i="1"/>
  <c r="AS1192" i="1"/>
  <c r="AR1192" i="1"/>
  <c r="AT1191" i="1"/>
  <c r="AS1191" i="1"/>
  <c r="AR1191" i="1"/>
  <c r="AT1190" i="1"/>
  <c r="AS1190" i="1"/>
  <c r="AT1189" i="1"/>
  <c r="AS1189" i="1"/>
  <c r="AR1189" i="1"/>
  <c r="AT1188" i="1"/>
  <c r="AS1188" i="1"/>
  <c r="AT1187" i="1"/>
  <c r="AS1187" i="1"/>
  <c r="AT1186" i="1"/>
  <c r="AS1186" i="1"/>
  <c r="AT1185" i="1"/>
  <c r="AS1185" i="1"/>
  <c r="AR1185" i="1"/>
  <c r="AT1184" i="1"/>
  <c r="AS1184" i="1"/>
  <c r="AR1184" i="1"/>
  <c r="AT1183" i="1"/>
  <c r="AS1183" i="1"/>
  <c r="AT1182" i="1"/>
  <c r="AS1182" i="1"/>
  <c r="AT1181" i="1"/>
  <c r="AS1181" i="1"/>
  <c r="AR1181" i="1"/>
  <c r="AT1180" i="1"/>
  <c r="AS1180" i="1"/>
  <c r="AT1179" i="1"/>
  <c r="AS1179" i="1"/>
  <c r="AR1179" i="1"/>
  <c r="AT1178" i="1"/>
  <c r="AS1178" i="1"/>
  <c r="AR1178" i="1"/>
  <c r="AT1177" i="1"/>
  <c r="AS1177" i="1"/>
  <c r="AR1177" i="1"/>
  <c r="AT1176" i="1"/>
  <c r="AS1176" i="1"/>
  <c r="AR1176" i="1"/>
  <c r="AT1175" i="1"/>
  <c r="AS1175" i="1"/>
  <c r="AT1174" i="1"/>
  <c r="AS1174" i="1"/>
  <c r="AT1173" i="1"/>
  <c r="AS1173" i="1"/>
  <c r="AR1173" i="1"/>
  <c r="AT1172" i="1"/>
  <c r="AS1172" i="1"/>
  <c r="AT1171" i="1"/>
  <c r="AS1171" i="1"/>
  <c r="AT1170" i="1"/>
  <c r="AS1170" i="1"/>
  <c r="AR1170" i="1"/>
  <c r="AT1169" i="1"/>
  <c r="AS1169" i="1"/>
  <c r="AT1168" i="1"/>
  <c r="AS1168" i="1"/>
  <c r="AR1168" i="1"/>
  <c r="AT1167" i="1"/>
  <c r="AS1167" i="1"/>
  <c r="AT1166" i="1"/>
  <c r="AS1166" i="1"/>
  <c r="AT1165" i="1"/>
  <c r="AS1165" i="1"/>
  <c r="AT1164" i="1"/>
  <c r="AS1164" i="1"/>
  <c r="AR1164" i="1"/>
  <c r="AT1163" i="1"/>
  <c r="AS1163" i="1"/>
  <c r="AT1162" i="1"/>
  <c r="AS1162" i="1"/>
  <c r="AT1161" i="1"/>
  <c r="AS1161" i="1"/>
  <c r="AT1160" i="1"/>
  <c r="AS1160" i="1"/>
  <c r="AT1159" i="1"/>
  <c r="AS1159" i="1"/>
  <c r="AT1158" i="1"/>
  <c r="AS1158" i="1"/>
  <c r="AT1157" i="1"/>
  <c r="AS1157" i="1"/>
  <c r="AT1156" i="1"/>
  <c r="AS1156" i="1"/>
  <c r="AT1155" i="1"/>
  <c r="AS1155" i="1"/>
  <c r="AR1155" i="1"/>
  <c r="AT1154" i="1"/>
  <c r="AS1154" i="1"/>
  <c r="AT1153" i="1"/>
  <c r="AS1153" i="1"/>
  <c r="AR1153" i="1"/>
  <c r="AT1152" i="1"/>
  <c r="AS1152" i="1"/>
  <c r="AT1151" i="1"/>
  <c r="AS1151" i="1"/>
  <c r="AT1150" i="1"/>
  <c r="AS1150" i="1"/>
  <c r="AT1149" i="1"/>
  <c r="AS1149" i="1"/>
  <c r="AT1148" i="1"/>
  <c r="AS1148" i="1"/>
  <c r="AT1147" i="1"/>
  <c r="AS1147" i="1"/>
  <c r="AT1146" i="1"/>
  <c r="AS1146" i="1"/>
  <c r="AR1146" i="1"/>
  <c r="AT1145" i="1"/>
  <c r="AS1145" i="1"/>
  <c r="AT1144" i="1"/>
  <c r="AS1144" i="1"/>
  <c r="AR1144" i="1"/>
  <c r="AT1143" i="1"/>
  <c r="AS1143" i="1"/>
  <c r="AR1143" i="1"/>
  <c r="AT1142" i="1"/>
  <c r="AS1142" i="1"/>
  <c r="AT1141" i="1"/>
  <c r="AS1141" i="1"/>
  <c r="AR1141" i="1"/>
  <c r="AT1140" i="1"/>
  <c r="AS1140" i="1"/>
  <c r="AR1140" i="1"/>
  <c r="AT1139" i="1"/>
  <c r="AS1139" i="1"/>
  <c r="AT1138" i="1"/>
  <c r="AS1138" i="1"/>
  <c r="AT1137" i="1"/>
  <c r="AS1137" i="1"/>
  <c r="AT1136" i="1"/>
  <c r="AS1136" i="1"/>
  <c r="AT1135" i="1"/>
  <c r="AS1135" i="1"/>
  <c r="AT1134" i="1"/>
  <c r="AS1134" i="1"/>
  <c r="AT1133" i="1"/>
  <c r="AS1133" i="1"/>
  <c r="AT1132" i="1"/>
  <c r="AS1132" i="1"/>
  <c r="AT1131" i="1"/>
  <c r="AS1131" i="1"/>
  <c r="AR1131" i="1"/>
  <c r="AT1130" i="1"/>
  <c r="AS1130" i="1"/>
  <c r="AR1130" i="1"/>
  <c r="AT1129" i="1"/>
  <c r="AS1129" i="1"/>
  <c r="AR1129" i="1"/>
  <c r="AT1128" i="1"/>
  <c r="AS1128" i="1"/>
  <c r="AT1127" i="1"/>
  <c r="AS1127" i="1"/>
  <c r="AT1126" i="1"/>
  <c r="AS1126" i="1"/>
  <c r="AR1126" i="1"/>
  <c r="AT1125" i="1"/>
  <c r="AS1125" i="1"/>
  <c r="AT1124" i="1"/>
  <c r="AS1124" i="1"/>
  <c r="AR1124" i="1"/>
  <c r="AT1123" i="1"/>
  <c r="AS1123" i="1"/>
  <c r="AR1123" i="1"/>
  <c r="AT1122" i="1"/>
  <c r="AS1122" i="1"/>
  <c r="AT1121" i="1"/>
  <c r="AS1121" i="1"/>
  <c r="AR1121" i="1"/>
  <c r="AT1120" i="1"/>
  <c r="AS1120" i="1"/>
  <c r="AR1120" i="1"/>
  <c r="AT1119" i="1"/>
  <c r="AS1119" i="1"/>
  <c r="AR1119" i="1"/>
  <c r="AT1118" i="1"/>
  <c r="AS1118" i="1"/>
  <c r="AR1118" i="1"/>
  <c r="AT1117" i="1"/>
  <c r="AS1117" i="1"/>
  <c r="AR1117" i="1"/>
  <c r="AT1116" i="1"/>
  <c r="AS1116" i="1"/>
  <c r="AR1116" i="1"/>
  <c r="AT1115" i="1"/>
  <c r="AS1115" i="1"/>
  <c r="AR1115" i="1"/>
  <c r="AT1114" i="1"/>
  <c r="AS1114" i="1"/>
  <c r="AT1113" i="1"/>
  <c r="AS1113" i="1"/>
  <c r="AT1112" i="1"/>
  <c r="AS1112" i="1"/>
  <c r="AT1111" i="1"/>
  <c r="AS1111" i="1"/>
  <c r="AR1111" i="1"/>
  <c r="AT1110" i="1"/>
  <c r="AS1110" i="1"/>
  <c r="AR1110" i="1"/>
  <c r="AT1109" i="1"/>
  <c r="AS1109" i="1"/>
  <c r="AR1109" i="1"/>
  <c r="AT1108" i="1"/>
  <c r="AS1108" i="1"/>
  <c r="AT1107" i="1"/>
  <c r="AS1107" i="1"/>
  <c r="AR1107" i="1"/>
  <c r="AT1106" i="1"/>
  <c r="AS1106" i="1"/>
  <c r="AR1106" i="1"/>
  <c r="AT1105" i="1"/>
  <c r="AS1105" i="1"/>
  <c r="AR1105" i="1"/>
  <c r="AT1104" i="1"/>
  <c r="AS1104" i="1"/>
  <c r="AR1104" i="1"/>
  <c r="AT1103" i="1"/>
  <c r="AS1103" i="1"/>
  <c r="AR1103" i="1"/>
  <c r="AT1102" i="1"/>
  <c r="AS1102" i="1"/>
  <c r="AR1102" i="1"/>
  <c r="AT1101" i="1"/>
  <c r="AS1101" i="1"/>
  <c r="AR1101" i="1"/>
  <c r="AT1100" i="1"/>
  <c r="AS1100" i="1"/>
  <c r="AR1100" i="1"/>
  <c r="AT1099" i="1"/>
  <c r="AS1099" i="1"/>
  <c r="AT1098" i="1"/>
  <c r="AS1098" i="1"/>
  <c r="AT1097" i="1"/>
  <c r="AS1097" i="1"/>
  <c r="AR1097" i="1"/>
  <c r="AT1096" i="1"/>
  <c r="AS1096" i="1"/>
  <c r="AT1095" i="1"/>
  <c r="AS1095" i="1"/>
  <c r="AR1095" i="1"/>
  <c r="AT1094" i="1"/>
  <c r="AS1094" i="1"/>
  <c r="AR1094" i="1"/>
  <c r="AT1093" i="1"/>
  <c r="AS1093" i="1"/>
  <c r="AR1093" i="1"/>
  <c r="AT1092" i="1"/>
  <c r="AS1092" i="1"/>
  <c r="AT1091" i="1"/>
  <c r="AS1091" i="1"/>
  <c r="AT1090" i="1"/>
  <c r="AS1090" i="1"/>
  <c r="AR1090" i="1"/>
  <c r="AT1089" i="1"/>
  <c r="AS1089" i="1"/>
  <c r="AT1088" i="1"/>
  <c r="AS1088" i="1"/>
  <c r="AT1087" i="1"/>
  <c r="AS1087" i="1"/>
  <c r="AR1087" i="1"/>
  <c r="AT1086" i="1"/>
  <c r="AS1086" i="1"/>
  <c r="AR1086" i="1"/>
  <c r="AT1085" i="1"/>
  <c r="AS1085" i="1"/>
  <c r="AR1085" i="1"/>
  <c r="AT1084" i="1"/>
  <c r="AS1084" i="1"/>
  <c r="AR1084" i="1"/>
  <c r="AT1083" i="1"/>
  <c r="AS1083" i="1"/>
  <c r="AR1083" i="1"/>
  <c r="AT1082" i="1"/>
  <c r="AS1082" i="1"/>
  <c r="AR1082" i="1"/>
  <c r="AT1081" i="1"/>
  <c r="AS1081" i="1"/>
  <c r="AR1081" i="1"/>
  <c r="AT1080" i="1"/>
  <c r="AS1080" i="1"/>
  <c r="AT1079" i="1"/>
  <c r="AS1079" i="1"/>
  <c r="AT1078" i="1"/>
  <c r="AS1078" i="1"/>
  <c r="AR1078" i="1"/>
  <c r="AT1077" i="1"/>
  <c r="AS1077" i="1"/>
  <c r="AT1076" i="1"/>
  <c r="AS1076" i="1"/>
  <c r="AT1075" i="1"/>
  <c r="AS1075" i="1"/>
  <c r="AR1075" i="1"/>
  <c r="AT1074" i="1"/>
  <c r="AS1074" i="1"/>
  <c r="AR1074" i="1"/>
  <c r="AT1073" i="1"/>
  <c r="AS1073" i="1"/>
  <c r="AR1073" i="1"/>
  <c r="AT1072" i="1"/>
  <c r="AS1072" i="1"/>
  <c r="AR1072" i="1"/>
  <c r="AT1071" i="1"/>
  <c r="AS1071" i="1"/>
  <c r="AT1070" i="1"/>
  <c r="AS1070" i="1"/>
  <c r="AT1069" i="1"/>
  <c r="AS1069" i="1"/>
  <c r="AR1069" i="1"/>
  <c r="AT1068" i="1"/>
  <c r="AS1068" i="1"/>
  <c r="AR1068" i="1"/>
  <c r="AT1067" i="1"/>
  <c r="AS1067" i="1"/>
  <c r="AR1067" i="1"/>
  <c r="AT1066" i="1"/>
  <c r="AS1066" i="1"/>
  <c r="AT1065" i="1"/>
  <c r="AS1065" i="1"/>
  <c r="AR1065" i="1"/>
  <c r="AT1064" i="1"/>
  <c r="AS1064" i="1"/>
  <c r="AT1063" i="1"/>
  <c r="AS1063" i="1"/>
  <c r="AR1063" i="1"/>
  <c r="AT1062" i="1"/>
  <c r="AS1062" i="1"/>
  <c r="AT1061" i="1"/>
  <c r="AS1061" i="1"/>
  <c r="AT1060" i="1"/>
  <c r="AS1060" i="1"/>
  <c r="AT1059" i="1"/>
  <c r="AS1059" i="1"/>
  <c r="AT1058" i="1"/>
  <c r="AS1058" i="1"/>
  <c r="AT1057" i="1"/>
  <c r="AS1057" i="1"/>
  <c r="AT1056" i="1"/>
  <c r="AS1056" i="1"/>
  <c r="AT1055" i="1"/>
  <c r="AS1055" i="1"/>
  <c r="AR1055" i="1"/>
  <c r="AT1054" i="1"/>
  <c r="AS1054" i="1"/>
  <c r="AT1053" i="1"/>
  <c r="AS1053" i="1"/>
  <c r="AR1053" i="1"/>
  <c r="AT1052" i="1"/>
  <c r="AS1052" i="1"/>
  <c r="AR1052" i="1"/>
  <c r="AT1051" i="1"/>
  <c r="AS1051" i="1"/>
  <c r="AT1050" i="1"/>
  <c r="AS1050" i="1"/>
  <c r="AT1049" i="1"/>
  <c r="AS1049" i="1"/>
  <c r="AT1048" i="1"/>
  <c r="AS1048" i="1"/>
  <c r="AR1048" i="1"/>
  <c r="AT1047" i="1"/>
  <c r="AS1047" i="1"/>
  <c r="AR1047" i="1"/>
  <c r="AT1046" i="1"/>
  <c r="AS1046" i="1"/>
  <c r="AR1046" i="1"/>
  <c r="AT1045" i="1"/>
  <c r="AS1045" i="1"/>
  <c r="AT1044" i="1"/>
  <c r="AS1044" i="1"/>
  <c r="AT1043" i="1"/>
  <c r="AS1043" i="1"/>
  <c r="AR1043" i="1"/>
  <c r="AT1042" i="1"/>
  <c r="AS1042" i="1"/>
  <c r="AR1042" i="1"/>
  <c r="AT1041" i="1"/>
  <c r="AS1041" i="1"/>
  <c r="AT1040" i="1"/>
  <c r="AS1040" i="1"/>
  <c r="AR1040" i="1"/>
  <c r="AT1039" i="1"/>
  <c r="AS1039" i="1"/>
  <c r="AR1039" i="1"/>
  <c r="AT1038" i="1"/>
  <c r="AS1038" i="1"/>
  <c r="AT1037" i="1"/>
  <c r="AS1037" i="1"/>
  <c r="AT1036" i="1"/>
  <c r="AS1036" i="1"/>
  <c r="AT1035" i="1"/>
  <c r="AS1035" i="1"/>
  <c r="AR1035" i="1"/>
  <c r="AT1034" i="1"/>
  <c r="AS1034" i="1"/>
  <c r="AT1033" i="1"/>
  <c r="AS1033" i="1"/>
  <c r="AR1033" i="1"/>
  <c r="AT1032" i="1"/>
  <c r="AS1032" i="1"/>
  <c r="AT1031" i="1"/>
  <c r="AS1031" i="1"/>
  <c r="AR1031" i="1"/>
  <c r="AT1030" i="1"/>
  <c r="AS1030" i="1"/>
  <c r="AR1030" i="1"/>
  <c r="AT1029" i="1"/>
  <c r="AS1029" i="1"/>
  <c r="AR1029" i="1"/>
  <c r="AT1028" i="1"/>
  <c r="AS1028" i="1"/>
  <c r="AT1027" i="1"/>
  <c r="AS1027" i="1"/>
  <c r="AR1027" i="1"/>
  <c r="AT1026" i="1"/>
  <c r="AS1026" i="1"/>
  <c r="AR1026" i="1"/>
  <c r="AT1025" i="1"/>
  <c r="AS1025" i="1"/>
  <c r="AR1025" i="1"/>
  <c r="AT1024" i="1"/>
  <c r="AS1024" i="1"/>
  <c r="AR1024" i="1"/>
  <c r="AT1023" i="1"/>
  <c r="AS1023" i="1"/>
  <c r="AR1023" i="1"/>
  <c r="AT1022" i="1"/>
  <c r="AS1022" i="1"/>
  <c r="AR1022" i="1"/>
  <c r="AT1021" i="1"/>
  <c r="AS1021" i="1"/>
  <c r="AR1021" i="1"/>
  <c r="AT1020" i="1"/>
  <c r="AS1020" i="1"/>
  <c r="AR1020" i="1"/>
  <c r="AT1019" i="1"/>
  <c r="AS1019" i="1"/>
  <c r="AT1018" i="1"/>
  <c r="AS1018" i="1"/>
  <c r="AR1018" i="1"/>
  <c r="AT1017" i="1"/>
  <c r="AS1017" i="1"/>
  <c r="AT1016" i="1"/>
  <c r="AS1016" i="1"/>
  <c r="AR1016" i="1"/>
  <c r="AT1015" i="1"/>
  <c r="AS1015" i="1"/>
  <c r="AT1014" i="1"/>
  <c r="AS1014" i="1"/>
  <c r="AR1014" i="1"/>
  <c r="AT1013" i="1"/>
  <c r="AS1013" i="1"/>
  <c r="AR1013" i="1"/>
  <c r="AT1012" i="1"/>
  <c r="AS1012" i="1"/>
  <c r="AT1011" i="1"/>
  <c r="AS1011" i="1"/>
  <c r="AT1010" i="1"/>
  <c r="AS1010" i="1"/>
  <c r="AR1010" i="1"/>
  <c r="AT1009" i="1"/>
  <c r="AS1009" i="1"/>
  <c r="AT1008" i="1"/>
  <c r="AS1008" i="1"/>
  <c r="AR1008" i="1"/>
  <c r="AT1007" i="1"/>
  <c r="AS1007" i="1"/>
  <c r="AR1007" i="1"/>
  <c r="AT1006" i="1"/>
  <c r="AS1006" i="1"/>
  <c r="AT1005" i="1"/>
  <c r="AS1005" i="1"/>
  <c r="AT1004" i="1"/>
  <c r="AS1004" i="1"/>
  <c r="AT1003" i="1"/>
  <c r="AS1003" i="1"/>
  <c r="AT1002" i="1"/>
  <c r="AS1002" i="1"/>
  <c r="AT1001" i="1"/>
  <c r="AS1001" i="1"/>
  <c r="AR1001" i="1"/>
  <c r="AT1000" i="1"/>
  <c r="AS1000" i="1"/>
  <c r="AR1000" i="1"/>
  <c r="AT999" i="1"/>
  <c r="AS999" i="1"/>
  <c r="AT998" i="1"/>
  <c r="AS998" i="1"/>
  <c r="AR998" i="1"/>
  <c r="AT997" i="1"/>
  <c r="AS997" i="1"/>
  <c r="AR997" i="1"/>
  <c r="AT996" i="1"/>
  <c r="AS996" i="1"/>
  <c r="AR996" i="1"/>
  <c r="AT995" i="1"/>
  <c r="AS995" i="1"/>
  <c r="AR995" i="1"/>
  <c r="AT994" i="1"/>
  <c r="AS994" i="1"/>
  <c r="AR994" i="1"/>
  <c r="AT993" i="1"/>
  <c r="AS993" i="1"/>
  <c r="AR993" i="1"/>
  <c r="AT992" i="1"/>
  <c r="AS992" i="1"/>
  <c r="AR992" i="1"/>
  <c r="AT991" i="1"/>
  <c r="AS991" i="1"/>
  <c r="AR991" i="1"/>
  <c r="AT990" i="1"/>
  <c r="AS990" i="1"/>
  <c r="AT989" i="1"/>
  <c r="AS989" i="1"/>
  <c r="AT988" i="1"/>
  <c r="AS988" i="1"/>
  <c r="AT987" i="1"/>
  <c r="AS987" i="1"/>
  <c r="AR987" i="1"/>
  <c r="AT986" i="1"/>
  <c r="AS986" i="1"/>
  <c r="AT985" i="1"/>
  <c r="AS985" i="1"/>
  <c r="AR985" i="1"/>
  <c r="AT984" i="1"/>
  <c r="AS984" i="1"/>
  <c r="AR984" i="1"/>
  <c r="AT983" i="1"/>
  <c r="AS983" i="1"/>
  <c r="AR983" i="1"/>
  <c r="AT982" i="1"/>
  <c r="AS982" i="1"/>
  <c r="AR982" i="1"/>
  <c r="AT981" i="1"/>
  <c r="AS981" i="1"/>
  <c r="AR981" i="1"/>
  <c r="AT980" i="1"/>
  <c r="AS980" i="1"/>
  <c r="AR980" i="1"/>
  <c r="AT979" i="1"/>
  <c r="AS979" i="1"/>
  <c r="AR979" i="1"/>
  <c r="AT978" i="1"/>
  <c r="AS978" i="1"/>
  <c r="AR978" i="1"/>
  <c r="AT977" i="1"/>
  <c r="AS977" i="1"/>
  <c r="AR977" i="1"/>
  <c r="AT976" i="1"/>
  <c r="AS976" i="1"/>
  <c r="AR976" i="1"/>
  <c r="AT975" i="1"/>
  <c r="AS975" i="1"/>
  <c r="AT974" i="1"/>
  <c r="AS974" i="1"/>
  <c r="AR974" i="1"/>
  <c r="AT973" i="1"/>
  <c r="AS973" i="1"/>
  <c r="AR973" i="1"/>
  <c r="AT972" i="1"/>
  <c r="AS972" i="1"/>
  <c r="AR972" i="1"/>
  <c r="AT971" i="1"/>
  <c r="AS971" i="1"/>
  <c r="AR971" i="1"/>
  <c r="AT970" i="1"/>
  <c r="AS970" i="1"/>
  <c r="AR970" i="1"/>
  <c r="AT969" i="1"/>
  <c r="AS969" i="1"/>
  <c r="AR969" i="1"/>
  <c r="AT968" i="1"/>
  <c r="AS968" i="1"/>
  <c r="AR968" i="1"/>
  <c r="AT967" i="1"/>
  <c r="AS967" i="1"/>
  <c r="AR967" i="1"/>
  <c r="AT966" i="1"/>
  <c r="AS966" i="1"/>
  <c r="AT965" i="1"/>
  <c r="AS965" i="1"/>
  <c r="AR965" i="1"/>
  <c r="AT964" i="1"/>
  <c r="AS964" i="1"/>
  <c r="AT963" i="1"/>
  <c r="AS963" i="1"/>
  <c r="AT962" i="1"/>
  <c r="AS962" i="1"/>
  <c r="AT961" i="1"/>
  <c r="AS961" i="1"/>
  <c r="AR961" i="1"/>
  <c r="AT960" i="1"/>
  <c r="AS960" i="1"/>
  <c r="AR960" i="1"/>
  <c r="AT959" i="1"/>
  <c r="AS959" i="1"/>
  <c r="AR959" i="1"/>
  <c r="AT958" i="1"/>
  <c r="AS958" i="1"/>
  <c r="AT957" i="1"/>
  <c r="AS957" i="1"/>
  <c r="AR957" i="1"/>
  <c r="AT956" i="1"/>
  <c r="AS956" i="1"/>
  <c r="AR956" i="1"/>
  <c r="AT955" i="1"/>
  <c r="AS955" i="1"/>
  <c r="AR955" i="1"/>
  <c r="AT954" i="1"/>
  <c r="AS954" i="1"/>
  <c r="AR954" i="1"/>
  <c r="AT953" i="1"/>
  <c r="AS953" i="1"/>
  <c r="AT952" i="1"/>
  <c r="AS952" i="1"/>
  <c r="AR952" i="1"/>
  <c r="AT951" i="1"/>
  <c r="AS951" i="1"/>
  <c r="AR951" i="1"/>
  <c r="AT950" i="1"/>
  <c r="AS950" i="1"/>
  <c r="AR950" i="1"/>
  <c r="AT949" i="1"/>
  <c r="AS949" i="1"/>
  <c r="AR949" i="1"/>
  <c r="AT948" i="1"/>
  <c r="AS948" i="1"/>
  <c r="AT947" i="1"/>
  <c r="AS947" i="1"/>
  <c r="AR947" i="1"/>
  <c r="AT946" i="1"/>
  <c r="AS946" i="1"/>
  <c r="AT945" i="1"/>
  <c r="AS945" i="1"/>
  <c r="AR945" i="1"/>
  <c r="AT944" i="1"/>
  <c r="AS944" i="1"/>
  <c r="AT943" i="1"/>
  <c r="AS943" i="1"/>
  <c r="AR943" i="1"/>
  <c r="AT942" i="1"/>
  <c r="AS942" i="1"/>
  <c r="AT941" i="1"/>
  <c r="AS941" i="1"/>
  <c r="AT940" i="1"/>
  <c r="AS940" i="1"/>
  <c r="AT939" i="1"/>
  <c r="AS939" i="1"/>
  <c r="AT938" i="1"/>
  <c r="AS938" i="1"/>
  <c r="AR938" i="1"/>
  <c r="AT937" i="1"/>
  <c r="AS937" i="1"/>
  <c r="AR937" i="1"/>
  <c r="AT936" i="1"/>
  <c r="AS936" i="1"/>
  <c r="AR936" i="1"/>
  <c r="AT935" i="1"/>
  <c r="AS935" i="1"/>
  <c r="AT934" i="1"/>
  <c r="AS934" i="1"/>
  <c r="AR934" i="1"/>
  <c r="AT933" i="1"/>
  <c r="AS933" i="1"/>
  <c r="AT932" i="1"/>
  <c r="AS932" i="1"/>
  <c r="AR932" i="1"/>
  <c r="AT931" i="1"/>
  <c r="AS931" i="1"/>
  <c r="AT930" i="1"/>
  <c r="AS930" i="1"/>
  <c r="AT929" i="1"/>
  <c r="AS929" i="1"/>
  <c r="AT928" i="1"/>
  <c r="AS928" i="1"/>
  <c r="AR928" i="1"/>
  <c r="AT927" i="1"/>
  <c r="AS927" i="1"/>
  <c r="AT926" i="1"/>
  <c r="AS926" i="1"/>
  <c r="AR926" i="1"/>
  <c r="AT925" i="1"/>
  <c r="AS925" i="1"/>
  <c r="AR925" i="1"/>
  <c r="AT924" i="1"/>
  <c r="AS924" i="1"/>
  <c r="AT923" i="1"/>
  <c r="AS923" i="1"/>
  <c r="AR923" i="1"/>
  <c r="AT922" i="1"/>
  <c r="AS922" i="1"/>
  <c r="AT921" i="1"/>
  <c r="AS921" i="1"/>
  <c r="AT920" i="1"/>
  <c r="AS920" i="1"/>
  <c r="AT919" i="1"/>
  <c r="AS919" i="1"/>
  <c r="AR919" i="1"/>
  <c r="AT918" i="1"/>
  <c r="AS918" i="1"/>
  <c r="AT917" i="1"/>
  <c r="AS917" i="1"/>
  <c r="AT916" i="1"/>
  <c r="AS916" i="1"/>
  <c r="AR916" i="1"/>
  <c r="AT915" i="1"/>
  <c r="AS915" i="1"/>
  <c r="AT914" i="1"/>
  <c r="AS914" i="1"/>
  <c r="AR914" i="1"/>
  <c r="AT913" i="1"/>
  <c r="AS913" i="1"/>
  <c r="AR913" i="1"/>
  <c r="AT912" i="1"/>
  <c r="AS912" i="1"/>
  <c r="AR912" i="1"/>
  <c r="AT911" i="1"/>
  <c r="AS911" i="1"/>
  <c r="AR911" i="1"/>
  <c r="AT910" i="1"/>
  <c r="AS910" i="1"/>
  <c r="AT909" i="1"/>
  <c r="AS909" i="1"/>
  <c r="AR909" i="1"/>
  <c r="AT908" i="1"/>
  <c r="AS908" i="1"/>
  <c r="AR908" i="1"/>
  <c r="AT907" i="1"/>
  <c r="AS907" i="1"/>
  <c r="AT906" i="1"/>
  <c r="AS906" i="1"/>
  <c r="AT905" i="1"/>
  <c r="AS905" i="1"/>
  <c r="AR905" i="1"/>
  <c r="AT904" i="1"/>
  <c r="AS904" i="1"/>
  <c r="AT903" i="1"/>
  <c r="AS903" i="1"/>
  <c r="AT902" i="1"/>
  <c r="AS902" i="1"/>
  <c r="AT901" i="1"/>
  <c r="AS901" i="1"/>
  <c r="AT900" i="1"/>
  <c r="AS900" i="1"/>
  <c r="AR900" i="1"/>
  <c r="AT899" i="1"/>
  <c r="AS899" i="1"/>
  <c r="AR899" i="1"/>
  <c r="AT898" i="1"/>
  <c r="AS898" i="1"/>
  <c r="AR898" i="1"/>
  <c r="AT897" i="1"/>
  <c r="AS897" i="1"/>
  <c r="AR897" i="1"/>
  <c r="AT896" i="1"/>
  <c r="AS896" i="1"/>
  <c r="AT895" i="1"/>
  <c r="AS895" i="1"/>
  <c r="AT894" i="1"/>
  <c r="AS894" i="1"/>
  <c r="AT893" i="1"/>
  <c r="AS893" i="1"/>
  <c r="AT892" i="1"/>
  <c r="AS892" i="1"/>
  <c r="AT891" i="1"/>
  <c r="AS891" i="1"/>
  <c r="AR891" i="1"/>
  <c r="AT890" i="1"/>
  <c r="AS890" i="1"/>
  <c r="AR890" i="1"/>
  <c r="AT889" i="1"/>
  <c r="AS889" i="1"/>
  <c r="AR889" i="1"/>
  <c r="AT888" i="1"/>
  <c r="AS888" i="1"/>
  <c r="AT887" i="1"/>
  <c r="AS887" i="1"/>
  <c r="AT886" i="1"/>
  <c r="AS886" i="1"/>
  <c r="AT885" i="1"/>
  <c r="AS885" i="1"/>
  <c r="AT884" i="1"/>
  <c r="AS884" i="1"/>
  <c r="AR884" i="1"/>
  <c r="AT883" i="1"/>
  <c r="AS883" i="1"/>
  <c r="AR883" i="1"/>
  <c r="AT882" i="1"/>
  <c r="AS882" i="1"/>
  <c r="AR882" i="1"/>
  <c r="AT881" i="1"/>
  <c r="AS881" i="1"/>
  <c r="AT880" i="1"/>
  <c r="AS880" i="1"/>
  <c r="AR880" i="1"/>
  <c r="AT879" i="1"/>
  <c r="AS879" i="1"/>
  <c r="AR879" i="1"/>
  <c r="AT878" i="1"/>
  <c r="AS878" i="1"/>
  <c r="AT877" i="1"/>
  <c r="AS877" i="1"/>
  <c r="AR877" i="1"/>
  <c r="AT876" i="1"/>
  <c r="AS876" i="1"/>
  <c r="AT875" i="1"/>
  <c r="AS875" i="1"/>
  <c r="AR875" i="1"/>
  <c r="AT874" i="1"/>
  <c r="AS874" i="1"/>
  <c r="AR874" i="1"/>
  <c r="AT873" i="1"/>
  <c r="AS873" i="1"/>
  <c r="AR873" i="1"/>
  <c r="AT872" i="1"/>
  <c r="AS872" i="1"/>
  <c r="AR872" i="1"/>
  <c r="AT871" i="1"/>
  <c r="AS871" i="1"/>
  <c r="AT870" i="1"/>
  <c r="AS870" i="1"/>
  <c r="AR870" i="1"/>
  <c r="AT869" i="1"/>
  <c r="AS869" i="1"/>
  <c r="AR869" i="1"/>
  <c r="AT868" i="1"/>
  <c r="AS868" i="1"/>
  <c r="AT867" i="1"/>
  <c r="AS867" i="1"/>
  <c r="AR867" i="1"/>
  <c r="AT866" i="1"/>
  <c r="AS866" i="1"/>
  <c r="AR866" i="1"/>
  <c r="AT865" i="1"/>
  <c r="AS865" i="1"/>
  <c r="AT864" i="1"/>
  <c r="AS864" i="1"/>
  <c r="AT863" i="1"/>
  <c r="AS863" i="1"/>
  <c r="AT862" i="1"/>
  <c r="AS862" i="1"/>
  <c r="AR862" i="1"/>
  <c r="AT861" i="1"/>
  <c r="AS861" i="1"/>
  <c r="AT860" i="1"/>
  <c r="AS860" i="1"/>
  <c r="AT859" i="1"/>
  <c r="AS859" i="1"/>
  <c r="AR859" i="1"/>
  <c r="AT858" i="1"/>
  <c r="AS858" i="1"/>
  <c r="AR858" i="1"/>
  <c r="AT857" i="1"/>
  <c r="AS857" i="1"/>
  <c r="AR857" i="1"/>
  <c r="AT856" i="1"/>
  <c r="AS856" i="1"/>
  <c r="AR856" i="1"/>
  <c r="AT855" i="1"/>
  <c r="AS855" i="1"/>
  <c r="AR855" i="1"/>
  <c r="AT854" i="1"/>
  <c r="AS854" i="1"/>
  <c r="AR854" i="1"/>
  <c r="AT853" i="1"/>
  <c r="AS853" i="1"/>
  <c r="AT852" i="1"/>
  <c r="AS852" i="1"/>
  <c r="AT851" i="1"/>
  <c r="AS851" i="1"/>
  <c r="AR851" i="1"/>
  <c r="AT850" i="1"/>
  <c r="AS850" i="1"/>
  <c r="AR850" i="1"/>
  <c r="AT849" i="1"/>
  <c r="AS849" i="1"/>
  <c r="AR849" i="1"/>
  <c r="AT848" i="1"/>
  <c r="AS848" i="1"/>
  <c r="AR848" i="1"/>
  <c r="AT847" i="1"/>
  <c r="AS847" i="1"/>
  <c r="AR847" i="1"/>
  <c r="AT846" i="1"/>
  <c r="AS846" i="1"/>
  <c r="AR846" i="1"/>
  <c r="AT845" i="1"/>
  <c r="AS845" i="1"/>
  <c r="AT844" i="1"/>
  <c r="AS844" i="1"/>
  <c r="AT843" i="1"/>
  <c r="AS843" i="1"/>
  <c r="AR843" i="1"/>
  <c r="AT842" i="1"/>
  <c r="AS842" i="1"/>
  <c r="AR842" i="1"/>
  <c r="AT841" i="1"/>
  <c r="AS841" i="1"/>
  <c r="AT840" i="1"/>
  <c r="AS840" i="1"/>
  <c r="AR840" i="1"/>
  <c r="AT839" i="1"/>
  <c r="AS839" i="1"/>
  <c r="AR839" i="1"/>
  <c r="AT838" i="1"/>
  <c r="AS838" i="1"/>
  <c r="AR838" i="1"/>
  <c r="AT837" i="1"/>
  <c r="AS837" i="1"/>
  <c r="AR837" i="1"/>
  <c r="AT836" i="1"/>
  <c r="AS836" i="1"/>
  <c r="AT835" i="1"/>
  <c r="AS835" i="1"/>
  <c r="AR835" i="1"/>
  <c r="AT834" i="1"/>
  <c r="AS834" i="1"/>
  <c r="AR834" i="1"/>
  <c r="AT833" i="1"/>
  <c r="AS833" i="1"/>
  <c r="AR833" i="1"/>
  <c r="AT832" i="1"/>
  <c r="AS832" i="1"/>
  <c r="AR832" i="1"/>
  <c r="AT831" i="1"/>
  <c r="AS831" i="1"/>
  <c r="AR831" i="1"/>
  <c r="AT830" i="1"/>
  <c r="AS830" i="1"/>
  <c r="AT829" i="1"/>
  <c r="AS829" i="1"/>
  <c r="AR829" i="1"/>
  <c r="AT828" i="1"/>
  <c r="AS828" i="1"/>
  <c r="AR828" i="1"/>
  <c r="AT827" i="1"/>
  <c r="AS827" i="1"/>
  <c r="AR827" i="1"/>
  <c r="AT826" i="1"/>
  <c r="AS826" i="1"/>
  <c r="AR826" i="1"/>
  <c r="AT825" i="1"/>
  <c r="AS825" i="1"/>
  <c r="AR825" i="1"/>
  <c r="AT824" i="1"/>
  <c r="AS824" i="1"/>
  <c r="AR824" i="1"/>
  <c r="AT823" i="1"/>
  <c r="AS823" i="1"/>
  <c r="AR823" i="1"/>
  <c r="AT822" i="1"/>
  <c r="AS822" i="1"/>
  <c r="AR822" i="1"/>
  <c r="AT821" i="1"/>
  <c r="AS821" i="1"/>
  <c r="AR821" i="1"/>
  <c r="AT820" i="1"/>
  <c r="AS820" i="1"/>
  <c r="AR820" i="1"/>
  <c r="AT819" i="1"/>
  <c r="AS819" i="1"/>
  <c r="AR819" i="1"/>
  <c r="AT818" i="1"/>
  <c r="AS818" i="1"/>
  <c r="AR818" i="1"/>
  <c r="AT817" i="1"/>
  <c r="AS817" i="1"/>
  <c r="AT816" i="1"/>
  <c r="AS816" i="1"/>
  <c r="AT815" i="1"/>
  <c r="AS815" i="1"/>
  <c r="AR815" i="1"/>
  <c r="AT814" i="1"/>
  <c r="AS814" i="1"/>
  <c r="AR814" i="1"/>
  <c r="AT813" i="1"/>
  <c r="AS813" i="1"/>
  <c r="AR813" i="1"/>
  <c r="AT812" i="1"/>
  <c r="AS812" i="1"/>
  <c r="AT811" i="1"/>
  <c r="AS811" i="1"/>
  <c r="AT810" i="1"/>
  <c r="AS810" i="1"/>
  <c r="AT809" i="1"/>
  <c r="AS809" i="1"/>
  <c r="AT808" i="1"/>
  <c r="AS808" i="1"/>
  <c r="AR808" i="1"/>
  <c r="AT807" i="1"/>
  <c r="AS807" i="1"/>
  <c r="AT806" i="1"/>
  <c r="AS806" i="1"/>
  <c r="AR806" i="1"/>
  <c r="AT805" i="1"/>
  <c r="AS805" i="1"/>
  <c r="AT804" i="1"/>
  <c r="AS804" i="1"/>
  <c r="AR804" i="1"/>
  <c r="AT803" i="1"/>
  <c r="AS803" i="1"/>
  <c r="AT802" i="1"/>
  <c r="AS802" i="1"/>
  <c r="AR802" i="1"/>
  <c r="AT801" i="1"/>
  <c r="AS801" i="1"/>
  <c r="AT800" i="1"/>
  <c r="AS800" i="1"/>
  <c r="AT799" i="1"/>
  <c r="AS799" i="1"/>
  <c r="AR799" i="1"/>
  <c r="AT798" i="1"/>
  <c r="AS798" i="1"/>
  <c r="AR798" i="1"/>
  <c r="AT797" i="1"/>
  <c r="AS797" i="1"/>
  <c r="AT796" i="1"/>
  <c r="AS796" i="1"/>
  <c r="AT795" i="1"/>
  <c r="AS795" i="1"/>
  <c r="AT794" i="1"/>
  <c r="AS794" i="1"/>
  <c r="AT793" i="1"/>
  <c r="AS793" i="1"/>
  <c r="AT792" i="1"/>
  <c r="AS792" i="1"/>
  <c r="AR792" i="1"/>
  <c r="AT791" i="1"/>
  <c r="AS791" i="1"/>
  <c r="AT790" i="1"/>
  <c r="AS790" i="1"/>
  <c r="AT789" i="1"/>
  <c r="AS789" i="1"/>
  <c r="AT788" i="1"/>
  <c r="AS788" i="1"/>
  <c r="AR788" i="1"/>
  <c r="AT787" i="1"/>
  <c r="AS787" i="1"/>
  <c r="AR787" i="1"/>
  <c r="AT786" i="1"/>
  <c r="AS786" i="1"/>
  <c r="AR786" i="1"/>
  <c r="AT785" i="1"/>
  <c r="AS785" i="1"/>
  <c r="AR785" i="1"/>
  <c r="AT784" i="1"/>
  <c r="AS784" i="1"/>
  <c r="AT783" i="1"/>
  <c r="AS783" i="1"/>
  <c r="AT782" i="1"/>
  <c r="AS782" i="1"/>
  <c r="AR782" i="1"/>
  <c r="AT781" i="1"/>
  <c r="AS781" i="1"/>
  <c r="AR781" i="1"/>
  <c r="AT780" i="1"/>
  <c r="AS780" i="1"/>
  <c r="AT779" i="1"/>
  <c r="AS779" i="1"/>
  <c r="AT778" i="1"/>
  <c r="AS778" i="1"/>
  <c r="AT777" i="1"/>
  <c r="AS777" i="1"/>
  <c r="AT776" i="1"/>
  <c r="AS776" i="1"/>
  <c r="AT775" i="1"/>
  <c r="AS775" i="1"/>
  <c r="AT774" i="1"/>
  <c r="AS774" i="1"/>
  <c r="AT773" i="1"/>
  <c r="AS773" i="1"/>
  <c r="AT772" i="1"/>
  <c r="AS772" i="1"/>
  <c r="AT771" i="1"/>
  <c r="AS771" i="1"/>
  <c r="AT770" i="1"/>
  <c r="AS770" i="1"/>
  <c r="AT769" i="1"/>
  <c r="AS769" i="1"/>
  <c r="AR769" i="1"/>
  <c r="AT768" i="1"/>
  <c r="AS768" i="1"/>
  <c r="AR768" i="1"/>
  <c r="AT767" i="1"/>
  <c r="AS767" i="1"/>
  <c r="AR767" i="1"/>
  <c r="AT766" i="1"/>
  <c r="AS766" i="1"/>
  <c r="AR766" i="1"/>
  <c r="AT765" i="1"/>
  <c r="AS765" i="1"/>
  <c r="AT764" i="1"/>
  <c r="AS764" i="1"/>
  <c r="AT763" i="1"/>
  <c r="AS763" i="1"/>
  <c r="AT762" i="1"/>
  <c r="AS762" i="1"/>
  <c r="AR762" i="1"/>
  <c r="AT761" i="1"/>
  <c r="AS761" i="1"/>
  <c r="AR761" i="1"/>
  <c r="AT760" i="1"/>
  <c r="AS760" i="1"/>
  <c r="AT759" i="1"/>
  <c r="AS759" i="1"/>
  <c r="AR759" i="1"/>
  <c r="AT758" i="1"/>
  <c r="AS758" i="1"/>
  <c r="AT757" i="1"/>
  <c r="AS757" i="1"/>
  <c r="AR757" i="1"/>
  <c r="AT756" i="1"/>
  <c r="AS756" i="1"/>
  <c r="AR756" i="1"/>
  <c r="AT755" i="1"/>
  <c r="AS755" i="1"/>
  <c r="AR755" i="1"/>
  <c r="AT754" i="1"/>
  <c r="AS754" i="1"/>
  <c r="AR754" i="1"/>
  <c r="AT753" i="1"/>
  <c r="AS753" i="1"/>
  <c r="AR753" i="1"/>
  <c r="AT752" i="1"/>
  <c r="AS752" i="1"/>
  <c r="AR752" i="1"/>
  <c r="AT751" i="1"/>
  <c r="AS751" i="1"/>
  <c r="AR751" i="1"/>
  <c r="AT750" i="1"/>
  <c r="AS750" i="1"/>
  <c r="AR750" i="1"/>
  <c r="AT749" i="1"/>
  <c r="AS749" i="1"/>
  <c r="AR749" i="1"/>
  <c r="AT748" i="1"/>
  <c r="AS748" i="1"/>
  <c r="AT747" i="1"/>
  <c r="AS747" i="1"/>
  <c r="AR747" i="1"/>
  <c r="AT746" i="1"/>
  <c r="AS746" i="1"/>
  <c r="AR746" i="1"/>
  <c r="AT745" i="1"/>
  <c r="AS745" i="1"/>
  <c r="AR745" i="1"/>
  <c r="AT744" i="1"/>
  <c r="AS744" i="1"/>
  <c r="AT743" i="1"/>
  <c r="AS743" i="1"/>
  <c r="AR743" i="1"/>
  <c r="AT742" i="1"/>
  <c r="AS742" i="1"/>
  <c r="AT741" i="1"/>
  <c r="AS741" i="1"/>
  <c r="AT740" i="1"/>
  <c r="AS740" i="1"/>
  <c r="AR740" i="1"/>
  <c r="AT739" i="1"/>
  <c r="AS739" i="1"/>
  <c r="AR739" i="1"/>
  <c r="AT738" i="1"/>
  <c r="AS738" i="1"/>
  <c r="AR738" i="1"/>
  <c r="AT737" i="1"/>
  <c r="AS737" i="1"/>
  <c r="AR737" i="1"/>
  <c r="AT736" i="1"/>
  <c r="AS736" i="1"/>
  <c r="AR736" i="1"/>
  <c r="AT735" i="1"/>
  <c r="AS735" i="1"/>
  <c r="AT734" i="1"/>
  <c r="AS734" i="1"/>
  <c r="AR734" i="1"/>
  <c r="AT733" i="1"/>
  <c r="AS733" i="1"/>
  <c r="AR733" i="1"/>
  <c r="AT732" i="1"/>
  <c r="AS732" i="1"/>
  <c r="AT731" i="1"/>
  <c r="AS731" i="1"/>
  <c r="AT730" i="1"/>
  <c r="AS730" i="1"/>
  <c r="AR730" i="1"/>
  <c r="AT729" i="1"/>
  <c r="AS729" i="1"/>
  <c r="AR729" i="1"/>
  <c r="AT728" i="1"/>
  <c r="AS728" i="1"/>
  <c r="AR728" i="1"/>
  <c r="AT727" i="1"/>
  <c r="AS727" i="1"/>
  <c r="AR727" i="1"/>
  <c r="AT726" i="1"/>
  <c r="AS726" i="1"/>
  <c r="AT725" i="1"/>
  <c r="AS725" i="1"/>
  <c r="AT724" i="1"/>
  <c r="AS724" i="1"/>
  <c r="AR724" i="1"/>
  <c r="AT723" i="1"/>
  <c r="AS723" i="1"/>
  <c r="AT722" i="1"/>
  <c r="AS722" i="1"/>
  <c r="AT721" i="1"/>
  <c r="AS721" i="1"/>
  <c r="AR721" i="1"/>
  <c r="AT720" i="1"/>
  <c r="AS720" i="1"/>
  <c r="AT719" i="1"/>
  <c r="AS719" i="1"/>
  <c r="AT718" i="1"/>
  <c r="AS718" i="1"/>
  <c r="AT717" i="1"/>
  <c r="AS717" i="1"/>
  <c r="AR717" i="1"/>
  <c r="AT716" i="1"/>
  <c r="AS716" i="1"/>
  <c r="AT715" i="1"/>
  <c r="AS715" i="1"/>
  <c r="AT714" i="1"/>
  <c r="AS714" i="1"/>
  <c r="AT713" i="1"/>
  <c r="AS713" i="1"/>
  <c r="AR713" i="1"/>
  <c r="AT712" i="1"/>
  <c r="AS712" i="1"/>
  <c r="AR712" i="1"/>
  <c r="AT711" i="1"/>
  <c r="AS711" i="1"/>
  <c r="AR711" i="1"/>
  <c r="AT710" i="1"/>
  <c r="AS710" i="1"/>
  <c r="AR710" i="1"/>
  <c r="AT709" i="1"/>
  <c r="AS709" i="1"/>
  <c r="AR709" i="1"/>
  <c r="AT708" i="1"/>
  <c r="AS708" i="1"/>
  <c r="AT707" i="1"/>
  <c r="AS707" i="1"/>
  <c r="AR707" i="1"/>
  <c r="AT706" i="1"/>
  <c r="AS706" i="1"/>
  <c r="AT705" i="1"/>
  <c r="AS705" i="1"/>
  <c r="AT704" i="1"/>
  <c r="AS704" i="1"/>
  <c r="AR704" i="1"/>
  <c r="AT703" i="1"/>
  <c r="AS703" i="1"/>
  <c r="AT702" i="1"/>
  <c r="AS702" i="1"/>
  <c r="AR702" i="1"/>
  <c r="AT701" i="1"/>
  <c r="AS701" i="1"/>
  <c r="AR701" i="1"/>
  <c r="AT700" i="1"/>
  <c r="AS700" i="1"/>
  <c r="AR700" i="1"/>
  <c r="AT699" i="1"/>
  <c r="AS699" i="1"/>
  <c r="AR699" i="1"/>
  <c r="AT698" i="1"/>
  <c r="AS698" i="1"/>
  <c r="AR698" i="1"/>
  <c r="AT697" i="1"/>
  <c r="AS697" i="1"/>
  <c r="AR697" i="1"/>
  <c r="AT696" i="1"/>
  <c r="AS696" i="1"/>
  <c r="AR696" i="1"/>
  <c r="AT695" i="1"/>
  <c r="AS695" i="1"/>
  <c r="AR695" i="1"/>
  <c r="AT694" i="1"/>
  <c r="AS694" i="1"/>
  <c r="AR694" i="1"/>
  <c r="AT693" i="1"/>
  <c r="AS693" i="1"/>
  <c r="AR693" i="1"/>
  <c r="AT692" i="1"/>
  <c r="AS692" i="1"/>
  <c r="AR692" i="1"/>
  <c r="AT691" i="1"/>
  <c r="AS691" i="1"/>
  <c r="AT690" i="1"/>
  <c r="AS690" i="1"/>
  <c r="AT689" i="1"/>
  <c r="AS689" i="1"/>
  <c r="AR689" i="1"/>
  <c r="AT688" i="1"/>
  <c r="AS688" i="1"/>
  <c r="AR688" i="1"/>
  <c r="AT687" i="1"/>
  <c r="AS687" i="1"/>
  <c r="AR687" i="1"/>
  <c r="AT686" i="1"/>
  <c r="AS686" i="1"/>
  <c r="AR686" i="1"/>
  <c r="AT685" i="1"/>
  <c r="AS685" i="1"/>
  <c r="AT684" i="1"/>
  <c r="AS684" i="1"/>
  <c r="AR684" i="1"/>
  <c r="AT683" i="1"/>
  <c r="AS683" i="1"/>
  <c r="AR683" i="1"/>
  <c r="AT682" i="1"/>
  <c r="AS682" i="1"/>
  <c r="AR682" i="1"/>
  <c r="AT681" i="1"/>
  <c r="AS681" i="1"/>
  <c r="AT680" i="1"/>
  <c r="AS680" i="1"/>
  <c r="AR680" i="1"/>
  <c r="AT679" i="1"/>
  <c r="AS679" i="1"/>
  <c r="AR679" i="1"/>
  <c r="AT678" i="1"/>
  <c r="AS678" i="1"/>
  <c r="AT677" i="1"/>
  <c r="AS677" i="1"/>
  <c r="AR677" i="1"/>
  <c r="AT676" i="1"/>
  <c r="AS676" i="1"/>
  <c r="AR676" i="1"/>
  <c r="AT675" i="1"/>
  <c r="AS675" i="1"/>
  <c r="AR675" i="1"/>
  <c r="AT674" i="1"/>
  <c r="AS674" i="1"/>
  <c r="AR674" i="1"/>
  <c r="AT673" i="1"/>
  <c r="AS673" i="1"/>
  <c r="AT672" i="1"/>
  <c r="AS672" i="1"/>
  <c r="AT671" i="1"/>
  <c r="AS671" i="1"/>
  <c r="AR671" i="1"/>
  <c r="AT670" i="1"/>
  <c r="AS670" i="1"/>
  <c r="AR670" i="1"/>
  <c r="AT669" i="1"/>
  <c r="AS669" i="1"/>
  <c r="AR669" i="1"/>
  <c r="AT668" i="1"/>
  <c r="AS668" i="1"/>
  <c r="AR668" i="1"/>
  <c r="AT667" i="1"/>
  <c r="AS667" i="1"/>
  <c r="AR667" i="1"/>
  <c r="AT666" i="1"/>
  <c r="AS666" i="1"/>
  <c r="AR666" i="1"/>
  <c r="AT665" i="1"/>
  <c r="AS665" i="1"/>
  <c r="AR665" i="1"/>
  <c r="AT664" i="1"/>
  <c r="AS664" i="1"/>
  <c r="AR664" i="1"/>
  <c r="AT663" i="1"/>
  <c r="AS663" i="1"/>
  <c r="AR663" i="1"/>
  <c r="AT662" i="1"/>
  <c r="AS662" i="1"/>
  <c r="AR662" i="1"/>
  <c r="AT661" i="1"/>
  <c r="AS661" i="1"/>
  <c r="AR661" i="1"/>
  <c r="AT660" i="1"/>
  <c r="AS660" i="1"/>
  <c r="AR660" i="1"/>
  <c r="AT659" i="1"/>
  <c r="AS659" i="1"/>
  <c r="AR659" i="1"/>
  <c r="AT658" i="1"/>
  <c r="AS658" i="1"/>
  <c r="AR658" i="1"/>
  <c r="AT657" i="1"/>
  <c r="AS657" i="1"/>
  <c r="AT656" i="1"/>
  <c r="AS656" i="1"/>
  <c r="AR656" i="1"/>
  <c r="AT655" i="1"/>
  <c r="AS655" i="1"/>
  <c r="AT654" i="1"/>
  <c r="AS654" i="1"/>
  <c r="AR654" i="1"/>
  <c r="AT653" i="1"/>
  <c r="AS653" i="1"/>
  <c r="AT652" i="1"/>
  <c r="AS652" i="1"/>
  <c r="AR652" i="1"/>
  <c r="AT651" i="1"/>
  <c r="AS651" i="1"/>
  <c r="AR651" i="1"/>
  <c r="AT650" i="1"/>
  <c r="AS650" i="1"/>
  <c r="AT649" i="1"/>
  <c r="AS649" i="1"/>
  <c r="AR649" i="1"/>
  <c r="AT648" i="1"/>
  <c r="AS648" i="1"/>
  <c r="AT647" i="1"/>
  <c r="AS647" i="1"/>
  <c r="AT646" i="1"/>
  <c r="AS646" i="1"/>
  <c r="AT645" i="1"/>
  <c r="AS645" i="1"/>
  <c r="AR645" i="1"/>
  <c r="AT644" i="1"/>
  <c r="AS644" i="1"/>
  <c r="AT643" i="1"/>
  <c r="AS643" i="1"/>
  <c r="AR643" i="1"/>
  <c r="AT642" i="1"/>
  <c r="AS642" i="1"/>
  <c r="AT641" i="1"/>
  <c r="AS641" i="1"/>
  <c r="AR641" i="1"/>
  <c r="AT640" i="1"/>
  <c r="AS640" i="1"/>
  <c r="AT639" i="1"/>
  <c r="AS639" i="1"/>
  <c r="AR639" i="1"/>
  <c r="AT638" i="1"/>
  <c r="AS638" i="1"/>
  <c r="AR638" i="1"/>
  <c r="AT637" i="1"/>
  <c r="AS637" i="1"/>
  <c r="AT636" i="1"/>
  <c r="AS636" i="1"/>
  <c r="AR636" i="1"/>
  <c r="AT635" i="1"/>
  <c r="AS635" i="1"/>
  <c r="AT634" i="1"/>
  <c r="AS634" i="1"/>
  <c r="AR634" i="1"/>
  <c r="AT633" i="1"/>
  <c r="AS633" i="1"/>
  <c r="AT632" i="1"/>
  <c r="AS632" i="1"/>
  <c r="AT631" i="1"/>
  <c r="AS631" i="1"/>
  <c r="AT630" i="1"/>
  <c r="AS630" i="1"/>
  <c r="AR630" i="1"/>
  <c r="AT629" i="1"/>
  <c r="AS629" i="1"/>
  <c r="AR629" i="1"/>
  <c r="AT628" i="1"/>
  <c r="AS628" i="1"/>
  <c r="AR628" i="1"/>
  <c r="AT627" i="1"/>
  <c r="AS627" i="1"/>
  <c r="AT626" i="1"/>
  <c r="AS626" i="1"/>
  <c r="AT625" i="1"/>
  <c r="AS625" i="1"/>
  <c r="AT624" i="1"/>
  <c r="AS624" i="1"/>
  <c r="AT623" i="1"/>
  <c r="AS623" i="1"/>
  <c r="AR623" i="1"/>
  <c r="AT622" i="1"/>
  <c r="AS622" i="1"/>
  <c r="AR622" i="1"/>
  <c r="AT621" i="1"/>
  <c r="AS621" i="1"/>
  <c r="AR621" i="1"/>
  <c r="AT620" i="1"/>
  <c r="AS620" i="1"/>
  <c r="AR620" i="1"/>
  <c r="AT619" i="1"/>
  <c r="AS619" i="1"/>
  <c r="AT618" i="1"/>
  <c r="AS618" i="1"/>
  <c r="AR618" i="1"/>
  <c r="AT617" i="1"/>
  <c r="AS617" i="1"/>
  <c r="AT616" i="1"/>
  <c r="AS616" i="1"/>
  <c r="AT615" i="1"/>
  <c r="AS615" i="1"/>
  <c r="AT614" i="1"/>
  <c r="AS614" i="1"/>
  <c r="AR614" i="1"/>
  <c r="AT613" i="1"/>
  <c r="AS613" i="1"/>
  <c r="AT612" i="1"/>
  <c r="AS612" i="1"/>
  <c r="AR612" i="1"/>
  <c r="AT611" i="1"/>
  <c r="AS611" i="1"/>
  <c r="AR611" i="1"/>
  <c r="AT610" i="1"/>
  <c r="AS610" i="1"/>
  <c r="AR610" i="1"/>
  <c r="AT609" i="1"/>
  <c r="AS609" i="1"/>
  <c r="AT608" i="1"/>
  <c r="AS608" i="1"/>
  <c r="AR608" i="1"/>
  <c r="AT607" i="1"/>
  <c r="AS607" i="1"/>
  <c r="AR607" i="1"/>
  <c r="AT606" i="1"/>
  <c r="AS606" i="1"/>
  <c r="AR606" i="1"/>
  <c r="AT605" i="1"/>
  <c r="AS605" i="1"/>
  <c r="AR605" i="1"/>
  <c r="AT604" i="1"/>
  <c r="AS604" i="1"/>
  <c r="AT603" i="1"/>
  <c r="AS603" i="1"/>
  <c r="AT602" i="1"/>
  <c r="AS602" i="1"/>
  <c r="AR602" i="1"/>
  <c r="AT601" i="1"/>
  <c r="AS601" i="1"/>
  <c r="AR601" i="1"/>
  <c r="AT600" i="1"/>
  <c r="AS600" i="1"/>
  <c r="AR600" i="1"/>
  <c r="AT599" i="1"/>
  <c r="AS599" i="1"/>
  <c r="AR599" i="1"/>
  <c r="AT598" i="1"/>
  <c r="AS598" i="1"/>
  <c r="AT597" i="1"/>
  <c r="AS597" i="1"/>
  <c r="AR597" i="1"/>
  <c r="AT596" i="1"/>
  <c r="AS596" i="1"/>
  <c r="AT595" i="1"/>
  <c r="AS595" i="1"/>
  <c r="AR595" i="1"/>
  <c r="AT594" i="1"/>
  <c r="AS594" i="1"/>
  <c r="AR594" i="1"/>
  <c r="AT593" i="1"/>
  <c r="AS593" i="1"/>
  <c r="AR593" i="1"/>
  <c r="AT592" i="1"/>
  <c r="AS592" i="1"/>
  <c r="AR592" i="1"/>
  <c r="AT591" i="1"/>
  <c r="AS591" i="1"/>
  <c r="AR591" i="1"/>
  <c r="AT590" i="1"/>
  <c r="AS590" i="1"/>
  <c r="AR590" i="1"/>
  <c r="AT589" i="1"/>
  <c r="AS589" i="1"/>
  <c r="AR589" i="1"/>
  <c r="AT588" i="1"/>
  <c r="AS588" i="1"/>
  <c r="AR588" i="1"/>
  <c r="AT587" i="1"/>
  <c r="AS587" i="1"/>
  <c r="AT586" i="1"/>
  <c r="AS586" i="1"/>
  <c r="AR586" i="1"/>
  <c r="AT585" i="1"/>
  <c r="AS585" i="1"/>
  <c r="AR585" i="1"/>
  <c r="AT584" i="1"/>
  <c r="AS584" i="1"/>
  <c r="AT583" i="1"/>
  <c r="AS583" i="1"/>
  <c r="AR583" i="1"/>
  <c r="AT582" i="1"/>
  <c r="AS582" i="1"/>
  <c r="AR582" i="1"/>
  <c r="AT581" i="1"/>
  <c r="AS581" i="1"/>
  <c r="AR581" i="1"/>
  <c r="AT580" i="1"/>
  <c r="AS580" i="1"/>
  <c r="AR580" i="1"/>
  <c r="AT579" i="1"/>
  <c r="AS579" i="1"/>
  <c r="AR579" i="1"/>
  <c r="AT578" i="1"/>
  <c r="AS578" i="1"/>
  <c r="AR578" i="1"/>
  <c r="AT577" i="1"/>
  <c r="AS577" i="1"/>
  <c r="AT576" i="1"/>
  <c r="AS576" i="1"/>
  <c r="AT575" i="1"/>
  <c r="AS575" i="1"/>
  <c r="AT574" i="1"/>
  <c r="AS574" i="1"/>
  <c r="AR574" i="1"/>
  <c r="AT573" i="1"/>
  <c r="AS573" i="1"/>
  <c r="AR573" i="1"/>
  <c r="AT572" i="1"/>
  <c r="AS572" i="1"/>
  <c r="AT571" i="1"/>
  <c r="AS571" i="1"/>
  <c r="AR571" i="1"/>
  <c r="AT570" i="1"/>
  <c r="AS570" i="1"/>
  <c r="AT569" i="1"/>
  <c r="AS569" i="1"/>
  <c r="AT568" i="1"/>
  <c r="AS568" i="1"/>
  <c r="AT567" i="1"/>
  <c r="AS567" i="1"/>
  <c r="AR567" i="1"/>
  <c r="AT566" i="1"/>
  <c r="AS566" i="1"/>
  <c r="AR566" i="1"/>
  <c r="AT565" i="1"/>
  <c r="AS565" i="1"/>
  <c r="AR565" i="1"/>
  <c r="AT564" i="1"/>
  <c r="AS564" i="1"/>
  <c r="AT563" i="1"/>
  <c r="AS563" i="1"/>
  <c r="AR563" i="1"/>
  <c r="AT562" i="1"/>
  <c r="AS562" i="1"/>
  <c r="AR562" i="1"/>
  <c r="AT561" i="1"/>
  <c r="AS561" i="1"/>
  <c r="AT560" i="1"/>
  <c r="AS560" i="1"/>
  <c r="AT559" i="1"/>
  <c r="AS559" i="1"/>
  <c r="AR559" i="1"/>
  <c r="AT558" i="1"/>
  <c r="AS558" i="1"/>
  <c r="AT557" i="1"/>
  <c r="AS557" i="1"/>
  <c r="AT556" i="1"/>
  <c r="AS556" i="1"/>
  <c r="AR556" i="1"/>
  <c r="AT555" i="1"/>
  <c r="AS555" i="1"/>
  <c r="AT554" i="1"/>
  <c r="AS554" i="1"/>
  <c r="AT553" i="1"/>
  <c r="AS553" i="1"/>
  <c r="AR553" i="1"/>
  <c r="AT552" i="1"/>
  <c r="AS552" i="1"/>
  <c r="AT551" i="1"/>
  <c r="AS551" i="1"/>
  <c r="AR551" i="1"/>
  <c r="AT550" i="1"/>
  <c r="AS550" i="1"/>
  <c r="AR550" i="1"/>
  <c r="AT549" i="1"/>
  <c r="AS549" i="1"/>
  <c r="AR549" i="1"/>
  <c r="AT548" i="1"/>
  <c r="AS548" i="1"/>
  <c r="AT547" i="1"/>
  <c r="AS547" i="1"/>
  <c r="AT546" i="1"/>
  <c r="AS546" i="1"/>
  <c r="AT545" i="1"/>
  <c r="AS545" i="1"/>
  <c r="AR545" i="1"/>
  <c r="AT544" i="1"/>
  <c r="AS544" i="1"/>
  <c r="AR544" i="1"/>
  <c r="AT543" i="1"/>
  <c r="AS543" i="1"/>
  <c r="AT542" i="1"/>
  <c r="AS542" i="1"/>
  <c r="AR542" i="1"/>
  <c r="AT541" i="1"/>
  <c r="AS541" i="1"/>
  <c r="AT540" i="1"/>
  <c r="AS540" i="1"/>
  <c r="AT539" i="1"/>
  <c r="AS539" i="1"/>
  <c r="AT538" i="1"/>
  <c r="AS538" i="1"/>
  <c r="AR538" i="1"/>
  <c r="AT537" i="1"/>
  <c r="AS537" i="1"/>
  <c r="AT536" i="1"/>
  <c r="AS536" i="1"/>
  <c r="AR536" i="1"/>
  <c r="AT535" i="1"/>
  <c r="AS535" i="1"/>
  <c r="AT534" i="1"/>
  <c r="AS534" i="1"/>
  <c r="AR534" i="1"/>
  <c r="AT533" i="1"/>
  <c r="AS533" i="1"/>
  <c r="AR533" i="1"/>
  <c r="AT532" i="1"/>
  <c r="AS532" i="1"/>
  <c r="AR532" i="1"/>
  <c r="AT531" i="1"/>
  <c r="AS531" i="1"/>
  <c r="AR531" i="1"/>
  <c r="AT530" i="1"/>
  <c r="AS530" i="1"/>
  <c r="AR530" i="1"/>
  <c r="AT529" i="1"/>
  <c r="AS529" i="1"/>
  <c r="AT528" i="1"/>
  <c r="AS528" i="1"/>
  <c r="AT527" i="1"/>
  <c r="AS527" i="1"/>
  <c r="AT526" i="1"/>
  <c r="AS526" i="1"/>
  <c r="AT525" i="1"/>
  <c r="AS525" i="1"/>
  <c r="AR525" i="1"/>
  <c r="AT524" i="1"/>
  <c r="AS524" i="1"/>
  <c r="AR524" i="1"/>
  <c r="AT523" i="1"/>
  <c r="AS523" i="1"/>
  <c r="AT522" i="1"/>
  <c r="AS522" i="1"/>
  <c r="AT521" i="1"/>
  <c r="AS521" i="1"/>
  <c r="AT520" i="1"/>
  <c r="AS520" i="1"/>
  <c r="AR520" i="1"/>
  <c r="AT519" i="1"/>
  <c r="AS519" i="1"/>
  <c r="AR519" i="1"/>
  <c r="AT518" i="1"/>
  <c r="AS518" i="1"/>
  <c r="AR518" i="1"/>
  <c r="AT517" i="1"/>
  <c r="AS517" i="1"/>
  <c r="AR517" i="1"/>
  <c r="AT516" i="1"/>
  <c r="AS516" i="1"/>
  <c r="AR516" i="1"/>
  <c r="AT515" i="1"/>
  <c r="AS515" i="1"/>
  <c r="AT514" i="1"/>
  <c r="AS514" i="1"/>
  <c r="AR514" i="1"/>
  <c r="AT513" i="1"/>
  <c r="AS513" i="1"/>
  <c r="AT512" i="1"/>
  <c r="AS512" i="1"/>
  <c r="AT511" i="1"/>
  <c r="AS511" i="1"/>
  <c r="AR511" i="1"/>
  <c r="AT510" i="1"/>
  <c r="AS510" i="1"/>
  <c r="AT509" i="1"/>
  <c r="AS509" i="1"/>
  <c r="AR509" i="1"/>
  <c r="AT508" i="1"/>
  <c r="AS508" i="1"/>
  <c r="AR508" i="1"/>
  <c r="AT507" i="1"/>
  <c r="AS507" i="1"/>
  <c r="AR507" i="1"/>
  <c r="AT506" i="1"/>
  <c r="AS506" i="1"/>
  <c r="AT505" i="1"/>
  <c r="AS505" i="1"/>
  <c r="AR505" i="1"/>
  <c r="AT504" i="1"/>
  <c r="AS504" i="1"/>
  <c r="AT503" i="1"/>
  <c r="AS503" i="1"/>
  <c r="AR503" i="1"/>
  <c r="AT502" i="1"/>
  <c r="AS502" i="1"/>
  <c r="AT501" i="1"/>
  <c r="AS501" i="1"/>
  <c r="AT500" i="1"/>
  <c r="AS500" i="1"/>
  <c r="AT499" i="1"/>
  <c r="AS499" i="1"/>
  <c r="AT498" i="1"/>
  <c r="AS498" i="1"/>
  <c r="AR498" i="1"/>
  <c r="AT497" i="1"/>
  <c r="AS497" i="1"/>
  <c r="AR497" i="1"/>
  <c r="AT496" i="1"/>
  <c r="AS496" i="1"/>
  <c r="AR496" i="1"/>
  <c r="AT495" i="1"/>
  <c r="AS495" i="1"/>
  <c r="AT494" i="1"/>
  <c r="AS494" i="1"/>
  <c r="AR494" i="1"/>
  <c r="AT493" i="1"/>
  <c r="AS493" i="1"/>
  <c r="AT492" i="1"/>
  <c r="AS492" i="1"/>
  <c r="AR492" i="1"/>
  <c r="AT491" i="1"/>
  <c r="AS491" i="1"/>
  <c r="AR491" i="1"/>
  <c r="AT490" i="1"/>
  <c r="AS490" i="1"/>
  <c r="AR490" i="1"/>
  <c r="AT489" i="1"/>
  <c r="AS489" i="1"/>
  <c r="AT488" i="1"/>
  <c r="AS488" i="1"/>
  <c r="AT487" i="1"/>
  <c r="AS487" i="1"/>
  <c r="AT486" i="1"/>
  <c r="AS486" i="1"/>
  <c r="AT485" i="1"/>
  <c r="AS485" i="1"/>
  <c r="AT484" i="1"/>
  <c r="AS484" i="1"/>
  <c r="AT483" i="1"/>
  <c r="AS483" i="1"/>
  <c r="AR483" i="1"/>
  <c r="AT482" i="1"/>
  <c r="AS482" i="1"/>
  <c r="AR482" i="1"/>
  <c r="AT481" i="1"/>
  <c r="AS481" i="1"/>
  <c r="AT480" i="1"/>
  <c r="AS480" i="1"/>
  <c r="AR480" i="1"/>
  <c r="AT479" i="1"/>
  <c r="AS479" i="1"/>
  <c r="AT478" i="1"/>
  <c r="AS478" i="1"/>
  <c r="AR478" i="1"/>
  <c r="AT477" i="1"/>
  <c r="AS477" i="1"/>
  <c r="AR477" i="1"/>
  <c r="AT476" i="1"/>
  <c r="AS476" i="1"/>
  <c r="AR476" i="1"/>
  <c r="AT475" i="1"/>
  <c r="AS475" i="1"/>
  <c r="AR475" i="1"/>
  <c r="AT474" i="1"/>
  <c r="AS474" i="1"/>
  <c r="AR474" i="1"/>
  <c r="AT473" i="1"/>
  <c r="AS473" i="1"/>
  <c r="AT472" i="1"/>
  <c r="AS472" i="1"/>
  <c r="AR472" i="1"/>
  <c r="AT471" i="1"/>
  <c r="AS471" i="1"/>
  <c r="AT470" i="1"/>
  <c r="AS470" i="1"/>
  <c r="AR470" i="1"/>
  <c r="AT469" i="1"/>
  <c r="AS469" i="1"/>
  <c r="AR469" i="1"/>
  <c r="AT468" i="1"/>
  <c r="AS468" i="1"/>
  <c r="AR468" i="1"/>
  <c r="AT467" i="1"/>
  <c r="AS467" i="1"/>
  <c r="AR467" i="1"/>
  <c r="AT466" i="1"/>
  <c r="AS466" i="1"/>
  <c r="AT465" i="1"/>
  <c r="AS465" i="1"/>
  <c r="AT464" i="1"/>
  <c r="AS464" i="1"/>
  <c r="AR464" i="1"/>
  <c r="AT463" i="1"/>
  <c r="AS463" i="1"/>
  <c r="AT462" i="1"/>
  <c r="AS462" i="1"/>
  <c r="AT461" i="1"/>
  <c r="AS461" i="1"/>
  <c r="AT460" i="1"/>
  <c r="AS460" i="1"/>
  <c r="AR460" i="1"/>
  <c r="AT459" i="1"/>
  <c r="AS459" i="1"/>
  <c r="AT458" i="1"/>
  <c r="AS458" i="1"/>
  <c r="AR458" i="1"/>
  <c r="AT457" i="1"/>
  <c r="AS457" i="1"/>
  <c r="AR457" i="1"/>
  <c r="AT456" i="1"/>
  <c r="AS456" i="1"/>
  <c r="AR456" i="1"/>
  <c r="AT455" i="1"/>
  <c r="AS455" i="1"/>
  <c r="AR455" i="1"/>
  <c r="AT454" i="1"/>
  <c r="AS454" i="1"/>
  <c r="AR454" i="1"/>
  <c r="AT453" i="1"/>
  <c r="AS453" i="1"/>
  <c r="AR453" i="1"/>
  <c r="AT452" i="1"/>
  <c r="AS452" i="1"/>
  <c r="AT451" i="1"/>
  <c r="AS451" i="1"/>
  <c r="AR451" i="1"/>
  <c r="AT450" i="1"/>
  <c r="AS450" i="1"/>
  <c r="AT449" i="1"/>
  <c r="AS449" i="1"/>
  <c r="AR449" i="1"/>
  <c r="AT448" i="1"/>
  <c r="AS448" i="1"/>
  <c r="AR448" i="1"/>
  <c r="AT447" i="1"/>
  <c r="AS447" i="1"/>
  <c r="AR447" i="1"/>
  <c r="AT446" i="1"/>
  <c r="AS446" i="1"/>
  <c r="AR446" i="1"/>
  <c r="AT445" i="1"/>
  <c r="AS445" i="1"/>
  <c r="AT444" i="1"/>
  <c r="AS444" i="1"/>
  <c r="AT443" i="1"/>
  <c r="AS443" i="1"/>
  <c r="AR443" i="1"/>
  <c r="AT442" i="1"/>
  <c r="AS442" i="1"/>
  <c r="AR442" i="1"/>
  <c r="AT441" i="1"/>
  <c r="AS441" i="1"/>
  <c r="AT440" i="1"/>
  <c r="AS440" i="1"/>
  <c r="AT439" i="1"/>
  <c r="AS439" i="1"/>
  <c r="AR439" i="1"/>
  <c r="AT438" i="1"/>
  <c r="AS438" i="1"/>
  <c r="AR438" i="1"/>
  <c r="AT437" i="1"/>
  <c r="AS437" i="1"/>
  <c r="AR437" i="1"/>
  <c r="AT436" i="1"/>
  <c r="AS436" i="1"/>
  <c r="AR436" i="1"/>
  <c r="AT435" i="1"/>
  <c r="AS435" i="1"/>
  <c r="AT434" i="1"/>
  <c r="AS434" i="1"/>
  <c r="AR434" i="1"/>
  <c r="AT433" i="1"/>
  <c r="AS433" i="1"/>
  <c r="AR433" i="1"/>
  <c r="AT432" i="1"/>
  <c r="AS432" i="1"/>
  <c r="AR432" i="1"/>
  <c r="AT431" i="1"/>
  <c r="AS431" i="1"/>
  <c r="AT430" i="1"/>
  <c r="AS430" i="1"/>
  <c r="AT429" i="1"/>
  <c r="AS429" i="1"/>
  <c r="AT428" i="1"/>
  <c r="AS428" i="1"/>
  <c r="AR428" i="1"/>
  <c r="AT427" i="1"/>
  <c r="AS427" i="1"/>
  <c r="AR427" i="1"/>
  <c r="AT426" i="1"/>
  <c r="AS426" i="1"/>
  <c r="AT425" i="1"/>
  <c r="AS425" i="1"/>
  <c r="AT424" i="1"/>
  <c r="AS424" i="1"/>
  <c r="AR424" i="1"/>
  <c r="AT423" i="1"/>
  <c r="AS423" i="1"/>
  <c r="AT422" i="1"/>
  <c r="AS422" i="1"/>
  <c r="AT421" i="1"/>
  <c r="AS421" i="1"/>
  <c r="AT420" i="1"/>
  <c r="AS420" i="1"/>
  <c r="AR420" i="1"/>
  <c r="AT419" i="1"/>
  <c r="AS419" i="1"/>
  <c r="AT418" i="1"/>
  <c r="AS418" i="1"/>
  <c r="AR418" i="1"/>
  <c r="AT417" i="1"/>
  <c r="AS417" i="1"/>
  <c r="AT416" i="1"/>
  <c r="AS416" i="1"/>
  <c r="AR416" i="1"/>
  <c r="AT415" i="1"/>
  <c r="AS415" i="1"/>
  <c r="AR415" i="1"/>
  <c r="AT414" i="1"/>
  <c r="AS414" i="1"/>
  <c r="AR414" i="1"/>
  <c r="AT413" i="1"/>
  <c r="AS413" i="1"/>
  <c r="AR413" i="1"/>
  <c r="AT412" i="1"/>
  <c r="AS412" i="1"/>
  <c r="AT411" i="1"/>
  <c r="AS411" i="1"/>
  <c r="AT410" i="1"/>
  <c r="AS410" i="1"/>
  <c r="AR410" i="1"/>
  <c r="AT409" i="1"/>
  <c r="AS409" i="1"/>
  <c r="AT408" i="1"/>
  <c r="AS408" i="1"/>
  <c r="AR408" i="1"/>
  <c r="AT407" i="1"/>
  <c r="AS407" i="1"/>
  <c r="AR407" i="1"/>
  <c r="AT406" i="1"/>
  <c r="AS406" i="1"/>
  <c r="AR406" i="1"/>
  <c r="AT405" i="1"/>
  <c r="AS405" i="1"/>
  <c r="AT404" i="1"/>
  <c r="AS404" i="1"/>
  <c r="AR404" i="1"/>
  <c r="AT403" i="1"/>
  <c r="AS403" i="1"/>
  <c r="AT402" i="1"/>
  <c r="AS402" i="1"/>
  <c r="AT401" i="1"/>
  <c r="AS401" i="1"/>
  <c r="AT400" i="1"/>
  <c r="AS400" i="1"/>
  <c r="AR400" i="1"/>
  <c r="AT399" i="1"/>
  <c r="AS399" i="1"/>
  <c r="AR399" i="1"/>
  <c r="AT398" i="1"/>
  <c r="AS398" i="1"/>
  <c r="AR398" i="1"/>
  <c r="AT397" i="1"/>
  <c r="AS397" i="1"/>
  <c r="AR397" i="1"/>
  <c r="AT396" i="1"/>
  <c r="AS396" i="1"/>
  <c r="AT395" i="1"/>
  <c r="AS395" i="1"/>
  <c r="AR395" i="1"/>
  <c r="AT394" i="1"/>
  <c r="AS394" i="1"/>
  <c r="AT393" i="1"/>
  <c r="AS393" i="1"/>
  <c r="AR393" i="1"/>
  <c r="AT392" i="1"/>
  <c r="AS392" i="1"/>
  <c r="AR392" i="1"/>
  <c r="AT391" i="1"/>
  <c r="AS391" i="1"/>
  <c r="AR391" i="1"/>
  <c r="AT390" i="1"/>
  <c r="AS390" i="1"/>
  <c r="AT389" i="1"/>
  <c r="AS389" i="1"/>
  <c r="AR389" i="1"/>
  <c r="AT388" i="1"/>
  <c r="AS388" i="1"/>
  <c r="AR388" i="1"/>
  <c r="AT387" i="1"/>
  <c r="AS387" i="1"/>
  <c r="AT386" i="1"/>
  <c r="AS386" i="1"/>
  <c r="AR386" i="1"/>
  <c r="AT385" i="1"/>
  <c r="AS385" i="1"/>
  <c r="AT384" i="1"/>
  <c r="AS384" i="1"/>
  <c r="AR384" i="1"/>
  <c r="AT383" i="1"/>
  <c r="AS383" i="1"/>
  <c r="AR383" i="1"/>
  <c r="AT382" i="1"/>
  <c r="AS382" i="1"/>
  <c r="AR382" i="1"/>
  <c r="AT381" i="1"/>
  <c r="AS381" i="1"/>
  <c r="AR381" i="1"/>
  <c r="AT380" i="1"/>
  <c r="AS380" i="1"/>
  <c r="AR380" i="1"/>
  <c r="AT379" i="1"/>
  <c r="AS379" i="1"/>
  <c r="AT378" i="1"/>
  <c r="AS378" i="1"/>
  <c r="AT377" i="1"/>
  <c r="AS377" i="1"/>
  <c r="AR377" i="1"/>
  <c r="AT376" i="1"/>
  <c r="AS376" i="1"/>
  <c r="AR376" i="1"/>
  <c r="AT375" i="1"/>
  <c r="AS375" i="1"/>
  <c r="AT374" i="1"/>
  <c r="AS374" i="1"/>
  <c r="AR374" i="1"/>
  <c r="AT373" i="1"/>
  <c r="AS373" i="1"/>
  <c r="AR373" i="1"/>
  <c r="AT372" i="1"/>
  <c r="AS372" i="1"/>
  <c r="AR372" i="1"/>
  <c r="AT371" i="1"/>
  <c r="AS371" i="1"/>
  <c r="AR371" i="1"/>
  <c r="AT370" i="1"/>
  <c r="AS370" i="1"/>
  <c r="AR370" i="1"/>
  <c r="AT369" i="1"/>
  <c r="AS369" i="1"/>
  <c r="AT368" i="1"/>
  <c r="AS368" i="1"/>
  <c r="AR368" i="1"/>
  <c r="AT367" i="1"/>
  <c r="AS367" i="1"/>
  <c r="AT366" i="1"/>
  <c r="AS366" i="1"/>
  <c r="AT365" i="1"/>
  <c r="AS365" i="1"/>
  <c r="AR365" i="1"/>
  <c r="AT364" i="1"/>
  <c r="AS364" i="1"/>
  <c r="AR364" i="1"/>
  <c r="AT363" i="1"/>
  <c r="AS363" i="1"/>
  <c r="AR363" i="1"/>
  <c r="AT362" i="1"/>
  <c r="AS362" i="1"/>
  <c r="AR362" i="1"/>
  <c r="AT361" i="1"/>
  <c r="AS361" i="1"/>
  <c r="AR361" i="1"/>
  <c r="AT360" i="1"/>
  <c r="AS360" i="1"/>
  <c r="AR360" i="1"/>
  <c r="AT359" i="1"/>
  <c r="AS359" i="1"/>
  <c r="AT358" i="1"/>
  <c r="AS358" i="1"/>
  <c r="AT357" i="1"/>
  <c r="AS357" i="1"/>
  <c r="AR357" i="1"/>
  <c r="AT356" i="1"/>
  <c r="AS356" i="1"/>
  <c r="AT355" i="1"/>
  <c r="AS355" i="1"/>
  <c r="AR355" i="1"/>
  <c r="AT354" i="1"/>
  <c r="AS354" i="1"/>
  <c r="AR354" i="1"/>
  <c r="AT353" i="1"/>
  <c r="AS353" i="1"/>
  <c r="AT352" i="1"/>
  <c r="AS352" i="1"/>
  <c r="AT351" i="1"/>
  <c r="AS351" i="1"/>
  <c r="AR351" i="1"/>
  <c r="AT350" i="1"/>
  <c r="AS350" i="1"/>
  <c r="AT349" i="1"/>
  <c r="AS349" i="1"/>
  <c r="AT348" i="1"/>
  <c r="AS348" i="1"/>
  <c r="AT347" i="1"/>
  <c r="AS347" i="1"/>
  <c r="AR347" i="1"/>
  <c r="AT346" i="1"/>
  <c r="AS346" i="1"/>
  <c r="AT345" i="1"/>
  <c r="AS345" i="1"/>
  <c r="AR345" i="1"/>
  <c r="AT344" i="1"/>
  <c r="AS344" i="1"/>
  <c r="AR344" i="1"/>
  <c r="AT343" i="1"/>
  <c r="AS343" i="1"/>
  <c r="AT342" i="1"/>
  <c r="AS342" i="1"/>
  <c r="AR342" i="1"/>
  <c r="AT341" i="1"/>
  <c r="AS341" i="1"/>
  <c r="AR341" i="1"/>
  <c r="AT340" i="1"/>
  <c r="AS340" i="1"/>
  <c r="AT339" i="1"/>
  <c r="AS339" i="1"/>
  <c r="AT338" i="1"/>
  <c r="AS338" i="1"/>
  <c r="AT337" i="1"/>
  <c r="AS337" i="1"/>
  <c r="AT336" i="1"/>
  <c r="AS336" i="1"/>
  <c r="AT335" i="1"/>
  <c r="AS335" i="1"/>
  <c r="AT334" i="1"/>
  <c r="AS334" i="1"/>
  <c r="AT333" i="1"/>
  <c r="AS333" i="1"/>
  <c r="AT332" i="1"/>
  <c r="AS332" i="1"/>
  <c r="AR332" i="1"/>
  <c r="AT331" i="1"/>
  <c r="AS331" i="1"/>
  <c r="AR331" i="1"/>
  <c r="AT330" i="1"/>
  <c r="AS330" i="1"/>
  <c r="AR330" i="1"/>
  <c r="AT329" i="1"/>
  <c r="AS329" i="1"/>
  <c r="AR329" i="1"/>
  <c r="AT328" i="1"/>
  <c r="AS328" i="1"/>
  <c r="AR328" i="1"/>
  <c r="AT327" i="1"/>
  <c r="AS327" i="1"/>
  <c r="AR327" i="1"/>
  <c r="AT326" i="1"/>
  <c r="AS326" i="1"/>
  <c r="AT325" i="1"/>
  <c r="AS325" i="1"/>
  <c r="AR325" i="1"/>
  <c r="AT324" i="1"/>
  <c r="AS324" i="1"/>
  <c r="AT323" i="1"/>
  <c r="AS323" i="1"/>
  <c r="AR323" i="1"/>
  <c r="AT322" i="1"/>
  <c r="AS322" i="1"/>
  <c r="AR322" i="1"/>
  <c r="AT321" i="1"/>
  <c r="AS321" i="1"/>
  <c r="AR321" i="1"/>
  <c r="AT320" i="1"/>
  <c r="AS320" i="1"/>
  <c r="AR320" i="1"/>
  <c r="AT319" i="1"/>
  <c r="AS319" i="1"/>
  <c r="AT318" i="1"/>
  <c r="AS318" i="1"/>
  <c r="AT317" i="1"/>
  <c r="AS317" i="1"/>
  <c r="AR317" i="1"/>
  <c r="AT316" i="1"/>
  <c r="AS316" i="1"/>
  <c r="AT315" i="1"/>
  <c r="AS315" i="1"/>
  <c r="AR315" i="1"/>
  <c r="AT314" i="1"/>
  <c r="AS314" i="1"/>
  <c r="AT313" i="1"/>
  <c r="AS313" i="1"/>
  <c r="AT312" i="1"/>
  <c r="AS312" i="1"/>
  <c r="AT311" i="1"/>
  <c r="AS311" i="1"/>
  <c r="AT310" i="1"/>
  <c r="AS310" i="1"/>
  <c r="AR310" i="1"/>
  <c r="AT309" i="1"/>
  <c r="AS309" i="1"/>
  <c r="AR309" i="1"/>
  <c r="AT308" i="1"/>
  <c r="AS308" i="1"/>
  <c r="AR308" i="1"/>
  <c r="AT307" i="1"/>
  <c r="AS307" i="1"/>
  <c r="AR307" i="1"/>
  <c r="AT306" i="1"/>
  <c r="AS306" i="1"/>
  <c r="AT305" i="1"/>
  <c r="AS305" i="1"/>
  <c r="AR305" i="1"/>
  <c r="AT304" i="1"/>
  <c r="AS304" i="1"/>
  <c r="AR304" i="1"/>
  <c r="AT303" i="1"/>
  <c r="AS303" i="1"/>
  <c r="AT302" i="1"/>
  <c r="AS302" i="1"/>
  <c r="AR302" i="1"/>
  <c r="AT301" i="1"/>
  <c r="AS301" i="1"/>
  <c r="AR301" i="1"/>
  <c r="AT300" i="1"/>
  <c r="AS300" i="1"/>
  <c r="AR300" i="1"/>
  <c r="AT299" i="1"/>
  <c r="AS299" i="1"/>
  <c r="AT298" i="1"/>
  <c r="AS298" i="1"/>
  <c r="AR298" i="1"/>
  <c r="AT297" i="1"/>
  <c r="AS297" i="1"/>
  <c r="AT296" i="1"/>
  <c r="AS296" i="1"/>
  <c r="AR296" i="1"/>
  <c r="AT295" i="1"/>
  <c r="AS295" i="1"/>
  <c r="AT294" i="1"/>
  <c r="AS294" i="1"/>
  <c r="AT293" i="1"/>
  <c r="AS293" i="1"/>
  <c r="AT292" i="1"/>
  <c r="AS292" i="1"/>
  <c r="AT291" i="1"/>
  <c r="AS291" i="1"/>
  <c r="AR291" i="1"/>
  <c r="AT290" i="1"/>
  <c r="AS290" i="1"/>
  <c r="AR290" i="1"/>
  <c r="AT289" i="1"/>
  <c r="AS289" i="1"/>
  <c r="AR289" i="1"/>
  <c r="AT288" i="1"/>
  <c r="AS288" i="1"/>
  <c r="AT287" i="1"/>
  <c r="AS287" i="1"/>
  <c r="AR287" i="1"/>
  <c r="AT286" i="1"/>
  <c r="AS286" i="1"/>
  <c r="AR286" i="1"/>
  <c r="AT285" i="1"/>
  <c r="AS285" i="1"/>
  <c r="AT284" i="1"/>
  <c r="AS284" i="1"/>
  <c r="AR284" i="1"/>
  <c r="AT283" i="1"/>
  <c r="AS283" i="1"/>
  <c r="AT282" i="1"/>
  <c r="AS282" i="1"/>
  <c r="AT281" i="1"/>
  <c r="AS281" i="1"/>
  <c r="AR281" i="1"/>
  <c r="AT280" i="1"/>
  <c r="AS280" i="1"/>
  <c r="AT279" i="1"/>
  <c r="AS279" i="1"/>
  <c r="AT278" i="1"/>
  <c r="AS278" i="1"/>
  <c r="AT277" i="1"/>
  <c r="AS277" i="1"/>
  <c r="AT276" i="1"/>
  <c r="AS276" i="1"/>
  <c r="AT275" i="1"/>
  <c r="AS275" i="1"/>
  <c r="AT274" i="1"/>
  <c r="AS274" i="1"/>
  <c r="AR274" i="1"/>
  <c r="AT273" i="1"/>
  <c r="AS273" i="1"/>
  <c r="AR273" i="1"/>
  <c r="AT272" i="1"/>
  <c r="AS272" i="1"/>
  <c r="AR272" i="1"/>
  <c r="AT271" i="1"/>
  <c r="AS271" i="1"/>
  <c r="AT270" i="1"/>
  <c r="AS270" i="1"/>
  <c r="AT269" i="1"/>
  <c r="AS269" i="1"/>
  <c r="AR269" i="1"/>
  <c r="AT268" i="1"/>
  <c r="AS268" i="1"/>
  <c r="AR268" i="1"/>
  <c r="AT267" i="1"/>
  <c r="AS267" i="1"/>
  <c r="AR267" i="1"/>
  <c r="AT266" i="1"/>
  <c r="AS266" i="1"/>
  <c r="AT265" i="1"/>
  <c r="AS265" i="1"/>
  <c r="AR265" i="1"/>
  <c r="AT264" i="1"/>
  <c r="AS264" i="1"/>
  <c r="AR264" i="1"/>
  <c r="AT263" i="1"/>
  <c r="AS263" i="1"/>
  <c r="AR263" i="1"/>
  <c r="AT262" i="1"/>
  <c r="AS262" i="1"/>
  <c r="AR262" i="1"/>
  <c r="AT261" i="1"/>
  <c r="AS261" i="1"/>
  <c r="AR261" i="1"/>
  <c r="AT260" i="1"/>
  <c r="AS260" i="1"/>
  <c r="AT259" i="1"/>
  <c r="AS259" i="1"/>
  <c r="AR259" i="1"/>
  <c r="AT258" i="1"/>
  <c r="AS258" i="1"/>
  <c r="AR258" i="1"/>
  <c r="AT257" i="1"/>
  <c r="AS257" i="1"/>
  <c r="AR257" i="1"/>
  <c r="AT256" i="1"/>
  <c r="AS256" i="1"/>
  <c r="AR256" i="1"/>
  <c r="AT255" i="1"/>
  <c r="AS255" i="1"/>
  <c r="AR255" i="1"/>
  <c r="AT254" i="1"/>
  <c r="AS254" i="1"/>
  <c r="AR254" i="1"/>
  <c r="AT253" i="1"/>
  <c r="AS253" i="1"/>
  <c r="AT252" i="1"/>
  <c r="AS252" i="1"/>
  <c r="AT251" i="1"/>
  <c r="AS251" i="1"/>
  <c r="AT250" i="1"/>
  <c r="AS250" i="1"/>
  <c r="AT249" i="1"/>
  <c r="AS249" i="1"/>
  <c r="AR249" i="1"/>
  <c r="AT248" i="1"/>
  <c r="AS248" i="1"/>
  <c r="AR248" i="1"/>
  <c r="AT247" i="1"/>
  <c r="AS247" i="1"/>
  <c r="AR247" i="1"/>
  <c r="AT246" i="1"/>
  <c r="AS246" i="1"/>
  <c r="AR246" i="1"/>
  <c r="AT245" i="1"/>
  <c r="AS245" i="1"/>
  <c r="AT244" i="1"/>
  <c r="AS244" i="1"/>
  <c r="AR244" i="1"/>
  <c r="AT243" i="1"/>
  <c r="AS243" i="1"/>
  <c r="AR243" i="1"/>
  <c r="AT242" i="1"/>
  <c r="AS242" i="1"/>
  <c r="AT241" i="1"/>
  <c r="AS241" i="1"/>
  <c r="AR241" i="1"/>
  <c r="AT240" i="1"/>
  <c r="AS240" i="1"/>
  <c r="AT239" i="1"/>
  <c r="AS239" i="1"/>
  <c r="AT238" i="1"/>
  <c r="AS238" i="1"/>
  <c r="AT237" i="1"/>
  <c r="AS237" i="1"/>
  <c r="AR237" i="1"/>
  <c r="AT236" i="1"/>
  <c r="AS236" i="1"/>
  <c r="AT235" i="1"/>
  <c r="AS235" i="1"/>
  <c r="AR235" i="1"/>
  <c r="AT234" i="1"/>
  <c r="AS234" i="1"/>
  <c r="AT233" i="1"/>
  <c r="AS233" i="1"/>
  <c r="AR233" i="1"/>
  <c r="AT232" i="1"/>
  <c r="AS232" i="1"/>
  <c r="AR232" i="1"/>
  <c r="AT231" i="1"/>
  <c r="AS231" i="1"/>
  <c r="AT230" i="1"/>
  <c r="AS230" i="1"/>
  <c r="AT229" i="1"/>
  <c r="AS229" i="1"/>
  <c r="AT228" i="1"/>
  <c r="AS228" i="1"/>
  <c r="AR228" i="1"/>
  <c r="AT227" i="1"/>
  <c r="AS227" i="1"/>
  <c r="AT226" i="1"/>
  <c r="AS226" i="1"/>
  <c r="AT225" i="1"/>
  <c r="AS225" i="1"/>
  <c r="AR225" i="1"/>
  <c r="AT224" i="1"/>
  <c r="AS224" i="1"/>
  <c r="AR224" i="1"/>
  <c r="AT223" i="1"/>
  <c r="AS223" i="1"/>
  <c r="AR223" i="1"/>
  <c r="AT222" i="1"/>
  <c r="AS222" i="1"/>
  <c r="AR222" i="1"/>
  <c r="AT221" i="1"/>
  <c r="AS221" i="1"/>
  <c r="AR221" i="1"/>
  <c r="AT220" i="1"/>
  <c r="AS220" i="1"/>
  <c r="AT219" i="1"/>
  <c r="AS219" i="1"/>
  <c r="AT218" i="1"/>
  <c r="AS218" i="1"/>
  <c r="AT217" i="1"/>
  <c r="AS217" i="1"/>
  <c r="AR217" i="1"/>
  <c r="AT216" i="1"/>
  <c r="AS216" i="1"/>
  <c r="AT215" i="1"/>
  <c r="AS215" i="1"/>
  <c r="AT214" i="1"/>
  <c r="AS214" i="1"/>
  <c r="AT213" i="1"/>
  <c r="AS213" i="1"/>
  <c r="AR213" i="1"/>
  <c r="AT212" i="1"/>
  <c r="AS212" i="1"/>
  <c r="AT211" i="1"/>
  <c r="AS211" i="1"/>
  <c r="AR211" i="1"/>
  <c r="AT210" i="1"/>
  <c r="AS210" i="1"/>
  <c r="AT209" i="1"/>
  <c r="AS209" i="1"/>
  <c r="AR209" i="1"/>
  <c r="AT208" i="1"/>
  <c r="AS208" i="1"/>
  <c r="AR208" i="1"/>
  <c r="AT207" i="1"/>
  <c r="AS207" i="1"/>
  <c r="AR207" i="1"/>
  <c r="AT206" i="1"/>
  <c r="AS206" i="1"/>
  <c r="AR206" i="1"/>
  <c r="AT205" i="1"/>
  <c r="AS205" i="1"/>
  <c r="AR205" i="1"/>
  <c r="AT204" i="1"/>
  <c r="AS204" i="1"/>
  <c r="AR204" i="1"/>
  <c r="AT203" i="1"/>
  <c r="AS203" i="1"/>
  <c r="AT202" i="1"/>
  <c r="AS202" i="1"/>
  <c r="AR202" i="1"/>
  <c r="AT201" i="1"/>
  <c r="AS201" i="1"/>
  <c r="AR201" i="1"/>
  <c r="AT200" i="1"/>
  <c r="AS200" i="1"/>
  <c r="AT199" i="1"/>
  <c r="AS199" i="1"/>
  <c r="AR199" i="1"/>
  <c r="AT198" i="1"/>
  <c r="AS198" i="1"/>
  <c r="AR198" i="1"/>
  <c r="AT197" i="1"/>
  <c r="AS197" i="1"/>
  <c r="AT196" i="1"/>
  <c r="AS196" i="1"/>
  <c r="AR196" i="1"/>
  <c r="AT195" i="1"/>
  <c r="AS195" i="1"/>
  <c r="AR195" i="1"/>
  <c r="AT194" i="1"/>
  <c r="AS194" i="1"/>
  <c r="AT193" i="1"/>
  <c r="AS193" i="1"/>
  <c r="AR193" i="1"/>
  <c r="AT192" i="1"/>
  <c r="AS192" i="1"/>
  <c r="AT191" i="1"/>
  <c r="AS191" i="1"/>
  <c r="AR191" i="1"/>
  <c r="AT190" i="1"/>
  <c r="AS190" i="1"/>
  <c r="AT189" i="1"/>
  <c r="AS189" i="1"/>
  <c r="AR189" i="1"/>
  <c r="AT188" i="1"/>
  <c r="AS188" i="1"/>
  <c r="AR188" i="1"/>
  <c r="AT187" i="1"/>
  <c r="AS187" i="1"/>
  <c r="AR187" i="1"/>
  <c r="AT186" i="1"/>
  <c r="AS186" i="1"/>
  <c r="AR186" i="1"/>
  <c r="AT185" i="1"/>
  <c r="AS185" i="1"/>
  <c r="AR185" i="1"/>
  <c r="AT184" i="1"/>
  <c r="AS184" i="1"/>
  <c r="AR184" i="1"/>
  <c r="AT183" i="1"/>
  <c r="AS183" i="1"/>
  <c r="AR183" i="1"/>
  <c r="AT182" i="1"/>
  <c r="AS182" i="1"/>
  <c r="AR182" i="1"/>
  <c r="AT181" i="1"/>
  <c r="AS181" i="1"/>
  <c r="AR181" i="1"/>
  <c r="AT180" i="1"/>
  <c r="AS180" i="1"/>
  <c r="AT179" i="1"/>
  <c r="AS179" i="1"/>
  <c r="AR179" i="1"/>
  <c r="AT178" i="1"/>
  <c r="AS178" i="1"/>
  <c r="AT177" i="1"/>
  <c r="AS177" i="1"/>
  <c r="AT176" i="1"/>
  <c r="AS176" i="1"/>
  <c r="AT175" i="1"/>
  <c r="AS175" i="1"/>
  <c r="AR175" i="1"/>
  <c r="AT174" i="1"/>
  <c r="AS174" i="1"/>
  <c r="AT173" i="1"/>
  <c r="AS173" i="1"/>
  <c r="AT172" i="1"/>
  <c r="AS172" i="1"/>
  <c r="AT171" i="1"/>
  <c r="AS171" i="1"/>
  <c r="AR171" i="1"/>
  <c r="AT170" i="1"/>
  <c r="AS170" i="1"/>
  <c r="AT169" i="1"/>
  <c r="AS169" i="1"/>
  <c r="AT168" i="1"/>
  <c r="AS168" i="1"/>
  <c r="AT167" i="1"/>
  <c r="AS167" i="1"/>
  <c r="AT166" i="1"/>
  <c r="AS166" i="1"/>
  <c r="AR166" i="1"/>
  <c r="AT165" i="1"/>
  <c r="AS165" i="1"/>
  <c r="AR165" i="1"/>
  <c r="AT164" i="1"/>
  <c r="AS164" i="1"/>
  <c r="AT163" i="1"/>
  <c r="AS163" i="1"/>
  <c r="AR163" i="1"/>
  <c r="AT162" i="1"/>
  <c r="AS162" i="1"/>
  <c r="AT161" i="1"/>
  <c r="AS161" i="1"/>
  <c r="AT160" i="1"/>
  <c r="AS160" i="1"/>
  <c r="AR160" i="1"/>
  <c r="AT159" i="1"/>
  <c r="AS159" i="1"/>
  <c r="AR159" i="1"/>
  <c r="AT158" i="1"/>
  <c r="AS158" i="1"/>
  <c r="AT157" i="1"/>
  <c r="AS157" i="1"/>
  <c r="AT156" i="1"/>
  <c r="AS156" i="1"/>
  <c r="AT155" i="1"/>
  <c r="AS155" i="1"/>
  <c r="AT154" i="1"/>
  <c r="AS154" i="1"/>
  <c r="AT153" i="1"/>
  <c r="AS153" i="1"/>
  <c r="AT152" i="1"/>
  <c r="AS152" i="1"/>
  <c r="AT151" i="1"/>
  <c r="AS151" i="1"/>
  <c r="AT150" i="1"/>
  <c r="AS150" i="1"/>
  <c r="AT149" i="1"/>
  <c r="AS149" i="1"/>
  <c r="AR149" i="1"/>
  <c r="AT148" i="1"/>
  <c r="AS148" i="1"/>
  <c r="AT147" i="1"/>
  <c r="AS147" i="1"/>
  <c r="AT146" i="1"/>
  <c r="AS146" i="1"/>
  <c r="AR146" i="1"/>
  <c r="AT145" i="1"/>
  <c r="AS145" i="1"/>
  <c r="AR145" i="1"/>
  <c r="AT144" i="1"/>
  <c r="AS144" i="1"/>
  <c r="AT143" i="1"/>
  <c r="AS143" i="1"/>
  <c r="AR143" i="1"/>
  <c r="AT142" i="1"/>
  <c r="AS142" i="1"/>
  <c r="AR142" i="1"/>
  <c r="AT141" i="1"/>
  <c r="AS141" i="1"/>
  <c r="AR141" i="1"/>
  <c r="AT140" i="1"/>
  <c r="AS140" i="1"/>
  <c r="AR140" i="1"/>
  <c r="AT139" i="1"/>
  <c r="AS139" i="1"/>
  <c r="AT138" i="1"/>
  <c r="AS138" i="1"/>
  <c r="AR138" i="1"/>
  <c r="AT137" i="1"/>
  <c r="AS137" i="1"/>
  <c r="AR137" i="1"/>
  <c r="AT136" i="1"/>
  <c r="AS136" i="1"/>
  <c r="AT135" i="1"/>
  <c r="AS135" i="1"/>
  <c r="AR135" i="1"/>
  <c r="AT134" i="1"/>
  <c r="AS134" i="1"/>
  <c r="AR134" i="1"/>
  <c r="AT133" i="1"/>
  <c r="AS133" i="1"/>
  <c r="AT132" i="1"/>
  <c r="AS132" i="1"/>
  <c r="AT131" i="1"/>
  <c r="AS131" i="1"/>
  <c r="AR131" i="1"/>
  <c r="AT130" i="1"/>
  <c r="AS130" i="1"/>
  <c r="AT129" i="1"/>
  <c r="AS129" i="1"/>
  <c r="AR129" i="1"/>
  <c r="AT128" i="1"/>
  <c r="AS128" i="1"/>
  <c r="AT127" i="1"/>
  <c r="AS127" i="1"/>
  <c r="AR127" i="1"/>
  <c r="AT126" i="1"/>
  <c r="AS126" i="1"/>
  <c r="AR126" i="1"/>
  <c r="AT125" i="1"/>
  <c r="AS125" i="1"/>
  <c r="AR125" i="1"/>
  <c r="AT124" i="1"/>
  <c r="AS124" i="1"/>
  <c r="AR124" i="1"/>
  <c r="AT123" i="1"/>
  <c r="AS123" i="1"/>
  <c r="AR123" i="1"/>
  <c r="AT122" i="1"/>
  <c r="AS122" i="1"/>
  <c r="AT121" i="1"/>
  <c r="AS121" i="1"/>
  <c r="AT120" i="1"/>
  <c r="AS120" i="1"/>
  <c r="AT119" i="1"/>
  <c r="AS119" i="1"/>
  <c r="AR119" i="1"/>
  <c r="AT118" i="1"/>
  <c r="AS118" i="1"/>
  <c r="AT117" i="1"/>
  <c r="AS117" i="1"/>
  <c r="AT116" i="1"/>
  <c r="AS116" i="1"/>
  <c r="AT115" i="1"/>
  <c r="AS115" i="1"/>
  <c r="AT114" i="1"/>
  <c r="AS114" i="1"/>
  <c r="AR114" i="1"/>
  <c r="AT113" i="1"/>
  <c r="AS113" i="1"/>
  <c r="AR113" i="1"/>
  <c r="AT112" i="1"/>
  <c r="AS112" i="1"/>
  <c r="AR112" i="1"/>
  <c r="AT111" i="1"/>
  <c r="AS111" i="1"/>
  <c r="AR111" i="1"/>
  <c r="AT110" i="1"/>
  <c r="AS110" i="1"/>
  <c r="AR110" i="1"/>
  <c r="AT109" i="1"/>
  <c r="AS109" i="1"/>
  <c r="AT108" i="1"/>
  <c r="AS108" i="1"/>
  <c r="AT107" i="1"/>
  <c r="AS107" i="1"/>
  <c r="AT106" i="1"/>
  <c r="AS106" i="1"/>
  <c r="AT105" i="1"/>
  <c r="AS105" i="1"/>
  <c r="AT104" i="1"/>
  <c r="AS104" i="1"/>
  <c r="AT103" i="1"/>
  <c r="AS103" i="1"/>
  <c r="AT102" i="1"/>
  <c r="AS102" i="1"/>
  <c r="AT101" i="1"/>
  <c r="AS101" i="1"/>
  <c r="AT100" i="1"/>
  <c r="AS100" i="1"/>
  <c r="AT99" i="1"/>
  <c r="AS99" i="1"/>
  <c r="AT98" i="1"/>
  <c r="AS98" i="1"/>
  <c r="AT97" i="1"/>
  <c r="AS97" i="1"/>
  <c r="AT96" i="1"/>
  <c r="AS96" i="1"/>
  <c r="AT95" i="1"/>
  <c r="AS95" i="1"/>
  <c r="AT94" i="1"/>
  <c r="AS94" i="1"/>
  <c r="AT93" i="1"/>
  <c r="AS93" i="1"/>
  <c r="AT92" i="1"/>
  <c r="AS92" i="1"/>
  <c r="AT91" i="1"/>
  <c r="AS91" i="1"/>
  <c r="AT90" i="1"/>
  <c r="AS90" i="1"/>
  <c r="AT89" i="1"/>
  <c r="AS89" i="1"/>
  <c r="AT88" i="1"/>
  <c r="AS88" i="1"/>
  <c r="AT87" i="1"/>
  <c r="AS87" i="1"/>
  <c r="AT86" i="1"/>
  <c r="AS86" i="1"/>
  <c r="AT85" i="1"/>
  <c r="AS85" i="1"/>
  <c r="AT84" i="1"/>
  <c r="AS84" i="1"/>
  <c r="AT83" i="1"/>
  <c r="AS83" i="1"/>
  <c r="AT82" i="1"/>
  <c r="AS82" i="1"/>
  <c r="AT81" i="1"/>
  <c r="AS81" i="1"/>
  <c r="AT80" i="1"/>
  <c r="AS80" i="1"/>
  <c r="AT79" i="1"/>
  <c r="AS79" i="1"/>
  <c r="AT78" i="1"/>
  <c r="AS78" i="1"/>
  <c r="AT77" i="1"/>
  <c r="AS77" i="1"/>
  <c r="AT76" i="1"/>
  <c r="AS76" i="1"/>
  <c r="AT75" i="1"/>
  <c r="AS75" i="1"/>
  <c r="AT74" i="1"/>
  <c r="AS74" i="1"/>
  <c r="AT73" i="1"/>
  <c r="AS73" i="1"/>
  <c r="AT72" i="1"/>
  <c r="AS72" i="1"/>
  <c r="AT71" i="1"/>
  <c r="AS71" i="1"/>
  <c r="AT70" i="1"/>
  <c r="AS70" i="1"/>
  <c r="AT69" i="1"/>
  <c r="AS69" i="1"/>
  <c r="AT68" i="1"/>
  <c r="AS68" i="1"/>
  <c r="AT67" i="1"/>
  <c r="AS67" i="1"/>
  <c r="AT66" i="1"/>
  <c r="AS66" i="1"/>
  <c r="AT65" i="1"/>
  <c r="AS65" i="1"/>
  <c r="AT64" i="1"/>
  <c r="AS64" i="1"/>
  <c r="AT63" i="1"/>
  <c r="AS63" i="1"/>
  <c r="AT62" i="1"/>
  <c r="AS62" i="1"/>
  <c r="AT61" i="1"/>
  <c r="AS61" i="1"/>
  <c r="AT60" i="1"/>
  <c r="AS60" i="1"/>
  <c r="AT59" i="1"/>
  <c r="AS59" i="1"/>
  <c r="AT58" i="1"/>
  <c r="AS58" i="1"/>
  <c r="AT57" i="1"/>
  <c r="AS57" i="1"/>
  <c r="AT56" i="1"/>
  <c r="AS56" i="1"/>
  <c r="AT55" i="1"/>
  <c r="AS55" i="1"/>
  <c r="AT54" i="1"/>
  <c r="AS54" i="1"/>
  <c r="AT53" i="1"/>
  <c r="AS53" i="1"/>
  <c r="AT52" i="1"/>
  <c r="AS52" i="1"/>
  <c r="AT51" i="1"/>
  <c r="AS51" i="1"/>
  <c r="AT50" i="1"/>
  <c r="AS50" i="1"/>
  <c r="AT49" i="1"/>
  <c r="AS49" i="1"/>
  <c r="AT48" i="1"/>
  <c r="AS48" i="1"/>
  <c r="AT47" i="1"/>
  <c r="AS47" i="1"/>
  <c r="AT46" i="1"/>
  <c r="AS46" i="1"/>
  <c r="AT45" i="1"/>
  <c r="AS45" i="1"/>
  <c r="AT44" i="1"/>
  <c r="AS44" i="1"/>
  <c r="AT43" i="1"/>
  <c r="AS43" i="1"/>
  <c r="AT42" i="1"/>
  <c r="AS42" i="1"/>
  <c r="AT41" i="1"/>
  <c r="AS41" i="1"/>
  <c r="AT40" i="1"/>
  <c r="AS40" i="1"/>
  <c r="AT39" i="1"/>
  <c r="AS39" i="1"/>
  <c r="AT38" i="1"/>
  <c r="AS38" i="1"/>
  <c r="AT37" i="1"/>
  <c r="AS37" i="1"/>
  <c r="AT36" i="1"/>
  <c r="AS36" i="1"/>
  <c r="AT35" i="1"/>
  <c r="AS35" i="1"/>
  <c r="AT34" i="1"/>
  <c r="AS34" i="1"/>
  <c r="AT33" i="1"/>
  <c r="AS33" i="1"/>
  <c r="AT32" i="1"/>
  <c r="AS32" i="1"/>
  <c r="AT31" i="1"/>
  <c r="AS31" i="1"/>
  <c r="AT30" i="1"/>
  <c r="AS30" i="1"/>
  <c r="AT29" i="1"/>
  <c r="AS29" i="1"/>
  <c r="AT28" i="1"/>
  <c r="AS28" i="1"/>
  <c r="AT27" i="1"/>
  <c r="AS27" i="1"/>
  <c r="AT26" i="1"/>
  <c r="AS26" i="1"/>
  <c r="AT25" i="1"/>
  <c r="AS25" i="1"/>
  <c r="AT24" i="1"/>
  <c r="AS24" i="1"/>
  <c r="AT23" i="1"/>
  <c r="AS23" i="1"/>
  <c r="AT22" i="1"/>
  <c r="AS22" i="1"/>
  <c r="AR22" i="1"/>
  <c r="AT21" i="1"/>
  <c r="AS21" i="1"/>
  <c r="AT20" i="1"/>
  <c r="AS20" i="1"/>
  <c r="AT19" i="1"/>
  <c r="AS19" i="1"/>
  <c r="AR19" i="1"/>
  <c r="AT18" i="1"/>
  <c r="AS18" i="1"/>
  <c r="AR18" i="1"/>
  <c r="AT17" i="1"/>
  <c r="AS17" i="1"/>
  <c r="AR17" i="1"/>
  <c r="AT16" i="1"/>
  <c r="AS16" i="1"/>
  <c r="AR16" i="1"/>
  <c r="AT15" i="1"/>
  <c r="AS15" i="1"/>
  <c r="AR15" i="1"/>
  <c r="AT14" i="1"/>
  <c r="AS14" i="1"/>
  <c r="AR14" i="1"/>
  <c r="AT13" i="1"/>
  <c r="AS13" i="1"/>
  <c r="AR13" i="1"/>
  <c r="AT12" i="1"/>
  <c r="AS12" i="1"/>
  <c r="AT11" i="1"/>
  <c r="AS11" i="1"/>
  <c r="AR11" i="1"/>
  <c r="AT10" i="1"/>
  <c r="AS10" i="1"/>
  <c r="AT9" i="1"/>
  <c r="AS9" i="1"/>
  <c r="AR9" i="1"/>
  <c r="AT8" i="1"/>
  <c r="AS8" i="1"/>
  <c r="AT7" i="1"/>
  <c r="AS7" i="1"/>
  <c r="AR7" i="1"/>
  <c r="AT6" i="1"/>
  <c r="AS6" i="1"/>
  <c r="AR6" i="1"/>
  <c r="AT5" i="1"/>
  <c r="AS5" i="1"/>
  <c r="AR5" i="1"/>
  <c r="AT4" i="1"/>
  <c r="AS4" i="1"/>
  <c r="AT3" i="1"/>
  <c r="AS3" i="1"/>
  <c r="AR3" i="1"/>
  <c r="AT2" i="1"/>
  <c r="AS2" i="1"/>
</calcChain>
</file>

<file path=xl/sharedStrings.xml><?xml version="1.0" encoding="utf-8"?>
<sst xmlns="http://schemas.openxmlformats.org/spreadsheetml/2006/main" count="49079" uniqueCount="20764">
  <si>
    <t>Display Call Number</t>
  </si>
  <si>
    <t>Display Call Number Normalized</t>
  </si>
  <si>
    <t>Title</t>
  </si>
  <si>
    <t>Enumeration</t>
  </si>
  <si>
    <t>Possible Multi-Volume Set</t>
  </si>
  <si>
    <t>Copy Number</t>
  </si>
  <si>
    <t>Possible Duplicate</t>
  </si>
  <si>
    <t>Multi-Edition Title</t>
  </si>
  <si>
    <t>Number of Related Ebooks</t>
  </si>
  <si>
    <t>Author</t>
  </si>
  <si>
    <t>Publisher</t>
  </si>
  <si>
    <t>Publication Year</t>
  </si>
  <si>
    <t>Edition</t>
  </si>
  <si>
    <t>Primary Language</t>
  </si>
  <si>
    <t>Place of Publication</t>
  </si>
  <si>
    <t>Series</t>
  </si>
  <si>
    <t>LC Subclass</t>
  </si>
  <si>
    <t>Recorded Uses - Item</t>
  </si>
  <si>
    <t>Recorded Uses - Title</t>
  </si>
  <si>
    <t>Last Charge Date - Item</t>
  </si>
  <si>
    <t>Last Charge Date - Title</t>
  </si>
  <si>
    <t>Last Add Date - Item</t>
  </si>
  <si>
    <t>Last Add Date - Title</t>
  </si>
  <si>
    <t>Global Holdings - Same Edition</t>
  </si>
  <si>
    <t>US Holdings - Same Edition</t>
  </si>
  <si>
    <t>US Holdings</t>
  </si>
  <si>
    <t>Nebraska Holdings - Same Edition</t>
  </si>
  <si>
    <t>Nebraska Holdings</t>
  </si>
  <si>
    <t>All Comparator Library Holdings - Same Edition</t>
  </si>
  <si>
    <t>All Comparator Library Holdings</t>
  </si>
  <si>
    <t>Affinity Libraries - Same Edition</t>
  </si>
  <si>
    <t>Affinity Libraries - Any Edition</t>
  </si>
  <si>
    <t>Big East - Same Edition</t>
  </si>
  <si>
    <t>Big East - Any Edition</t>
  </si>
  <si>
    <t>AJCU - Same Edition</t>
  </si>
  <si>
    <t>AJCU - Any Edition</t>
  </si>
  <si>
    <t>Nebraska Colleges &amp; Universities - Same Edition</t>
  </si>
  <si>
    <t>Nebraska Colleges &amp; Universities - Any Edition</t>
  </si>
  <si>
    <t>MALLCO - Same Edition</t>
  </si>
  <si>
    <t>MALLCO - Any Edition</t>
  </si>
  <si>
    <t>HathiTrust Public Domain</t>
  </si>
  <si>
    <t>HathiTrust In Copyright</t>
  </si>
  <si>
    <t>HathiTrust URL</t>
  </si>
  <si>
    <t>OPAC URL</t>
  </si>
  <si>
    <t>WorldCat URL</t>
  </si>
  <si>
    <t>OCLC Work ID</t>
  </si>
  <si>
    <t>WorldCat OCLC Number</t>
  </si>
  <si>
    <t>Bib Record Number</t>
  </si>
  <si>
    <t>Bib Control Number</t>
  </si>
  <si>
    <t>Item Control Number</t>
  </si>
  <si>
    <t>Item Type Code</t>
  </si>
  <si>
    <t>Item Status Code</t>
  </si>
  <si>
    <t>ISBN</t>
  </si>
  <si>
    <t>Barcode</t>
  </si>
  <si>
    <t>SCS Item ID</t>
  </si>
  <si>
    <t>RC1015 .E47 1983</t>
  </si>
  <si>
    <t>0                      RC 1015000E  47          1983</t>
  </si>
  <si>
    <t>Diving and asphyxia : a comparative study of animals and man / Robert Elsner, Brett Gooden.</t>
  </si>
  <si>
    <t>No</t>
  </si>
  <si>
    <t>1</t>
  </si>
  <si>
    <t>0</t>
  </si>
  <si>
    <t>Elsner, Robert.</t>
  </si>
  <si>
    <t>Cambridge [Cambridgeshire] ; New York : Cambridge University Press, 1983.</t>
  </si>
  <si>
    <t>1983</t>
  </si>
  <si>
    <t>eng</t>
  </si>
  <si>
    <t>enk</t>
  </si>
  <si>
    <t>Monographs of the Physiological Society ; no. 40</t>
  </si>
  <si>
    <t xml:space="preserve">RC </t>
  </si>
  <si>
    <t>2004-02-18</t>
  </si>
  <si>
    <t>1993-03-24</t>
  </si>
  <si>
    <t>372035616:eng</t>
  </si>
  <si>
    <t>9018209</t>
  </si>
  <si>
    <t>991000112819702656</t>
  </si>
  <si>
    <t>2258536620002656</t>
  </si>
  <si>
    <t>BOOK</t>
  </si>
  <si>
    <t>9780521250689</t>
  </si>
  <si>
    <t>32285001608255</t>
  </si>
  <si>
    <t>893249092</t>
  </si>
  <si>
    <t>RC1015 .M36 1987</t>
  </si>
  <si>
    <t>0                      RC 1015000M  36          1987</t>
  </si>
  <si>
    <t>Man in stressful environments : diving, hyper- and hypobaric physiology / edited by Keizo Shiraki, Mohamed K. Yousef.</t>
  </si>
  <si>
    <t>Springfield, Ill., U.S.A. : C.C. Thomas, c1987.</t>
  </si>
  <si>
    <t>1987</t>
  </si>
  <si>
    <t>ilu</t>
  </si>
  <si>
    <t>American lecture series ; publication no. 1072</t>
  </si>
  <si>
    <t>1991-12-09</t>
  </si>
  <si>
    <t>Yes</t>
  </si>
  <si>
    <t>794365896:eng</t>
  </si>
  <si>
    <t>15548987</t>
  </si>
  <si>
    <t>991001035779702656</t>
  </si>
  <si>
    <t>2261286740002656</t>
  </si>
  <si>
    <t>9780398053611</t>
  </si>
  <si>
    <t>32285000829704</t>
  </si>
  <si>
    <t>893255954</t>
  </si>
  <si>
    <t>RC108 .C46 1988</t>
  </si>
  <si>
    <t>0                      RC 0108000C  46          1988</t>
  </si>
  <si>
    <t>Chronic illness and disability / edited by Catherine S. Chilman, Elam W. Nunnally, Fred M. Cox.</t>
  </si>
  <si>
    <t>Newbury Park : Sage Publications, c1988.</t>
  </si>
  <si>
    <t>1988</t>
  </si>
  <si>
    <t>cau</t>
  </si>
  <si>
    <t>Families in trouble series ; v. 2</t>
  </si>
  <si>
    <t>1998-02-26</t>
  </si>
  <si>
    <t>1995-02-28</t>
  </si>
  <si>
    <t>375311821:eng</t>
  </si>
  <si>
    <t>19626492</t>
  </si>
  <si>
    <t>991001481499702656</t>
  </si>
  <si>
    <t>2264442490002656</t>
  </si>
  <si>
    <t>9780803927049</t>
  </si>
  <si>
    <t>32285001779585</t>
  </si>
  <si>
    <t>893261847</t>
  </si>
  <si>
    <t>RC108 .C47 1984</t>
  </si>
  <si>
    <t>0                      RC 0108000C  47          1984</t>
  </si>
  <si>
    <t>Chronic illness and disability through the life span : effects on self and family / Myron G. Eisenberg, LaFaye C. Sutkin, Mary A. Jansen, editors.</t>
  </si>
  <si>
    <t>New York : Springer Pub. Co., c1984.</t>
  </si>
  <si>
    <t>1984</t>
  </si>
  <si>
    <t>nyu</t>
  </si>
  <si>
    <t>Springer series on rehabilitation ; v. 4</t>
  </si>
  <si>
    <t>1992-03-23</t>
  </si>
  <si>
    <t>355903191:eng</t>
  </si>
  <si>
    <t>10161487</t>
  </si>
  <si>
    <t>991000322839702656</t>
  </si>
  <si>
    <t>2265439230002656</t>
  </si>
  <si>
    <t>9780826141804</t>
  </si>
  <si>
    <t>32285001026706</t>
  </si>
  <si>
    <t>893413266</t>
  </si>
  <si>
    <t>RC108 .E65 1988</t>
  </si>
  <si>
    <t>0                      RC 0108000E  65          1988</t>
  </si>
  <si>
    <t>Epidemiology, behavior change, and intervention in chronic disease / edited by Linda K. Hall, G. Curt Meyer.</t>
  </si>
  <si>
    <t>Champaign, Ill. : Life Enhancement Publications, c1988.</t>
  </si>
  <si>
    <t>La Crosse exercise and health series, 0894-4261</t>
  </si>
  <si>
    <t>1997-09-07</t>
  </si>
  <si>
    <t>1992-03-20</t>
  </si>
  <si>
    <t>355822180:eng</t>
  </si>
  <si>
    <t>16709566</t>
  </si>
  <si>
    <t>991001135449702656</t>
  </si>
  <si>
    <t>2257093200002656</t>
  </si>
  <si>
    <t>9780873229128</t>
  </si>
  <si>
    <t>32285001003044</t>
  </si>
  <si>
    <t>893885068</t>
  </si>
  <si>
    <t>RC108 .G66 1997</t>
  </si>
  <si>
    <t>0                      RC 0108000G  66          1997</t>
  </si>
  <si>
    <t>Treating people with chronic disease : a psychological guide / Carol D. Goodheart and Martha H. Lansing.</t>
  </si>
  <si>
    <t>Goodheart, Carol D.</t>
  </si>
  <si>
    <t>Washington, DC : American Psychological Association, c1997.</t>
  </si>
  <si>
    <t>1997</t>
  </si>
  <si>
    <t>dcu</t>
  </si>
  <si>
    <t>Psychologists in independent practice book series ; [v.1]</t>
  </si>
  <si>
    <t>1999-06-17</t>
  </si>
  <si>
    <t>2002-10-17</t>
  </si>
  <si>
    <t>1999-04-12</t>
  </si>
  <si>
    <t>2002-06-18</t>
  </si>
  <si>
    <t>837004114:eng</t>
  </si>
  <si>
    <t>35235774</t>
  </si>
  <si>
    <t>991001691349702656</t>
  </si>
  <si>
    <t>2254835430002656</t>
  </si>
  <si>
    <t>9781557983879</t>
  </si>
  <si>
    <t>32285003551271</t>
  </si>
  <si>
    <t>893709470</t>
  </si>
  <si>
    <t>RC1090 .A76 1971</t>
  </si>
  <si>
    <t>0                      RC 1090000A  76          1971</t>
  </si>
  <si>
    <t>How to overcome your fear of flying, by Marvin L. Aronson.</t>
  </si>
  <si>
    <t>Aronson, Marvin L. (Marvin Lucius), 1925-</t>
  </si>
  <si>
    <t>New York, Hawthorn Books [1971]</t>
  </si>
  <si>
    <t>1971</t>
  </si>
  <si>
    <t>1998-04-16</t>
  </si>
  <si>
    <t>1997-08-12</t>
  </si>
  <si>
    <t>1297316:eng</t>
  </si>
  <si>
    <t>213934</t>
  </si>
  <si>
    <t>991001274639702656</t>
  </si>
  <si>
    <t>2255108640002656</t>
  </si>
  <si>
    <t>32285003092961</t>
  </si>
  <si>
    <t>893346382</t>
  </si>
  <si>
    <t>RC111 .K46 1973</t>
  </si>
  <si>
    <t>0                      RC 0111000K  46          1973</t>
  </si>
  <si>
    <t>Scope monograph on pathoparasitology : a color atlas of parasites in tissue section / Michael Kenney.</t>
  </si>
  <si>
    <t>Kenney, Michael.</t>
  </si>
  <si>
    <t>Kalamazoo, MI. : Upjohn Co., [1973]</t>
  </si>
  <si>
    <t>1973</t>
  </si>
  <si>
    <t>miu</t>
  </si>
  <si>
    <t>1994-11-02</t>
  </si>
  <si>
    <t>1993-10-12</t>
  </si>
  <si>
    <t>1753215:eng</t>
  </si>
  <si>
    <t>730550</t>
  </si>
  <si>
    <t>991001778679702656</t>
  </si>
  <si>
    <t>2270483280002656</t>
  </si>
  <si>
    <t>32285001800266</t>
  </si>
  <si>
    <t>893232254</t>
  </si>
  <si>
    <t>RC112 .H3513 2006</t>
  </si>
  <si>
    <t>0                      RC 0112000H  3513        2006</t>
  </si>
  <si>
    <t>Viruses vs. superbugs : a solution to the antibiotics crisis? / Thomas Häusler ; translated by Karen Leube.</t>
  </si>
  <si>
    <t>Häusler, Thomas, 1968-</t>
  </si>
  <si>
    <t>London ; New York : Macmillan, 2006.</t>
  </si>
  <si>
    <t>2006</t>
  </si>
  <si>
    <t>2006-11-11</t>
  </si>
  <si>
    <t>2006-07-31</t>
  </si>
  <si>
    <t>47111015:eng</t>
  </si>
  <si>
    <t>62804701</t>
  </si>
  <si>
    <t>991004839899702656</t>
  </si>
  <si>
    <t>2259638450002656</t>
  </si>
  <si>
    <t>9781403987648</t>
  </si>
  <si>
    <t>32285005198774</t>
  </si>
  <si>
    <t>893700739</t>
  </si>
  <si>
    <t>RC112 .P37 1981</t>
  </si>
  <si>
    <t>0                      RC 0112000P  37          1981</t>
  </si>
  <si>
    <t>Health in colonial Ghana : disease, medicine, and socio-economic change, 1900-1955 / by K. David Patterson.</t>
  </si>
  <si>
    <t>Patterson, K. David (Karl David), 1941-</t>
  </si>
  <si>
    <t>Waltham, Mass. : Crossroads Press, c1981.</t>
  </si>
  <si>
    <t>1981</t>
  </si>
  <si>
    <t>mau</t>
  </si>
  <si>
    <t>1998-10-05</t>
  </si>
  <si>
    <t>1993-03-17</t>
  </si>
  <si>
    <t>30466946:eng</t>
  </si>
  <si>
    <t>8082823</t>
  </si>
  <si>
    <t>991005201189702656</t>
  </si>
  <si>
    <t>2272402610002656</t>
  </si>
  <si>
    <t>9780918456427</t>
  </si>
  <si>
    <t>32285001588986</t>
  </si>
  <si>
    <t>893344822</t>
  </si>
  <si>
    <t>RC112 .S64</t>
  </si>
  <si>
    <t>0                      RC 0112000S  64</t>
  </si>
  <si>
    <t>Infectious diseases : prevention and treatment in the nineteenth and twentieth centuries / by Wesley W. Spink.</t>
  </si>
  <si>
    <t>Spink, Wesley W. (Wesley William), 1904-1988.</t>
  </si>
  <si>
    <t>Minneapolis : University of Minnesota Press, c1978.</t>
  </si>
  <si>
    <t>1978</t>
  </si>
  <si>
    <t>mnu</t>
  </si>
  <si>
    <t>2010-03-02</t>
  </si>
  <si>
    <t>1992-12-15</t>
  </si>
  <si>
    <t>180112324:eng</t>
  </si>
  <si>
    <t>4497688</t>
  </si>
  <si>
    <t>991004662339702656</t>
  </si>
  <si>
    <t>2266773270002656</t>
  </si>
  <si>
    <t>9780816608720</t>
  </si>
  <si>
    <t>32285001441772</t>
  </si>
  <si>
    <t>893687992</t>
  </si>
  <si>
    <t>RC114.6 .A84</t>
  </si>
  <si>
    <t>0                      RC 0114600A  84</t>
  </si>
  <si>
    <t>Aspects of slow and persistent virus infections : proceedings of the European workshop sponsored by the Commission of the European Communities on the advice of the Committee on Medical and Public Health Research, held in London (U.K.), April 5-6, 1979 / edited by D. A. J. Tyrrell.</t>
  </si>
  <si>
    <t>The Hague ; Boston : [published by] Martinus Nijhoff Publishers for the Commission of the European Communities ; Hingham, MA : Kluwer Boston, inc., [distributor] for the United States, 1979.</t>
  </si>
  <si>
    <t>1979</t>
  </si>
  <si>
    <t xml:space="preserve">ne </t>
  </si>
  <si>
    <t>New perspectives in clinical microbiology ; v. 2</t>
  </si>
  <si>
    <t>2008-02-24</t>
  </si>
  <si>
    <t>426221614:eng</t>
  </si>
  <si>
    <t>5677171</t>
  </si>
  <si>
    <t>991004858369702656</t>
  </si>
  <si>
    <t>2261502860002656</t>
  </si>
  <si>
    <t>9789024722815</t>
  </si>
  <si>
    <t>32285001588994</t>
  </si>
  <si>
    <t>893532878</t>
  </si>
  <si>
    <t>RC115 .B3 1979, v...</t>
  </si>
  <si>
    <t>0                      RC 0115000B  3           1979                                        v...</t>
  </si>
  <si>
    <t>Bacterial, rickettsial, and mycotic diseases / section editors, Herbert Stoenner, William Kaplan, Michael Torten.</t>
  </si>
  <si>
    <t>V.1</t>
  </si>
  <si>
    <t>Boca Raton, Fla. : CRC press, c1979-</t>
  </si>
  <si>
    <t>flu</t>
  </si>
  <si>
    <t>CRC handbook series in zoonoses ; section A, v. 1</t>
  </si>
  <si>
    <t>2010-06-15</t>
  </si>
  <si>
    <t>3859942837:eng</t>
  </si>
  <si>
    <t>6344693</t>
  </si>
  <si>
    <t>991004967339702656</t>
  </si>
  <si>
    <t>2271969510002656</t>
  </si>
  <si>
    <t>9780849329067</t>
  </si>
  <si>
    <t>32285001589000</t>
  </si>
  <si>
    <t>893412147</t>
  </si>
  <si>
    <t>RC118.5 .B36</t>
  </si>
  <si>
    <t>0                      RC 0118500B  36</t>
  </si>
  <si>
    <t>Parasitic Protozoa [by] J. R. Baker.</t>
  </si>
  <si>
    <t>Baker, John R. (John Robin)</t>
  </si>
  <si>
    <t>London, Hutchinson, 1969.</t>
  </si>
  <si>
    <t>1969</t>
  </si>
  <si>
    <t>Hutchinson university library. Biological sciences</t>
  </si>
  <si>
    <t>1998-02-11</t>
  </si>
  <si>
    <t>1997-08-08</t>
  </si>
  <si>
    <t>4921480118:eng</t>
  </si>
  <si>
    <t>63116</t>
  </si>
  <si>
    <t>991000188309702656</t>
  </si>
  <si>
    <t>2256213290002656</t>
  </si>
  <si>
    <t>9780090991600</t>
  </si>
  <si>
    <t>32285003084356</t>
  </si>
  <si>
    <t>893689508</t>
  </si>
  <si>
    <t>RC119 .B38</t>
  </si>
  <si>
    <t>0                      RC 0119000B  38</t>
  </si>
  <si>
    <t>Basic clinical parasitology.</t>
  </si>
  <si>
    <t>Belding, David Lawrence, 1884-</t>
  </si>
  <si>
    <t>New York : Appleton-Century-Crofts, [1958]</t>
  </si>
  <si>
    <t>1958</t>
  </si>
  <si>
    <t>1994-02-18</t>
  </si>
  <si>
    <t>1994-02-16</t>
  </si>
  <si>
    <t>1136004:eng</t>
  </si>
  <si>
    <t>331902</t>
  </si>
  <si>
    <t>991002390009702656</t>
  </si>
  <si>
    <t>2258507400002656</t>
  </si>
  <si>
    <t>32285001838365</t>
  </si>
  <si>
    <t>893421288</t>
  </si>
  <si>
    <t>RC119 .C38 1961</t>
  </si>
  <si>
    <t>0                      RC 0119000C  38          1961</t>
  </si>
  <si>
    <t>Introduction to parasitology : with special reference to the parasites of man.</t>
  </si>
  <si>
    <t>Chandler, Asa C. (Asa Crawford), 1891-1958.</t>
  </si>
  <si>
    <t>New York : Wiley, [1961]</t>
  </si>
  <si>
    <t>1961</t>
  </si>
  <si>
    <t>10th ed. / [by] Asa C. Chandler [and] Clark P. Read.</t>
  </si>
  <si>
    <t>1994-03-02</t>
  </si>
  <si>
    <t>1994-02-24</t>
  </si>
  <si>
    <t>2054880:eng</t>
  </si>
  <si>
    <t>907772</t>
  </si>
  <si>
    <t>991005264319702656</t>
  </si>
  <si>
    <t>2258208630002656</t>
  </si>
  <si>
    <t>32285001850048</t>
  </si>
  <si>
    <t>893808098</t>
  </si>
  <si>
    <t>RC119 .F3 1968</t>
  </si>
  <si>
    <t>0                      RC 0119000F  3           1968</t>
  </si>
  <si>
    <t>Animal agents and vectors of human disease [by] Ernest Carroll Faust, Paul Chester Beaver [and] Rodney Clifton Jung.</t>
  </si>
  <si>
    <t>Faust, Ernest Carroll, 1890-1978.</t>
  </si>
  <si>
    <t>Philadelphia, Lea &amp; Febiger, 1968.</t>
  </si>
  <si>
    <t>1968</t>
  </si>
  <si>
    <t>3d ed.</t>
  </si>
  <si>
    <t>pau</t>
  </si>
  <si>
    <t>2010-07-06</t>
  </si>
  <si>
    <t>1406848:eng</t>
  </si>
  <si>
    <t>323412</t>
  </si>
  <si>
    <t>991002339069702656</t>
  </si>
  <si>
    <t>2256670810002656</t>
  </si>
  <si>
    <t>32285003084372</t>
  </si>
  <si>
    <t>893322814</t>
  </si>
  <si>
    <t>RC119 .J313</t>
  </si>
  <si>
    <t>0                      RC 0119000J  313</t>
  </si>
  <si>
    <t>Human parasitology, by Daniel M. Jarry. Pref. by H. Harant. Water-colour drawings by Y. Bouisset and F. Angel. Translated by R. Crawford.</t>
  </si>
  <si>
    <t>Jarry, Daniel M.</t>
  </si>
  <si>
    <t>Oxford, New York, Pergamon Press [1967]</t>
  </si>
  <si>
    <t>1967</t>
  </si>
  <si>
    <t>[1st English ed.]</t>
  </si>
  <si>
    <t>2005-02-26</t>
  </si>
  <si>
    <t>9438298527:eng</t>
  </si>
  <si>
    <t>914137</t>
  </si>
  <si>
    <t>991003377099702656</t>
  </si>
  <si>
    <t>2262676650002656</t>
  </si>
  <si>
    <t>32285003084380</t>
  </si>
  <si>
    <t>893434949</t>
  </si>
  <si>
    <t>RC119 .M25 1980</t>
  </si>
  <si>
    <t>0                      RC 0119000M  25          1980</t>
  </si>
  <si>
    <t>Snail-transmitted parasitic diseases / author, Emile A. Malek.</t>
  </si>
  <si>
    <t>V.2</t>
  </si>
  <si>
    <t>Malek, Emile A. (Emile Abdel), 1922-1996.</t>
  </si>
  <si>
    <t>Boca Raton, Fla. : CRC Press, c1980.</t>
  </si>
  <si>
    <t>1980</t>
  </si>
  <si>
    <t>1996-01-29</t>
  </si>
  <si>
    <t>5135800757:eng</t>
  </si>
  <si>
    <t>5029368</t>
  </si>
  <si>
    <t>991004766159702656</t>
  </si>
  <si>
    <t>2271645550002656</t>
  </si>
  <si>
    <t>9780849352690</t>
  </si>
  <si>
    <t>32285001589026</t>
  </si>
  <si>
    <t>893606447</t>
  </si>
  <si>
    <t>32285001589018</t>
  </si>
  <si>
    <t>893606448</t>
  </si>
  <si>
    <t>RC119 .P34 1979</t>
  </si>
  <si>
    <t>0                      RC 0119000P  34          1979</t>
  </si>
  <si>
    <t>Parasites and western man / edited by R. J. Donaldson.</t>
  </si>
  <si>
    <t>Baltimore : University Park Press, c1979.</t>
  </si>
  <si>
    <t>mdu</t>
  </si>
  <si>
    <t>54313438:eng</t>
  </si>
  <si>
    <t>5303983</t>
  </si>
  <si>
    <t>991004814949702656</t>
  </si>
  <si>
    <t>2261754060002656</t>
  </si>
  <si>
    <t>32285001589034</t>
  </si>
  <si>
    <t>893719409</t>
  </si>
  <si>
    <t>RC1200 .C34 1986 v.5, no.4</t>
  </si>
  <si>
    <t>0                      RC 1200000C  34          1986                                        v.5, no.4</t>
  </si>
  <si>
    <t>Injuries to the elbow, forearm, and hand / Frank C. McCue, guest editor.</t>
  </si>
  <si>
    <t>V. 5 NO. 4</t>
  </si>
  <si>
    <t>Philadelphia, Pa. : W.B. Saunders, c1986.</t>
  </si>
  <si>
    <t>1986</t>
  </si>
  <si>
    <t>Clinics in sports medicine ; v. 5, no. 4, 1986</t>
  </si>
  <si>
    <t>1994-04-26</t>
  </si>
  <si>
    <t>1992-04-22</t>
  </si>
  <si>
    <t>10348337:eng</t>
  </si>
  <si>
    <t>15628430</t>
  </si>
  <si>
    <t>991000937179702656</t>
  </si>
  <si>
    <t>2263073720002656</t>
  </si>
  <si>
    <t>32285001028686</t>
  </si>
  <si>
    <t>893690168</t>
  </si>
  <si>
    <t>RC1200 .C34 1986, v.5, no.1</t>
  </si>
  <si>
    <t>0                      RC 1200000C  34          1986                                        v.5, no.1</t>
  </si>
  <si>
    <t>Swimming / Jerome V. Ciullo, guest editor.</t>
  </si>
  <si>
    <t>V. 5 NO. 1</t>
  </si>
  <si>
    <t>Philadelphia : Saunders, 1986.</t>
  </si>
  <si>
    <t>Clinics in sports medicine, 0278-5919 ; v. 5, no. 1</t>
  </si>
  <si>
    <t>2008-02-12</t>
  </si>
  <si>
    <t>54894136:eng</t>
  </si>
  <si>
    <t>14905766</t>
  </si>
  <si>
    <t>991000773079702656</t>
  </si>
  <si>
    <t>2267594930002656</t>
  </si>
  <si>
    <t>32285001608446</t>
  </si>
  <si>
    <t>893865662</t>
  </si>
  <si>
    <t>RC1200 .C34 1987 v.6 no.3</t>
  </si>
  <si>
    <t>0                      RC 1200000C  34          1987                                        v.6 no.3</t>
  </si>
  <si>
    <t>Arthroscopy / Jeffrey Minkoff and Orrin H. Sherman, guest editors.</t>
  </si>
  <si>
    <t>V.6 NO.3</t>
  </si>
  <si>
    <t>Philadelphia : Saunders, 1987.</t>
  </si>
  <si>
    <t>Clinics in sport medicine, 0278-5919 ; v. 6, no. 3</t>
  </si>
  <si>
    <t>2004-03-03</t>
  </si>
  <si>
    <t>1992-05-07</t>
  </si>
  <si>
    <t>2004-09-15</t>
  </si>
  <si>
    <t>54982523:eng</t>
  </si>
  <si>
    <t>16160438</t>
  </si>
  <si>
    <t>991001685339702656</t>
  </si>
  <si>
    <t>2272365420002656</t>
  </si>
  <si>
    <t>32285001094837</t>
  </si>
  <si>
    <t>893340607</t>
  </si>
  <si>
    <t>RC1200 .C34 1987, v.6, no.1</t>
  </si>
  <si>
    <t>0                      RC 1200000C  34          1987                                        v.6, no.1</t>
  </si>
  <si>
    <t>Head and neck injuries / Joseph S. Torg, guest editor.</t>
  </si>
  <si>
    <t>V.6 NO.1</t>
  </si>
  <si>
    <t>Clinics in sports medicine ; v. 6, no. 1</t>
  </si>
  <si>
    <t>2003-07-08</t>
  </si>
  <si>
    <t>1992-11-03</t>
  </si>
  <si>
    <t>54911052:eng</t>
  </si>
  <si>
    <t>15072807</t>
  </si>
  <si>
    <t>991001684879702656</t>
  </si>
  <si>
    <t>2271227860002656</t>
  </si>
  <si>
    <t>32285001380871</t>
  </si>
  <si>
    <t>893684530</t>
  </si>
  <si>
    <t>RC1200 .C34 1987, v.6, no.2</t>
  </si>
  <si>
    <t>0                      RC 1200000C  34          1987                                        v.6, no.2</t>
  </si>
  <si>
    <t>Overuse injuries / Letha Y. Hunter-Griffin, guest editor.</t>
  </si>
  <si>
    <t>V.6 NO.2</t>
  </si>
  <si>
    <t>Philadelphia, PA. : W.B. Saunders, c1987.</t>
  </si>
  <si>
    <t>Clinics in sports medicine ; v. 6, no. 2</t>
  </si>
  <si>
    <t>2005-03-22</t>
  </si>
  <si>
    <t>1991-12-20</t>
  </si>
  <si>
    <t>10415125:eng</t>
  </si>
  <si>
    <t>15582291</t>
  </si>
  <si>
    <t>991001685189702656</t>
  </si>
  <si>
    <t>2255089720002656</t>
  </si>
  <si>
    <t>32285000908680</t>
  </si>
  <si>
    <t>893334496</t>
  </si>
  <si>
    <t>RC1200 .C34 1988, v.7, no.2</t>
  </si>
  <si>
    <t>0                      RC 1200000C  34          1988                                        v.7, no.2</t>
  </si>
  <si>
    <t>Racquet sports : injury treatment and prevention / Richard C. Lehman.</t>
  </si>
  <si>
    <t>V. 7 NO. 2</t>
  </si>
  <si>
    <t>Philadelphia : W.B. Saunders, c1988.</t>
  </si>
  <si>
    <t>Clinics in sports medicine, 0278-5919 ; v. 7, no. 2 (April 1988)</t>
  </si>
  <si>
    <t>2001-04-04</t>
  </si>
  <si>
    <t>865283051:eng</t>
  </si>
  <si>
    <t>17746899</t>
  </si>
  <si>
    <t>991001258249702656</t>
  </si>
  <si>
    <t>2262261690002656</t>
  </si>
  <si>
    <t>32285001608495</t>
  </si>
  <si>
    <t>893426469</t>
  </si>
  <si>
    <t>RC1200 .C34 1988, v.7, no.3</t>
  </si>
  <si>
    <t>0                      RC 1200000C  34          1988                                        v.7, no.3</t>
  </si>
  <si>
    <t>Injuries in the young athlete / Lyle J. Micheli, guest editor.</t>
  </si>
  <si>
    <t>V. 7 NO. 3</t>
  </si>
  <si>
    <t>Philadelphia, PA : W.B. Saunders, c1988.</t>
  </si>
  <si>
    <t>Clinics in sports medicine, 0278-5919 ; v. 7, no. 3</t>
  </si>
  <si>
    <t>1995-11-04</t>
  </si>
  <si>
    <t>55104640:eng</t>
  </si>
  <si>
    <t>18157132</t>
  </si>
  <si>
    <t>991001311769702656</t>
  </si>
  <si>
    <t>2254769960002656</t>
  </si>
  <si>
    <t>32285001608503</t>
  </si>
  <si>
    <t>893334245</t>
  </si>
  <si>
    <t>RC1200 .C34 1988, v.7, no.4</t>
  </si>
  <si>
    <t>0                      RC 1200000C  34          1988                                        v.7, no.4</t>
  </si>
  <si>
    <t>Treatment of the anterior cruciate ligament-deficient knee / Peter A. Indelicato, guest editor.</t>
  </si>
  <si>
    <t>V. 7 NO. 4</t>
  </si>
  <si>
    <t>Clinics in sports medicine ; v. 7, no. 4</t>
  </si>
  <si>
    <t>2008-03-24</t>
  </si>
  <si>
    <t>1992-11-06</t>
  </si>
  <si>
    <t>18141273:eng</t>
  </si>
  <si>
    <t>18595780</t>
  </si>
  <si>
    <t>991001374929702656</t>
  </si>
  <si>
    <t>2260067360002656</t>
  </si>
  <si>
    <t>32285001389872</t>
  </si>
  <si>
    <t>893497034</t>
  </si>
  <si>
    <t>RC1200 .C34 1989, v.8, no.1</t>
  </si>
  <si>
    <t>0                      RC 1200000C  34          1989                                        v.8, no.1</t>
  </si>
  <si>
    <t>Emergency treatment of the injured athlete / Richard L. Ray, guest editor.</t>
  </si>
  <si>
    <t>V. 8 NO. 1</t>
  </si>
  <si>
    <t>Philadelphia, PA : W.B. Saunders, c1989.</t>
  </si>
  <si>
    <t>1989</t>
  </si>
  <si>
    <t>Clinics in sports medicine ; v. 8, no. 1</t>
  </si>
  <si>
    <t>2009-09-29</t>
  </si>
  <si>
    <t>1992-12-09</t>
  </si>
  <si>
    <t>18673555:eng</t>
  </si>
  <si>
    <t>19019554</t>
  </si>
  <si>
    <t>991001426069702656</t>
  </si>
  <si>
    <t>2269769370002656</t>
  </si>
  <si>
    <t>32285001414811</t>
  </si>
  <si>
    <t>893684311</t>
  </si>
  <si>
    <t>RC1200 .C34 1989, v.8, no.2</t>
  </si>
  <si>
    <t>0                      RC 1200000C  34          1989                                        v.8, no.2</t>
  </si>
  <si>
    <t>Patellofemoral problems / Jack H. Henry, guest editor.</t>
  </si>
  <si>
    <t>V. 8 NO. 2</t>
  </si>
  <si>
    <t>Philadelphia : Saunders, c1989.</t>
  </si>
  <si>
    <t>Clinics in sports medicine ; v. 8, no. 2</t>
  </si>
  <si>
    <t>1993-04-25</t>
  </si>
  <si>
    <t>1992-03-25</t>
  </si>
  <si>
    <t>356226601:eng</t>
  </si>
  <si>
    <t>19509011</t>
  </si>
  <si>
    <t>991001465279702656</t>
  </si>
  <si>
    <t>2271786540002656</t>
  </si>
  <si>
    <t>32285001028819</t>
  </si>
  <si>
    <t>893497106</t>
  </si>
  <si>
    <t>RC1200 .C34 1989, v.8, no.3</t>
  </si>
  <si>
    <t>0                      RC 1200000C  34          1989                                        v.8, no.3</t>
  </si>
  <si>
    <t>Office practice of sports medicine / H. Royer Collins, guest editor.</t>
  </si>
  <si>
    <t>V.8 NO.3</t>
  </si>
  <si>
    <t>Philadelphia : Saunders, 1989.</t>
  </si>
  <si>
    <t>Clinics in sports medicine ; v. 8, no. 3</t>
  </si>
  <si>
    <t>1994-03-14</t>
  </si>
  <si>
    <t>21359950:eng</t>
  </si>
  <si>
    <t>19965440</t>
  </si>
  <si>
    <t>991001686559702656</t>
  </si>
  <si>
    <t>2255153980002656</t>
  </si>
  <si>
    <t>32285001853224</t>
  </si>
  <si>
    <t>893340608</t>
  </si>
  <si>
    <t>RC1200 .C34 1989, v.8, no.4</t>
  </si>
  <si>
    <t>0                      RC 1200000C  34          1989                                        v.8, no.4</t>
  </si>
  <si>
    <t>Rehabilitation / Richard C. Lehman and Anthony Delitto, guest editors.</t>
  </si>
  <si>
    <t>V. 8 NO. 4</t>
  </si>
  <si>
    <t>Philadelphia ; W.B. Saunders Co., c1989.</t>
  </si>
  <si>
    <t>Clinics in sports medicine ; v. 8, no. 4</t>
  </si>
  <si>
    <t>356272518:eng</t>
  </si>
  <si>
    <t>20644358</t>
  </si>
  <si>
    <t>991001599649702656</t>
  </si>
  <si>
    <t>2261616690002656</t>
  </si>
  <si>
    <t>32285001094845</t>
  </si>
  <si>
    <t>893778880</t>
  </si>
  <si>
    <t>RC1200 .C34 1990, v.9, no.1</t>
  </si>
  <si>
    <t>0                      RC 1200000C  34          1990                                        v.9, no.1</t>
  </si>
  <si>
    <t>Fractures / J. Tracy Watson and John A. Bergfeld, guest editors.</t>
  </si>
  <si>
    <t>V. 9 NO. 1</t>
  </si>
  <si>
    <t>Philadelphia : W.B. Saunders Co., c1990.</t>
  </si>
  <si>
    <t>1990</t>
  </si>
  <si>
    <t>Clinics in sports medicine ; v. 9, no. 1</t>
  </si>
  <si>
    <t>1994-04-21</t>
  </si>
  <si>
    <t>55603374:eng</t>
  </si>
  <si>
    <t>20968714</t>
  </si>
  <si>
    <t>991001636099702656</t>
  </si>
  <si>
    <t>2257470980002656</t>
  </si>
  <si>
    <t>32285001414829</t>
  </si>
  <si>
    <t>893703146</t>
  </si>
  <si>
    <t>RC1200 .C34 1990, v.9, no.2</t>
  </si>
  <si>
    <t>0                      RC 1200000C  34          1990                                        v.9, no.2</t>
  </si>
  <si>
    <t>Neurovascular injuries / Elliott B. Hershman, guest editor.</t>
  </si>
  <si>
    <t>V. 9 NO. 2</t>
  </si>
  <si>
    <t>Philadelphia : Saunders, c1990.</t>
  </si>
  <si>
    <t>Clinics in sports medicine ; v. 9, no. 2</t>
  </si>
  <si>
    <t>1992-03-09</t>
  </si>
  <si>
    <t>23275425:eng</t>
  </si>
  <si>
    <t>21478044</t>
  </si>
  <si>
    <t>991001694579702656</t>
  </si>
  <si>
    <t>2258151260002656</t>
  </si>
  <si>
    <t>32285000993203</t>
  </si>
  <si>
    <t>893772811</t>
  </si>
  <si>
    <t>RC1200 .C34 1990, v.9, no.3</t>
  </si>
  <si>
    <t>0                      RC 1200000C  34          1990                                        v.9, no.3</t>
  </si>
  <si>
    <t>Meniscal injuries / Kenneth M. Singer, guest editor.</t>
  </si>
  <si>
    <t>V. 9 NO. 3</t>
  </si>
  <si>
    <t>Philadelphia : Saunders, 1990.</t>
  </si>
  <si>
    <t>Clinics in sports medicine ; v. 9, no. 3</t>
  </si>
  <si>
    <t>2000-10-01</t>
  </si>
  <si>
    <t>361205748:eng</t>
  </si>
  <si>
    <t>22132309</t>
  </si>
  <si>
    <t>991001748259702656</t>
  </si>
  <si>
    <t>2269278280002656</t>
  </si>
  <si>
    <t>32285001608511</t>
  </si>
  <si>
    <t>893444785</t>
  </si>
  <si>
    <t>RC1200 .C34 1990, v.9, no.4</t>
  </si>
  <si>
    <t>0                      RC 1200000C  34          1990                                        v.9, no.4</t>
  </si>
  <si>
    <t>Knee bracing / Lonnie E. Paulos, guest editor.</t>
  </si>
  <si>
    <t>V. 9 NO. 4</t>
  </si>
  <si>
    <t>Clinics in sports medicine ; v. 9, no. 4</t>
  </si>
  <si>
    <t>2001-04-18</t>
  </si>
  <si>
    <t>133529679:eng</t>
  </si>
  <si>
    <t>22610807</t>
  </si>
  <si>
    <t>991001796839702656</t>
  </si>
  <si>
    <t>2272081760002656</t>
  </si>
  <si>
    <t>32285001085090</t>
  </si>
  <si>
    <t>893346793</t>
  </si>
  <si>
    <t>RC1200 .C34 1991, v.10, no.1</t>
  </si>
  <si>
    <t>0                      RC 1200000C  34          1991                                        v.10, no.1</t>
  </si>
  <si>
    <t>The Exercise prescription / Nicholas DiNubile, guest editor.</t>
  </si>
  <si>
    <t>V.10 NO.1</t>
  </si>
  <si>
    <t>Philadelphia : Saunders, 1991.</t>
  </si>
  <si>
    <t>1991</t>
  </si>
  <si>
    <t>Clinics in sports medicine ; v. 10, no. 1</t>
  </si>
  <si>
    <t>2000-03-02</t>
  </si>
  <si>
    <t>1991-03-20</t>
  </si>
  <si>
    <t>55428657:eng</t>
  </si>
  <si>
    <t>23034936</t>
  </si>
  <si>
    <t>991001687459702656</t>
  </si>
  <si>
    <t>2259238580002656</t>
  </si>
  <si>
    <t>32285000536754</t>
  </si>
  <si>
    <t>893256416</t>
  </si>
  <si>
    <t>RC1200 .C34 1991, v.10, no.2</t>
  </si>
  <si>
    <t>0                      RC 1200000C  34          1991                                        v.10, no.2</t>
  </si>
  <si>
    <t>Sports medicine in the older athlete / Robert K. Kerlan, guest editor.</t>
  </si>
  <si>
    <t>V. 10 NO. 2</t>
  </si>
  <si>
    <t>Philadelphia : W.B. Saunders Co., c1991.</t>
  </si>
  <si>
    <t>Clinics in sports medicine ; v. 10, no. 2</t>
  </si>
  <si>
    <t>1994-10-29</t>
  </si>
  <si>
    <t>1991-06-06</t>
  </si>
  <si>
    <t>25619979:eng</t>
  </si>
  <si>
    <t>23739841</t>
  </si>
  <si>
    <t>991001882789702656</t>
  </si>
  <si>
    <t>2264023790002656</t>
  </si>
  <si>
    <t>32285000644533</t>
  </si>
  <si>
    <t>893615441</t>
  </si>
  <si>
    <t>RC1200 .C34 1991, v.10, no.3</t>
  </si>
  <si>
    <t>0                      RC 1200000C  34          1991                                        v.10, no.3</t>
  </si>
  <si>
    <t>Arthroscopy update / Terry L. Whipple, guest editor.</t>
  </si>
  <si>
    <t>V.10 NO.3</t>
  </si>
  <si>
    <t>Philadelphia, PA : W.B. Saunders, c1991.</t>
  </si>
  <si>
    <t>Clinics in sports medicine, 0278-5919 ; v. 10, no. 3 (July 1991)</t>
  </si>
  <si>
    <t>1992-02-10</t>
  </si>
  <si>
    <t>25620746:eng</t>
  </si>
  <si>
    <t>24150965</t>
  </si>
  <si>
    <t>991001687779702656</t>
  </si>
  <si>
    <t>2257164340002656</t>
  </si>
  <si>
    <t>32285000868777</t>
  </si>
  <si>
    <t>893590557</t>
  </si>
  <si>
    <t>RC1200 .C34 1991, v.10, no.4</t>
  </si>
  <si>
    <t>0                      RC 1200000C  34          1991                                        v.10, no.4</t>
  </si>
  <si>
    <t>Basic science and clinical application in the athlete's shoulder / Richard J. Hawkins, guest editor.</t>
  </si>
  <si>
    <t>V. 10 NO. 4</t>
  </si>
  <si>
    <t>Philadelphia, PA : W.B. Saunders, 1991.</t>
  </si>
  <si>
    <t>Clinics in sports medicine ; v. 10, no. 4</t>
  </si>
  <si>
    <t>1996-11-15</t>
  </si>
  <si>
    <t>1991-11-16</t>
  </si>
  <si>
    <t>26222454:eng</t>
  </si>
  <si>
    <t>24606303</t>
  </si>
  <si>
    <t>991001946849702656</t>
  </si>
  <si>
    <t>2257759760002656</t>
  </si>
  <si>
    <t>32285000814870</t>
  </si>
  <si>
    <t>893590766</t>
  </si>
  <si>
    <t>RC1200 .C34 1992, v.11, no.1</t>
  </si>
  <si>
    <t>0                      RC 1200000C  34          1992                                        v.11, no.1</t>
  </si>
  <si>
    <t>Injuries of the hand and wrist / James E. Culver, guest editor.</t>
  </si>
  <si>
    <t>V. 11 NO. 1</t>
  </si>
  <si>
    <t>Philadelphia : W.B. Saunders, c1992.</t>
  </si>
  <si>
    <t>1992</t>
  </si>
  <si>
    <t>Clinics in sports medicine, 0278-5919 ; v. 11, no. 1</t>
  </si>
  <si>
    <t>2001-04-19</t>
  </si>
  <si>
    <t>27931925:eng</t>
  </si>
  <si>
    <t>25212321</t>
  </si>
  <si>
    <t>991001986329702656</t>
  </si>
  <si>
    <t>2262855440002656</t>
  </si>
  <si>
    <t>32285000939925</t>
  </si>
  <si>
    <t>893609333</t>
  </si>
  <si>
    <t>RC1200 .C34 1992, v.11, no.2</t>
  </si>
  <si>
    <t>0                      RC 1200000C  34          1992                                        v.11, no.2</t>
  </si>
  <si>
    <t>Medical problems / James C. Puffer, guest editor.</t>
  </si>
  <si>
    <t>V. 1 NO. 2</t>
  </si>
  <si>
    <t>Clinics in sports medicine ; v. 11, no. 2</t>
  </si>
  <si>
    <t>2000-09-30</t>
  </si>
  <si>
    <t>1992-05-15</t>
  </si>
  <si>
    <t>55580720:eng</t>
  </si>
  <si>
    <t>25739573</t>
  </si>
  <si>
    <t>991002022549702656</t>
  </si>
  <si>
    <t>2265276880002656</t>
  </si>
  <si>
    <t>32285001100725</t>
  </si>
  <si>
    <t>893779333</t>
  </si>
  <si>
    <t>RC1200 .C34 1992, v.11, no.3</t>
  </si>
  <si>
    <t>0                      RC 1200000C  34          1992                                        v.11, no.3</t>
  </si>
  <si>
    <t>Tendinitis I : basic concepts / Per A.F.H. Renström, Wayne B. Leadbetter, guest editors.</t>
  </si>
  <si>
    <t>V. 11 NO. 3</t>
  </si>
  <si>
    <t>Clinics in sports medicine ; v. 11, no. 3</t>
  </si>
  <si>
    <t>2002-03-01</t>
  </si>
  <si>
    <t>1992-07-27</t>
  </si>
  <si>
    <t>354494768:eng</t>
  </si>
  <si>
    <t>26230663</t>
  </si>
  <si>
    <t>991002053649702656</t>
  </si>
  <si>
    <t>2255304420002656</t>
  </si>
  <si>
    <t>32285001214880</t>
  </si>
  <si>
    <t>893798115</t>
  </si>
  <si>
    <t>RC1200 .C34 1992, v.11, no.4</t>
  </si>
  <si>
    <t>0                      RC 1200000C  34          1992                                        v.11, no.4</t>
  </si>
  <si>
    <t>Tendinitis II : clinical considerations / Per A.F.H. Renström, Wayne B. Leadbetter, guest editors.</t>
  </si>
  <si>
    <t>V. 11 NO. 4</t>
  </si>
  <si>
    <t>Philadelphia, PA : W.B. Saunders, 1992.</t>
  </si>
  <si>
    <t>Clinics in sports medicine ; v. 11, no. 4</t>
  </si>
  <si>
    <t>1992-10-09</t>
  </si>
  <si>
    <t>3372422377:eng</t>
  </si>
  <si>
    <t>26733344</t>
  </si>
  <si>
    <t>991002084249702656</t>
  </si>
  <si>
    <t>2272610250002656</t>
  </si>
  <si>
    <t>32285001369502</t>
  </si>
  <si>
    <t>893885826</t>
  </si>
  <si>
    <t>RC1200 .C34 1993, v.12, no.1</t>
  </si>
  <si>
    <t>0                      RC 1200000C  34          1993                                        v.12, no.1</t>
  </si>
  <si>
    <t>New trends and developments in sports medicine / Vincent DiStefano and Frederick C. Balduini, guest editors.</t>
  </si>
  <si>
    <t>V. 12 NO. 1</t>
  </si>
  <si>
    <t>Philadelphia : W.B. Saunders, 1993.</t>
  </si>
  <si>
    <t>1993</t>
  </si>
  <si>
    <t>Clinics in sports medicine ; v. 12, no. 1</t>
  </si>
  <si>
    <t>1994-04-19</t>
  </si>
  <si>
    <t>1993-01-27</t>
  </si>
  <si>
    <t>364388232:eng</t>
  </si>
  <si>
    <t>27325317</t>
  </si>
  <si>
    <t>991002131539702656</t>
  </si>
  <si>
    <t>2256619510002656</t>
  </si>
  <si>
    <t>32285001521821</t>
  </si>
  <si>
    <t>893779458</t>
  </si>
  <si>
    <t>RC1200 .C34 1993, v.12, no.2</t>
  </si>
  <si>
    <t>0                      RC 1200000C  34          1993                                        v.12, no.2</t>
  </si>
  <si>
    <t>Basketball injuries / Paul M. Steingard, guest editor.</t>
  </si>
  <si>
    <t>V. 12 NO. 2</t>
  </si>
  <si>
    <t>Philadelphia : W.B. Saunders Co., 1993.</t>
  </si>
  <si>
    <t>Clinics in sports medicine ; v. 12, no. 2</t>
  </si>
  <si>
    <t>1993-05-04</t>
  </si>
  <si>
    <t>30814962:eng</t>
  </si>
  <si>
    <t>27998078</t>
  </si>
  <si>
    <t>991002175199702656</t>
  </si>
  <si>
    <t>2265621820002656</t>
  </si>
  <si>
    <t>32285001672012</t>
  </si>
  <si>
    <t>893597107</t>
  </si>
  <si>
    <t>RC1200 .C34 1993, v.12, no.3</t>
  </si>
  <si>
    <t>0                      RC 1200000C  34          1993                                        v.12, no.3</t>
  </si>
  <si>
    <t>Spine problems in the athlete / John T. Stinson and Sam W. Wiesel, guest editors.</t>
  </si>
  <si>
    <t>V. 12 NO. 3</t>
  </si>
  <si>
    <t>Philadelphia : W.B. Saunders Co., c1993.</t>
  </si>
  <si>
    <t>Clinics in sports medicine ; v. 12, no. 3</t>
  </si>
  <si>
    <t>2001-11-14</t>
  </si>
  <si>
    <t>1993-08-17</t>
  </si>
  <si>
    <t>364430960:eng</t>
  </si>
  <si>
    <t>28566682</t>
  </si>
  <si>
    <t>991002217989702656</t>
  </si>
  <si>
    <t>2256623430002656</t>
  </si>
  <si>
    <t>32285001757797</t>
  </si>
  <si>
    <t>893873241</t>
  </si>
  <si>
    <t>RC1200 .C34 1994, v.13, no.1</t>
  </si>
  <si>
    <t>0                      RC 1200000C  34          1994                                        v.13, no.1</t>
  </si>
  <si>
    <t>Bicycling injuries / Morris B. Mellion and Edmund R. Burke, guest editors.</t>
  </si>
  <si>
    <t>V. 13 NO. 1</t>
  </si>
  <si>
    <t>Philadelphia : W.B. Saunders Co., 1994.</t>
  </si>
  <si>
    <t>1994</t>
  </si>
  <si>
    <t>Clinics in sports medicine ; v. 13, no. 1</t>
  </si>
  <si>
    <t>1994-01-12</t>
  </si>
  <si>
    <t>364472321:eng</t>
  </si>
  <si>
    <t>29585010</t>
  </si>
  <si>
    <t>991002281559702656</t>
  </si>
  <si>
    <t>2265436920002656</t>
  </si>
  <si>
    <t>32285001804615</t>
  </si>
  <si>
    <t>893341255</t>
  </si>
  <si>
    <t>RC1200 .C34 1994, v.13, no.2</t>
  </si>
  <si>
    <t>0                      RC 1200000C  34          1994                                        v.13, no.2</t>
  </si>
  <si>
    <t>The Athletic woman / Rosemary Agostini, guest editor.</t>
  </si>
  <si>
    <t>V. 13 NO. 2</t>
  </si>
  <si>
    <t>Philadelphia : Saunders, c1994.</t>
  </si>
  <si>
    <t>Clinics in sports medicine ; v. 13, no. 2</t>
  </si>
  <si>
    <t>2001-10-30</t>
  </si>
  <si>
    <t>1994-05-20</t>
  </si>
  <si>
    <t>4762624204:eng</t>
  </si>
  <si>
    <t>30406107</t>
  </si>
  <si>
    <t>991002336849702656</t>
  </si>
  <si>
    <t>2269746460002656</t>
  </si>
  <si>
    <t>32285001864833</t>
  </si>
  <si>
    <t>893262229</t>
  </si>
  <si>
    <t>RC1200 .C34 1995, v.14, no.1</t>
  </si>
  <si>
    <t>0                      RC 1200000C  34          1995                                        v.14, no.1</t>
  </si>
  <si>
    <t>Racquet sports / Richard C. Lehman, guest editor.</t>
  </si>
  <si>
    <t>V. 14 NO. 1</t>
  </si>
  <si>
    <t>Philadelphia : W.B. Saunders, 1995.</t>
  </si>
  <si>
    <t>1995</t>
  </si>
  <si>
    <t>Clinics in sports medicine ; v. 14, no. 1</t>
  </si>
  <si>
    <t>2000-11-18</t>
  </si>
  <si>
    <t>1995-02-08</t>
  </si>
  <si>
    <t>3769290651:eng</t>
  </si>
  <si>
    <t>31917334</t>
  </si>
  <si>
    <t>991002447899702656</t>
  </si>
  <si>
    <t>2266603570002656</t>
  </si>
  <si>
    <t>32285002005907</t>
  </si>
  <si>
    <t>893335322</t>
  </si>
  <si>
    <t>RC1200 .C34 1995, v.14, no.2</t>
  </si>
  <si>
    <t>0                      RC 1200000C  34          1995                                        v.14, no.2</t>
  </si>
  <si>
    <t>The athletic elbow and wrist : part 1: diagnosis and conservative treatment / Kevin D. Plancher, guest editor.</t>
  </si>
  <si>
    <t>V. 14 NO. 2</t>
  </si>
  <si>
    <t>Clinics in sports medicine ; v. 14, no. 2</t>
  </si>
  <si>
    <t>1995-05-26</t>
  </si>
  <si>
    <t>4417672287:eng</t>
  </si>
  <si>
    <t>32407468</t>
  </si>
  <si>
    <t>991002491029702656</t>
  </si>
  <si>
    <t>2266670260002656</t>
  </si>
  <si>
    <t>32285002056751</t>
  </si>
  <si>
    <t>893616193</t>
  </si>
  <si>
    <t>RC1200 .C34 1995, v.14, no.3</t>
  </si>
  <si>
    <t>0                      RC 1200000C  34          1995                                        v.14, no.3</t>
  </si>
  <si>
    <t>The young athlete / Lyle J. Micheli, guest editor.</t>
  </si>
  <si>
    <t>V. 14 NO. 3</t>
  </si>
  <si>
    <t>Philadelphia : W.B. Saunders, c1995.</t>
  </si>
  <si>
    <t>Clinics in sports medicine, 0278-5919 ; v. 14, no. 3</t>
  </si>
  <si>
    <t>1997-03-18</t>
  </si>
  <si>
    <t>55958581:eng</t>
  </si>
  <si>
    <t>32901755</t>
  </si>
  <si>
    <t>991002532499702656</t>
  </si>
  <si>
    <t>2266540200002656</t>
  </si>
  <si>
    <t>32285002443652</t>
  </si>
  <si>
    <t>893323048</t>
  </si>
  <si>
    <t>RC1200 .C34 1996 v.15 no.1</t>
  </si>
  <si>
    <t>0                      RC 1200000C  34          1996                                        v.15 no.1</t>
  </si>
  <si>
    <t>Golf injuries / Gary N. Guten, guest editor.</t>
  </si>
  <si>
    <t>V.15 NO.1</t>
  </si>
  <si>
    <t>Philadelphia : W.B. Saunders, c1996.</t>
  </si>
  <si>
    <t>1996</t>
  </si>
  <si>
    <t>Clinics in sports medicine, 0278-5919 ; v. 15, no. 1</t>
  </si>
  <si>
    <t>2007-06-08</t>
  </si>
  <si>
    <t>1996-02-01</t>
  </si>
  <si>
    <t>39067547:eng</t>
  </si>
  <si>
    <t>34069468</t>
  </si>
  <si>
    <t>991001690939702656</t>
  </si>
  <si>
    <t>2258948220002656</t>
  </si>
  <si>
    <t>32285002126869</t>
  </si>
  <si>
    <t>893885479</t>
  </si>
  <si>
    <t>RC1200 .C34 1996, v.15, no.2</t>
  </si>
  <si>
    <t>0                      RC 1200000C  34          1996                                        v.15, no.2</t>
  </si>
  <si>
    <t>The athletic elbow and wrist : part II: common and overuse injuries / Kevin D. Plancher, guest editor.</t>
  </si>
  <si>
    <t>V. 15 NO. 2</t>
  </si>
  <si>
    <t>Philadelphia : W.B. Saunders, 1996.</t>
  </si>
  <si>
    <t>Clinics in sports medicine, 0278-5919 ; v. 15, no. 2</t>
  </si>
  <si>
    <t>1996-09-28</t>
  </si>
  <si>
    <t>1996-04-28</t>
  </si>
  <si>
    <t>377659518:eng</t>
  </si>
  <si>
    <t>34606610</t>
  </si>
  <si>
    <t>991002644619702656</t>
  </si>
  <si>
    <t>2272143600002656</t>
  </si>
  <si>
    <t>32285002157914</t>
  </si>
  <si>
    <t>893245435</t>
  </si>
  <si>
    <t>RC1200 .C34 1996, v.15, no.3</t>
  </si>
  <si>
    <t>0                      RC 1200000C  34          1996                                        v.15, no.3</t>
  </si>
  <si>
    <t>Meniscal repair / Orrin H. Sherman, guest editor.</t>
  </si>
  <si>
    <t>V. 15 NO. 3</t>
  </si>
  <si>
    <t>Phildelphia : W.B. Saunders, 1996.</t>
  </si>
  <si>
    <t>Clinics in sports medicine, 0278-5919 ; v. 15, no. 3</t>
  </si>
  <si>
    <t>1998-04-13</t>
  </si>
  <si>
    <t>1996-07-16</t>
  </si>
  <si>
    <t>152323287:eng</t>
  </si>
  <si>
    <t>35036943</t>
  </si>
  <si>
    <t>991002681309702656</t>
  </si>
  <si>
    <t>2272623680002656</t>
  </si>
  <si>
    <t>32285002212552</t>
  </si>
  <si>
    <t>893511055</t>
  </si>
  <si>
    <t>RC1200 .C34 1996, v.15, no.4</t>
  </si>
  <si>
    <t>0                      RC 1200000C  34          1996                                        v.15, no.4</t>
  </si>
  <si>
    <t>Arthroscopic surgery, Part I / John P. Fulkerson, guest editor.</t>
  </si>
  <si>
    <t>V. 15 NO. 4</t>
  </si>
  <si>
    <t>Clinics in sports medicine, 0278-5919 ; v. 15, no. 4</t>
  </si>
  <si>
    <t>2007-08-07</t>
  </si>
  <si>
    <t>1996-10-03</t>
  </si>
  <si>
    <t>3372786199:eng</t>
  </si>
  <si>
    <t>35660180</t>
  </si>
  <si>
    <t>991002720219702656</t>
  </si>
  <si>
    <t>2264761490002656</t>
  </si>
  <si>
    <t>32285002322435</t>
  </si>
  <si>
    <t>893892897</t>
  </si>
  <si>
    <t>RC1200 .C34 1997 v.16 no.2</t>
  </si>
  <si>
    <t>0                      RC 1200000C  34          1997                                        v.16 no.2</t>
  </si>
  <si>
    <t>Stress fractures / Bert R. Mandelbaum, and Thomas P. Knapp, guest editors.</t>
  </si>
  <si>
    <t>V. 16 NO. 2</t>
  </si>
  <si>
    <t>Philadelphia : Saunders, c1997.</t>
  </si>
  <si>
    <t>Clinics in sports medicine ; v. 16, no. 2</t>
  </si>
  <si>
    <t>2003-03-29</t>
  </si>
  <si>
    <t>2001-02-27</t>
  </si>
  <si>
    <t>364654248:eng</t>
  </si>
  <si>
    <t>36931842</t>
  </si>
  <si>
    <t>991003498149702656</t>
  </si>
  <si>
    <t>2269720590002656</t>
  </si>
  <si>
    <t>32285002607835</t>
  </si>
  <si>
    <t>893240269</t>
  </si>
  <si>
    <t>RC1200 .C34 1997, v.16, no.1</t>
  </si>
  <si>
    <t>0                      RC 1200000C  34          1997                                        v.16, no.1</t>
  </si>
  <si>
    <t>Arthroscopic surgery, Part II : the knee / John P. Fulkerson, guest editor.</t>
  </si>
  <si>
    <t>V. 16 NO. 1</t>
  </si>
  <si>
    <t>Philadelphia : W.B. Saunders, 1997.</t>
  </si>
  <si>
    <t>Clinics in sports medicine, 0278-5919 ; v. 16, no. 1</t>
  </si>
  <si>
    <t>1997-01-30</t>
  </si>
  <si>
    <t>40240324:eng</t>
  </si>
  <si>
    <t>36248754</t>
  </si>
  <si>
    <t>991002763339702656</t>
  </si>
  <si>
    <t>2265755520002656</t>
  </si>
  <si>
    <t>32285002412574</t>
  </si>
  <si>
    <t>893622694</t>
  </si>
  <si>
    <t>RC1200 .C34 1998, v.17, no.1</t>
  </si>
  <si>
    <t>0                      RC 1200000C  34          1998                                        v.17, no.1</t>
  </si>
  <si>
    <t>Neurologic athletic head and neck injuries / Robert C. Cantu.</t>
  </si>
  <si>
    <t>V. 17 NO. 1</t>
  </si>
  <si>
    <t>Philadelphia, Pa. : W.B. Saunders, c1998.</t>
  </si>
  <si>
    <t>1998</t>
  </si>
  <si>
    <t>Clinics in sports medicine, 0278-5919 ; v. 17, no. 1</t>
  </si>
  <si>
    <t>2005-01-28</t>
  </si>
  <si>
    <t>1998-01-28</t>
  </si>
  <si>
    <t>3857293840:eng</t>
  </si>
  <si>
    <t>38271308</t>
  </si>
  <si>
    <t>991002902549702656</t>
  </si>
  <si>
    <t>2256318510002656</t>
  </si>
  <si>
    <t>32285003311296</t>
  </si>
  <si>
    <t>893880560</t>
  </si>
  <si>
    <t>RC1200 .C34 1998, v.17, no.2</t>
  </si>
  <si>
    <t>0                      RC 1200000C  34          1998                                        v.17, no.2</t>
  </si>
  <si>
    <t>Sports pharmacology / James B. Robinson, guest editor.</t>
  </si>
  <si>
    <t>V. 17 NO. 2</t>
  </si>
  <si>
    <t>Clinics in sports medicine, 0278-5919 ; v. 17, no. 2</t>
  </si>
  <si>
    <t>2006-03-27</t>
  </si>
  <si>
    <t>1998-06-22</t>
  </si>
  <si>
    <t>3857903974:eng</t>
  </si>
  <si>
    <t>39099797</t>
  </si>
  <si>
    <t>991002939019702656</t>
  </si>
  <si>
    <t>2254868960002656</t>
  </si>
  <si>
    <t>32285003422465</t>
  </si>
  <si>
    <t>893440712</t>
  </si>
  <si>
    <t>RC1200 .C34 1998, v.17, no.3</t>
  </si>
  <si>
    <t>0                      RC 1200000C  34          1998                                        v.17, no.3</t>
  </si>
  <si>
    <t>Hand and wrist injuries / Arthur C. Rettig, guest editor.</t>
  </si>
  <si>
    <t>V. 17 NO. 3</t>
  </si>
  <si>
    <t>Philadelphia : W.B. Saunders, 1998.</t>
  </si>
  <si>
    <t>Clinics in sports medicine, 0278-5919 ; v. 17, no. 3</t>
  </si>
  <si>
    <t>1998-08-12</t>
  </si>
  <si>
    <t>56316631:eng</t>
  </si>
  <si>
    <t>39642617</t>
  </si>
  <si>
    <t>991002963329702656</t>
  </si>
  <si>
    <t>2268189890002656</t>
  </si>
  <si>
    <t>32285003452587</t>
  </si>
  <si>
    <t>893774231</t>
  </si>
  <si>
    <t>RC1200 .C34 1998, v.17, no.4</t>
  </si>
  <si>
    <t>0                      RC 1200000C  34          1998                                        v.17, no.4</t>
  </si>
  <si>
    <t>Soccer injuries / Bert R. Mandelbaum, William E. Garrett, Jr., Donald T. Kirkendall, guest editors.</t>
  </si>
  <si>
    <t>V. 17 NO. 4</t>
  </si>
  <si>
    <t>Clinics in sports medicine, 0278-5919 ; v. 17, no. 4</t>
  </si>
  <si>
    <t>2010-02-20</t>
  </si>
  <si>
    <t>1998-10-28</t>
  </si>
  <si>
    <t>364744587:eng</t>
  </si>
  <si>
    <t>40152275</t>
  </si>
  <si>
    <t>991002982719702656</t>
  </si>
  <si>
    <t>2262453500002656</t>
  </si>
  <si>
    <t>32285003478772</t>
  </si>
  <si>
    <t>893610568</t>
  </si>
  <si>
    <t>RC1200 .C34 1999, v.18, no.1</t>
  </si>
  <si>
    <t>0                      RC 1200000C  34          1999                                        v.18, no.1</t>
  </si>
  <si>
    <t>Complex topics in knee surgery / Christopher D. Harner, and Mark D. Miller, guest editors.</t>
  </si>
  <si>
    <t>V. 18 NO. 1</t>
  </si>
  <si>
    <t>Philadelphia, Pa. : W.B. Saunders, c1999.</t>
  </si>
  <si>
    <t>1999</t>
  </si>
  <si>
    <t>Clinics in sports medicine, 0278-5919 ; v. 18, no. 1</t>
  </si>
  <si>
    <t>1999-02-04</t>
  </si>
  <si>
    <t>3863775497:eng</t>
  </si>
  <si>
    <t>40679960</t>
  </si>
  <si>
    <t>991003002329702656</t>
  </si>
  <si>
    <t>2262272140002656</t>
  </si>
  <si>
    <t>32285003518031</t>
  </si>
  <si>
    <t>893342129</t>
  </si>
  <si>
    <t>RC1200 .C34 1999, v.18, no.2</t>
  </si>
  <si>
    <t>0                      RC 1200000C  34          1999                                        v.18, no.2</t>
  </si>
  <si>
    <t>Aquatic sports injuries and rehabilitation / Allen B. Richardson, guest editor.</t>
  </si>
  <si>
    <t>V. 18 NO. 2</t>
  </si>
  <si>
    <t>Clinics in sports medicine, 0278-5919 ; v. 18, no. 2</t>
  </si>
  <si>
    <t>2003-09-22</t>
  </si>
  <si>
    <t>1999-05-05</t>
  </si>
  <si>
    <t>45046470:eng</t>
  </si>
  <si>
    <t>41291773</t>
  </si>
  <si>
    <t>991003024539702656</t>
  </si>
  <si>
    <t>2258634510002656</t>
  </si>
  <si>
    <t>32285003559290</t>
  </si>
  <si>
    <t>893598182</t>
  </si>
  <si>
    <t>RC1200 .C34 1999, v.18, no.3</t>
  </si>
  <si>
    <t>0                      RC 1200000C  34          1999                                        v.18, no.3</t>
  </si>
  <si>
    <t>Nutritional aspects of exercise / Keith B. Wheeler and John A. Lombardo, guest editors.</t>
  </si>
  <si>
    <t>V. 18 NO. 3</t>
  </si>
  <si>
    <t>Clinics in sports medicine, 0278-5919 ; v. 18, no. 3</t>
  </si>
  <si>
    <t>2004-11-10</t>
  </si>
  <si>
    <t>1999-07-13</t>
  </si>
  <si>
    <t>364397012:eng</t>
  </si>
  <si>
    <t>41716582</t>
  </si>
  <si>
    <t>991003036309702656</t>
  </si>
  <si>
    <t>2258329140002656</t>
  </si>
  <si>
    <t>32285003578035</t>
  </si>
  <si>
    <t>893239832</t>
  </si>
  <si>
    <t>RC1200 .C34 1999, v.18, no.4</t>
  </si>
  <si>
    <t>0                      RC 1200000C  34          1999                                        v.18, no.4</t>
  </si>
  <si>
    <t>Management of surgical complications / Darren L. Johnson, guest editor.</t>
  </si>
  <si>
    <t>V. 18 NO. 4</t>
  </si>
  <si>
    <t>Philadelphia : W.B. Saunders, c1999.</t>
  </si>
  <si>
    <t>Clinics in sports medicine, 0278-5919 ; v. 18, no. 4</t>
  </si>
  <si>
    <t>2002-09-11</t>
  </si>
  <si>
    <t>1999-11-11</t>
  </si>
  <si>
    <t>2206849:eng</t>
  </si>
  <si>
    <t>42695119</t>
  </si>
  <si>
    <t>991003047499702656</t>
  </si>
  <si>
    <t>2254944100002656</t>
  </si>
  <si>
    <t>32285003621223</t>
  </si>
  <si>
    <t>893799328</t>
  </si>
  <si>
    <t>RC1200 .C34 2000, v.19, no.1</t>
  </si>
  <si>
    <t>0                      RC 1200000C  34          2000                                        v.19, no.1</t>
  </si>
  <si>
    <t>Management of the unstable shoulder : arthroscopic approaches for the next millennium / Jon J. P. Warner, guest editor.</t>
  </si>
  <si>
    <t>V. 19 NO. 1</t>
  </si>
  <si>
    <t>Philadelphia : W.B. Saunders, 2000.</t>
  </si>
  <si>
    <t>2000</t>
  </si>
  <si>
    <t>Clinics in sports medicine, 0278-5919 ; v. 19, no. 1</t>
  </si>
  <si>
    <t>2001-11-25</t>
  </si>
  <si>
    <t>2000-01-27</t>
  </si>
  <si>
    <t>131727495:eng</t>
  </si>
  <si>
    <t>43319822</t>
  </si>
  <si>
    <t>991003052349702656</t>
  </si>
  <si>
    <t>2256540820002656</t>
  </si>
  <si>
    <t>32285003656096</t>
  </si>
  <si>
    <t>893893334</t>
  </si>
  <si>
    <t>RC1200 .C34 2000, v.19, no.2</t>
  </si>
  <si>
    <t>0                      RC 1200000C  34          2000                                        v.19, no.2</t>
  </si>
  <si>
    <t>The athletic woman / Kimberly G. Harmon, Rosemary Agostini, guest editors.</t>
  </si>
  <si>
    <t>V. 19 NO. 2</t>
  </si>
  <si>
    <t>Clinics in sports medicine, 0278-5919 ; vol. 19, no. 2</t>
  </si>
  <si>
    <t>2000-04-04</t>
  </si>
  <si>
    <t>43679248</t>
  </si>
  <si>
    <t>991003054559702656</t>
  </si>
  <si>
    <t>2268301160002656</t>
  </si>
  <si>
    <t>32285003675344</t>
  </si>
  <si>
    <t>893352666</t>
  </si>
  <si>
    <t>RC1200 .C34 2000, v.19, no.3</t>
  </si>
  <si>
    <t>0                      RC 1200000C  34          2000                                        v.19, no.3</t>
  </si>
  <si>
    <t>The dislocated knee / Darren L. Johnson, guest editor.</t>
  </si>
  <si>
    <t>V. 19 NO. 3</t>
  </si>
  <si>
    <t>Clinics in sports medicine, 0278-5919 ; v. 19, no. 3</t>
  </si>
  <si>
    <t>2007-12-19</t>
  </si>
  <si>
    <t>2000-08-24</t>
  </si>
  <si>
    <t>3858225542:eng</t>
  </si>
  <si>
    <t>44608452</t>
  </si>
  <si>
    <t>991003272449702656</t>
  </si>
  <si>
    <t>2265227430002656</t>
  </si>
  <si>
    <t>32285003759361</t>
  </si>
  <si>
    <t>893711213</t>
  </si>
  <si>
    <t>RC1200 .C34 2001 v.20 no.1</t>
  </si>
  <si>
    <t>0                      RC 1200000C  34          2001                                        v.20 no.1</t>
  </si>
  <si>
    <t>Arthroscopic surgery for athletic elbow and wrist injuries / Felix H. Savoie III, and Larry D. Field, guest editors.</t>
  </si>
  <si>
    <t>V. 20 NO. 1</t>
  </si>
  <si>
    <t>Philadelphia : W.B. Saunders, 2001.</t>
  </si>
  <si>
    <t>2001</t>
  </si>
  <si>
    <t>Clinics in sports medicine, 0278-5919 ; vol. 20, no. 1</t>
  </si>
  <si>
    <t>3858575091:eng</t>
  </si>
  <si>
    <t>45997572</t>
  </si>
  <si>
    <t>991003498029702656</t>
  </si>
  <si>
    <t>2255780470002656</t>
  </si>
  <si>
    <t>32285004298062</t>
  </si>
  <si>
    <t>893441341</t>
  </si>
  <si>
    <t>RC1200 .C34 2001 v.20 no.2</t>
  </si>
  <si>
    <t>0                      RC 1200000C  34          2001                                        v.20 no.2</t>
  </si>
  <si>
    <t>Osteochondral injuries of the knee / Robert C. Schenck, Jr., guest editor.</t>
  </si>
  <si>
    <t>V. 20 NO. 2</t>
  </si>
  <si>
    <t>Philadelphia : W.B. Saunders Co., c2001.</t>
  </si>
  <si>
    <t>Clinics in sports medicine, 0278-5919 ; v. 20, no. 2</t>
  </si>
  <si>
    <t>2001-06-06</t>
  </si>
  <si>
    <t>2001-06-05</t>
  </si>
  <si>
    <t>364238774:eng</t>
  </si>
  <si>
    <t>47048181</t>
  </si>
  <si>
    <t>991003552979702656</t>
  </si>
  <si>
    <t>2271725990002656</t>
  </si>
  <si>
    <t>32285004325352</t>
  </si>
  <si>
    <t>893617459</t>
  </si>
  <si>
    <t>RC1200 .C34 2001 v.20 no.3</t>
  </si>
  <si>
    <t>0                      RC 1200000C  34          2001                                        v.20 no.3</t>
  </si>
  <si>
    <t>Overuse injuries in the upper extremity / Champ L. Baker, Jr., guest editor.</t>
  </si>
  <si>
    <t>V. 20 NO. 3</t>
  </si>
  <si>
    <t>Philadelphia : W.B. Saunders Company, c2001.</t>
  </si>
  <si>
    <t>Clinics in sports medicine, 0278-5919 ; v. 20, no. 3</t>
  </si>
  <si>
    <t>2001-08-30</t>
  </si>
  <si>
    <t>36810090:eng</t>
  </si>
  <si>
    <t>47673376</t>
  </si>
  <si>
    <t>991003615229702656</t>
  </si>
  <si>
    <t>2261376740002656</t>
  </si>
  <si>
    <t>32285004383385</t>
  </si>
  <si>
    <t>893900175</t>
  </si>
  <si>
    <t>RC1200 .C34 2001 v.20 no.4</t>
  </si>
  <si>
    <t>0                      RC 1200000C  34          2001                                        v.20 no.4</t>
  </si>
  <si>
    <t>Hip arthroscopy / J. W. Thomas Byrd, guest editor.</t>
  </si>
  <si>
    <t>V. 20 NO. 4</t>
  </si>
  <si>
    <t>Clinics in sports medicine, 0278-5919 ; vol. 20, no. 4</t>
  </si>
  <si>
    <t>2001-11-06</t>
  </si>
  <si>
    <t>2001-11-05</t>
  </si>
  <si>
    <t>2760543077:eng</t>
  </si>
  <si>
    <t>48135061</t>
  </si>
  <si>
    <t>991003670009702656</t>
  </si>
  <si>
    <t>2257690880002656</t>
  </si>
  <si>
    <t>32285004417951</t>
  </si>
  <si>
    <t>893717955</t>
  </si>
  <si>
    <t>RC1200 .C34 2002 v. 21 no. 1</t>
  </si>
  <si>
    <t>0                      RC 1200000C  34          2002                                        v. 21 no. 1</t>
  </si>
  <si>
    <t>The spine and sports / William C. Lauerman, guest editor.</t>
  </si>
  <si>
    <t>V. 21 NO. 1</t>
  </si>
  <si>
    <t>Clinics in sports medicine, 0278-5919 ; vol. 21, no. 1</t>
  </si>
  <si>
    <t>2003-02-08</t>
  </si>
  <si>
    <t>2002-05-16</t>
  </si>
  <si>
    <t>38355209:eng</t>
  </si>
  <si>
    <t>49215185</t>
  </si>
  <si>
    <t>991003811089702656</t>
  </si>
  <si>
    <t>2266497980002656</t>
  </si>
  <si>
    <t>32285004458773</t>
  </si>
  <si>
    <t>893228496</t>
  </si>
  <si>
    <t>RC1200 .C34 2002 v. 21 no. 2</t>
  </si>
  <si>
    <t>0                      RC 1200000C  34          2002                                        v. 21 no. 2</t>
  </si>
  <si>
    <t>Practice management / Jack M. Bert, guest editor.</t>
  </si>
  <si>
    <t>V. 21 NO. 2</t>
  </si>
  <si>
    <t>Philadelphia : W.B. Saunders Co., c2002.</t>
  </si>
  <si>
    <t>2002</t>
  </si>
  <si>
    <t>Clinics in sports medicine, 0278-5919 ; v. 21, no. 2</t>
  </si>
  <si>
    <t>2002-09-30</t>
  </si>
  <si>
    <t>56834664:eng</t>
  </si>
  <si>
    <t>50142182</t>
  </si>
  <si>
    <t>991003900549702656</t>
  </si>
  <si>
    <t>2269150140002656</t>
  </si>
  <si>
    <t>32285004640552</t>
  </si>
  <si>
    <t>893605376</t>
  </si>
  <si>
    <t>RC1200 .C34 2002 v. 21 no. 3</t>
  </si>
  <si>
    <t>0                      RC 1200000C  34          2002                                        v. 21 no. 3</t>
  </si>
  <si>
    <t>Injuries to the extensor mechanism of the knee / Donald C. Fithian, guest editor ; Mark D. Miller, consulting editor.</t>
  </si>
  <si>
    <t>V. 21 NO. 3</t>
  </si>
  <si>
    <t>Clinics in sports medicine, 0278-5919 ; v. 21, no. 3</t>
  </si>
  <si>
    <t>2007-07-09</t>
  </si>
  <si>
    <t>2002-11-20</t>
  </si>
  <si>
    <t>6602737:eng</t>
  </si>
  <si>
    <t>50688561</t>
  </si>
  <si>
    <t>991003948899702656</t>
  </si>
  <si>
    <t>2270316990002656</t>
  </si>
  <si>
    <t>32285004652755</t>
  </si>
  <si>
    <t>893253057</t>
  </si>
  <si>
    <t>RC1200 .C34 2002 v. 21 no. 4</t>
  </si>
  <si>
    <t>0                      RC 1200000C  34          2002                                        v. 21 no. 4</t>
  </si>
  <si>
    <t>Thermal energy / Orrin H. Sherman, guest editor ; Mark D. Miller, consulting editor.</t>
  </si>
  <si>
    <t>V. 21 NO. 4</t>
  </si>
  <si>
    <t>Clinics in sports medicine, 0278-5919 ; v. 21, no. 4</t>
  </si>
  <si>
    <t>2009-02-25</t>
  </si>
  <si>
    <t>2003-02-03</t>
  </si>
  <si>
    <t>6864163:eng</t>
  </si>
  <si>
    <t>51103432</t>
  </si>
  <si>
    <t>991003986649702656</t>
  </si>
  <si>
    <t>2265165090002656</t>
  </si>
  <si>
    <t>32285004690201</t>
  </si>
  <si>
    <t>893318667</t>
  </si>
  <si>
    <t>RC1200 .C34 2003 v. 22 no. 1</t>
  </si>
  <si>
    <t>0                      RC 1200000C  34          2003                                        v. 22 no. 1</t>
  </si>
  <si>
    <t>Cardiopulmonary issues in athletes / Johm [sic] M. MacKnight, guest editor ; Mark D. Miller, consulting editor.</t>
  </si>
  <si>
    <t>V. 22 NO. 1</t>
  </si>
  <si>
    <t>Philadelphia : W.B. Saunders Company, c2003.</t>
  </si>
  <si>
    <t>2003</t>
  </si>
  <si>
    <t>Clinics in sports medicine, 0278-5919 ; v. 22, no. 1</t>
  </si>
  <si>
    <t>2003-02-25</t>
  </si>
  <si>
    <t>8651028:eng</t>
  </si>
  <si>
    <t>51606582</t>
  </si>
  <si>
    <t>991004008009702656</t>
  </si>
  <si>
    <t>2267460350002656</t>
  </si>
  <si>
    <t>32285004680459</t>
  </si>
  <si>
    <t>893894465</t>
  </si>
  <si>
    <t>RC1200 .C34 2003 v. 22 no. 2</t>
  </si>
  <si>
    <t>0                      RC 1200000C  34          2003                                        v. 22 no. 2</t>
  </si>
  <si>
    <t>Acromioclavicular and sternoclavicular injuries / Mark K. Bowen and Gordon W. Nuber, guest editors ; Mark D. Miller, consulting editor.</t>
  </si>
  <si>
    <t>V. 22 NO. 2</t>
  </si>
  <si>
    <t>Philadelphia : W.B. Saunders Co., c2003.</t>
  </si>
  <si>
    <t>Clinics in sports medicine, 0278-5919 ; v. 22, no. 2</t>
  </si>
  <si>
    <t>2008-02-23</t>
  </si>
  <si>
    <t>2003-06-16</t>
  </si>
  <si>
    <t>364496434:eng</t>
  </si>
  <si>
    <t>52354790</t>
  </si>
  <si>
    <t>991004078769702656</t>
  </si>
  <si>
    <t>2266957730002656</t>
  </si>
  <si>
    <t>32285004753165</t>
  </si>
  <si>
    <t>893705973</t>
  </si>
  <si>
    <t>RC1200 .C34 2003 v. 22 no. 4</t>
  </si>
  <si>
    <t>0                      RC 1200000C  34          2003                                        v. 22 no. 4</t>
  </si>
  <si>
    <t>Current concepts in tendinopathy / W. Ben Kibler, guest editor ; Mark D. Miller, consulting editor.</t>
  </si>
  <si>
    <t>V. 22 NO. 4</t>
  </si>
  <si>
    <t>Clinics in sports medicine, 0278-5919 ; v. 22, no. 4</t>
  </si>
  <si>
    <t>2003-12-17</t>
  </si>
  <si>
    <t>2060905636:eng</t>
  </si>
  <si>
    <t>53168958</t>
  </si>
  <si>
    <t>991004207789702656</t>
  </si>
  <si>
    <t>2265861170002656</t>
  </si>
  <si>
    <t>32285004787411</t>
  </si>
  <si>
    <t>893343578</t>
  </si>
  <si>
    <t>RC1200 .C34 2004 v. 23 no. 1</t>
  </si>
  <si>
    <t>0                      RC 1200000C  34          2004                                        v. 23 no. 1</t>
  </si>
  <si>
    <t>Athletic foot and ankle injuries / guest editor, Shepard R. Hurwitz ; consulting editor, Mark D. Miller.</t>
  </si>
  <si>
    <t>V. 23 NO. 1</t>
  </si>
  <si>
    <t>Philadelphia : Saunders, c2004.</t>
  </si>
  <si>
    <t>2004</t>
  </si>
  <si>
    <t>Clinics in sports medicine, 0278-5919 ; v. 23, no. 1</t>
  </si>
  <si>
    <t>2005-02-14</t>
  </si>
  <si>
    <t>2004-04-13</t>
  </si>
  <si>
    <t>14378509:eng</t>
  </si>
  <si>
    <t>54894275</t>
  </si>
  <si>
    <t>991004281359702656</t>
  </si>
  <si>
    <t>2257589730002656</t>
  </si>
  <si>
    <t>32285004899356</t>
  </si>
  <si>
    <t>893263174</t>
  </si>
  <si>
    <t>RC1200 .C34 2004 v. 23 no. 2</t>
  </si>
  <si>
    <t>0                      RC 1200000C  34          2004                                        v. 23 no. 2</t>
  </si>
  <si>
    <t>Ethics and legal issues / guest editor, Rob Johnson ; consulting editor, Mark D. Miller.</t>
  </si>
  <si>
    <t>V. 23 NO. 2</t>
  </si>
  <si>
    <t>Clinics in sports medicine, 0278-5919 ; v. 23, no. 2</t>
  </si>
  <si>
    <t>2008-08-02</t>
  </si>
  <si>
    <t>2004-07-14</t>
  </si>
  <si>
    <t>364559894:eng</t>
  </si>
  <si>
    <t>55806187</t>
  </si>
  <si>
    <t>991004322419702656</t>
  </si>
  <si>
    <t>2260041030002656</t>
  </si>
  <si>
    <t>32285004923396</t>
  </si>
  <si>
    <t>893417486</t>
  </si>
  <si>
    <t>RC1200 .C34 2004 v. 23 no. 3</t>
  </si>
  <si>
    <t>0                      RC 1200000C  34          2004                                        v. 23 no. 3</t>
  </si>
  <si>
    <t>Return to play / guest editor, Edward G. McFarland ; consulting editor, Mark D. Miller.</t>
  </si>
  <si>
    <t>V. 23 NO. 3</t>
  </si>
  <si>
    <t>Clinics in sports medicine, 0278-5919 ; v. 23, no. 3</t>
  </si>
  <si>
    <t>2008-11-12</t>
  </si>
  <si>
    <t>2004-08-17</t>
  </si>
  <si>
    <t>15939191:eng</t>
  </si>
  <si>
    <t>56120835</t>
  </si>
  <si>
    <t>991004352119702656</t>
  </si>
  <si>
    <t>2268481760002656</t>
  </si>
  <si>
    <t>32285004982475</t>
  </si>
  <si>
    <t>893618563</t>
  </si>
  <si>
    <t>RC1200 .C34 2004 v.23 no.4</t>
  </si>
  <si>
    <t>0                      RC 1200000C  34          2004                                        v.23 no.4</t>
  </si>
  <si>
    <t>Elbow injuries in athletes / guest editor, Marc R. Safran ; Consulting editor, Mark D. Miller.</t>
  </si>
  <si>
    <t>V. 23 NO. 4</t>
  </si>
  <si>
    <t>Clinics in sports medicine, 0278-5919 ; v. 23, no. 4</t>
  </si>
  <si>
    <t>2004-11-18</t>
  </si>
  <si>
    <t>2004-11-17</t>
  </si>
  <si>
    <t>3862782847:eng</t>
  </si>
  <si>
    <t>56797331</t>
  </si>
  <si>
    <t>991004423989702656</t>
  </si>
  <si>
    <t>2255771780002656</t>
  </si>
  <si>
    <t>32285005011308</t>
  </si>
  <si>
    <t>893513224</t>
  </si>
  <si>
    <t>RC1200 .C34 2005 v. 24 no. 1</t>
  </si>
  <si>
    <t>0                      RC 1200000C  34          2005                                        v. 24 no. 1</t>
  </si>
  <si>
    <t>Osteoarthritis / guest editor, Eric C. McCarty ; consulting editor, Mark D. Miller.</t>
  </si>
  <si>
    <t>V. 24 NO. 1</t>
  </si>
  <si>
    <t>Philadelphia : Saunders, c2005.</t>
  </si>
  <si>
    <t>2005</t>
  </si>
  <si>
    <t>Clinics in sports medicine, 0278-5919 ; v. 24, no. 1</t>
  </si>
  <si>
    <t>2008-05-28</t>
  </si>
  <si>
    <t>2005-02-08</t>
  </si>
  <si>
    <t>57134443:eng</t>
  </si>
  <si>
    <t>57555593</t>
  </si>
  <si>
    <t>991004469889702656</t>
  </si>
  <si>
    <t>2256291520002656</t>
  </si>
  <si>
    <t>32285005024673</t>
  </si>
  <si>
    <t>893901266</t>
  </si>
  <si>
    <t>RC1200 .C34 2005 v. 24 no. 2</t>
  </si>
  <si>
    <t>0                      RC 1200000C  34          2005                                        v. 24 no. 2</t>
  </si>
  <si>
    <t>Sports chronobiology / guest editor, Teodor T. Postolache ; consulting editor, Mark D. Miller.</t>
  </si>
  <si>
    <t>V. 24 NO. 2</t>
  </si>
  <si>
    <t>Clinics in sports medicine, 0278-5919 ; v. 24, no. 2</t>
  </si>
  <si>
    <t>2005-07-07</t>
  </si>
  <si>
    <t>57210273:eng</t>
  </si>
  <si>
    <t>60569923</t>
  </si>
  <si>
    <t>991004601339702656</t>
  </si>
  <si>
    <t>2263294840002656</t>
  </si>
  <si>
    <t>9781416027690</t>
  </si>
  <si>
    <t>32285005094353</t>
  </si>
  <si>
    <t>893807259</t>
  </si>
  <si>
    <t>RC1200 .C34 2005 v. 24 no. 3</t>
  </si>
  <si>
    <t>0                      RC 1200000C  34          2005                                        v. 24 no. 3</t>
  </si>
  <si>
    <t>Training room management of medical conditions / guest editor, John M. MacKnight ; consulting editor, Mark D. Miller.</t>
  </si>
  <si>
    <t>V. 24 NO. 3</t>
  </si>
  <si>
    <t>Clinics in sports medicine, 0278-5919 ; v. 24, no. 3</t>
  </si>
  <si>
    <t>2006-11-19</t>
  </si>
  <si>
    <t>2005-08-25</t>
  </si>
  <si>
    <t>57222347:eng</t>
  </si>
  <si>
    <t>61187400</t>
  </si>
  <si>
    <t>991004635009702656</t>
  </si>
  <si>
    <t>2262346730002656</t>
  </si>
  <si>
    <t>9781416027706</t>
  </si>
  <si>
    <t>32285005081640</t>
  </si>
  <si>
    <t>893628272</t>
  </si>
  <si>
    <t>RC1200 .C34 2005 v. 24 no. 4</t>
  </si>
  <si>
    <t>0                      RC 1200000C  34          2005                                        v. 24 no. 4</t>
  </si>
  <si>
    <t>The interface between sport psychiatry and sports medicine / guest editors, Ian R. Tofler, Eric D. Morse ; consulting editor, Mark D. Miller.</t>
  </si>
  <si>
    <t>V. 24 NO. 4</t>
  </si>
  <si>
    <t>Clinics in sports medicine, 0278-5919 ; v. 24, no. 4</t>
  </si>
  <si>
    <t>2008-07-20</t>
  </si>
  <si>
    <t>2005-10-31</t>
  </si>
  <si>
    <t>5580113271:eng</t>
  </si>
  <si>
    <t>62097340</t>
  </si>
  <si>
    <t>991004686799702656</t>
  </si>
  <si>
    <t>2266805040002656</t>
  </si>
  <si>
    <t>9781416027713</t>
  </si>
  <si>
    <t>32285005143390</t>
  </si>
  <si>
    <t>893235816</t>
  </si>
  <si>
    <t>RC1200 .C34 2006 v. 25 no. 1</t>
  </si>
  <si>
    <t>0                      RC 1200000C  34          2006                                        v. 25 no. 1</t>
  </si>
  <si>
    <t>Stress fractures / guest editor, Christopher C. Kaeding.</t>
  </si>
  <si>
    <t>V. 25 NO. 1</t>
  </si>
  <si>
    <t>Philadelphis, PA : Saunders, c2005.</t>
  </si>
  <si>
    <t>Clinics in sports medicine, 0278-5919 ; v. 25, no. 1</t>
  </si>
  <si>
    <t>2006-01-11</t>
  </si>
  <si>
    <t>5578324140:eng</t>
  </si>
  <si>
    <t>62793936</t>
  </si>
  <si>
    <t>991004711169702656</t>
  </si>
  <si>
    <t>2261931620002656</t>
  </si>
  <si>
    <t>9781416033813</t>
  </si>
  <si>
    <t>32285005154660</t>
  </si>
  <si>
    <t>893513571</t>
  </si>
  <si>
    <t>RC1200 .C34 2006 v. 25 no. 2</t>
  </si>
  <si>
    <t>0                      RC 1200000C  34          2006                                        v. 25 no. 2</t>
  </si>
  <si>
    <t>Hip injuries / guest editors, Srino Bharam, Marc J. Philippon.</t>
  </si>
  <si>
    <t>V. 25 NO. 2</t>
  </si>
  <si>
    <t>Philadelphia, PA : Saunders, c2006.</t>
  </si>
  <si>
    <t>Clinics in sports medicine, 0278-5919 ; v. 25, no. 2</t>
  </si>
  <si>
    <t>2006-05-24</t>
  </si>
  <si>
    <t>364042044:eng</t>
  </si>
  <si>
    <t>68193249</t>
  </si>
  <si>
    <t>991004821409702656</t>
  </si>
  <si>
    <t>2269781940002656</t>
  </si>
  <si>
    <t>9781416035480</t>
  </si>
  <si>
    <t>32285005188189</t>
  </si>
  <si>
    <t>893694379</t>
  </si>
  <si>
    <t>RC1200 .C34 2006 v. 25 no. 3</t>
  </si>
  <si>
    <t>0                      RC 1200000C  34          2006                                        v. 25 no. 3</t>
  </si>
  <si>
    <t>Imaging of upper extremities / guest editor, Timothy G. Sanders.</t>
  </si>
  <si>
    <t>V. 25 NO. 3</t>
  </si>
  <si>
    <t>Philadelpha, PA : Saunders, c2006.</t>
  </si>
  <si>
    <t>Clinics in sports medicine, 0278-5919 ; v. 25, no. 3</t>
  </si>
  <si>
    <t>2006-08-01</t>
  </si>
  <si>
    <t>3770109352:eng</t>
  </si>
  <si>
    <t>70714269</t>
  </si>
  <si>
    <t>991004897249702656</t>
  </si>
  <si>
    <t>2257840710002656</t>
  </si>
  <si>
    <t>9781416037989</t>
  </si>
  <si>
    <t>32285005199129</t>
  </si>
  <si>
    <t>893688323</t>
  </si>
  <si>
    <t>RC1200 .C34 2006 v. 25 no. 4</t>
  </si>
  <si>
    <t>0                      RC 1200000C  34          2006                                        v. 25 no. 4</t>
  </si>
  <si>
    <t>Imaging of lower extremities / guest editor, Timothy G. Sanders.</t>
  </si>
  <si>
    <t>V. 25 NO. 4</t>
  </si>
  <si>
    <t>Clinics in sports medicine, 0278-5919 ; v. 25, no. 4</t>
  </si>
  <si>
    <t>2006-11-13</t>
  </si>
  <si>
    <t>4918270134:eng</t>
  </si>
  <si>
    <t>72522074</t>
  </si>
  <si>
    <t>991004978319702656</t>
  </si>
  <si>
    <t>2262382720002656</t>
  </si>
  <si>
    <t>9781416037996</t>
  </si>
  <si>
    <t>32285005233308</t>
  </si>
  <si>
    <t>893628442</t>
  </si>
  <si>
    <t>RC1200 .C34 2007 v. 26 no. 1</t>
  </si>
  <si>
    <t>0                      RC 1200000C  34          2007                                        v. 26 no. 1</t>
  </si>
  <si>
    <t>Sports nutrition update / guest editor, Leslie Bonci ; consulting editor, Mark D. Miller.</t>
  </si>
  <si>
    <t>V. 26 NO. 1</t>
  </si>
  <si>
    <t>Philadelphia, PA : Saunders, c2007.</t>
  </si>
  <si>
    <t>Clinics in sports medicine, 0278-5919 ; v. 26, no. 1</t>
  </si>
  <si>
    <t>2007-03-21</t>
  </si>
  <si>
    <t>69738147:eng</t>
  </si>
  <si>
    <t>85836032</t>
  </si>
  <si>
    <t>991005056909702656</t>
  </si>
  <si>
    <t>2265736210002656</t>
  </si>
  <si>
    <t>9781416042969</t>
  </si>
  <si>
    <t>32285005280598</t>
  </si>
  <si>
    <t>893619373</t>
  </si>
  <si>
    <t>RC1200 .C34 2007 V. 26 no. 2</t>
  </si>
  <si>
    <t>0                      RC 1200000C  34          2007                                        V. 26 no. 2</t>
  </si>
  <si>
    <t>Behind the scenes as a team physician : edited by Jeff G. Konin.</t>
  </si>
  <si>
    <t>V. 26 NO. 2</t>
  </si>
  <si>
    <t>Konin, Jeff G.</t>
  </si>
  <si>
    <t>Philadelphia, Pa. ; Edinburgh : Elsevier Saunders, 2007.</t>
  </si>
  <si>
    <t>2007</t>
  </si>
  <si>
    <t>Clinics in sports medicine, ISSN0278-5919 ; v. 26, no. 2</t>
  </si>
  <si>
    <t>2007-06-14</t>
  </si>
  <si>
    <t>103218111:eng</t>
  </si>
  <si>
    <t>144453102</t>
  </si>
  <si>
    <t>991005093919702656</t>
  </si>
  <si>
    <t>2265978980002656</t>
  </si>
  <si>
    <t>9781416042976</t>
  </si>
  <si>
    <t>32285005317648</t>
  </si>
  <si>
    <t>893883326</t>
  </si>
  <si>
    <t>RC1200 .C34 2007 v. 26 no. 3</t>
  </si>
  <si>
    <t>0                      RC 1200000C  34          2007                                        v. 26 no. 3</t>
  </si>
  <si>
    <t>Infectious disease and sports medicine / guest editors, James R. Borchers, Thomas M. Best ; consulting editor, Mark D. Miller.</t>
  </si>
  <si>
    <t>V. 26 NO. 3</t>
  </si>
  <si>
    <t>Philadelphia, Pa. : Saunders, c2007.</t>
  </si>
  <si>
    <t>Clinics in sports medicine, 0278-5919 ; v. 26, no. 3</t>
  </si>
  <si>
    <t>2007-11-12</t>
  </si>
  <si>
    <t>364075543:eng</t>
  </si>
  <si>
    <t>173964077</t>
  </si>
  <si>
    <t>991005146159702656</t>
  </si>
  <si>
    <t>2267368060002656</t>
  </si>
  <si>
    <t>9781416050568</t>
  </si>
  <si>
    <t>32285005364699</t>
  </si>
  <si>
    <t>893320105</t>
  </si>
  <si>
    <t>RC1200 .C34 2007 v. 26, no. 4</t>
  </si>
  <si>
    <t>0                      RC 1200000C  34          2007                                        v. 26, no. 4</t>
  </si>
  <si>
    <t>ACL graft and fixation choices / guest editors, Jon K. Sekiya, Steven B. Cohen.</t>
  </si>
  <si>
    <t>V. 26 NO. 4</t>
  </si>
  <si>
    <t>Clinics in sports medicine, 0278-5919 ; v. 26, no. 4</t>
  </si>
  <si>
    <t>2010-12-01</t>
  </si>
  <si>
    <t>2008-02-27</t>
  </si>
  <si>
    <t>364201007:eng</t>
  </si>
  <si>
    <t>181099422</t>
  </si>
  <si>
    <t>991005187059702656</t>
  </si>
  <si>
    <t>2270829470002656</t>
  </si>
  <si>
    <t>9781416050575</t>
  </si>
  <si>
    <t>32285005366454</t>
  </si>
  <si>
    <t>893600773</t>
  </si>
  <si>
    <t>RC1200 .C34 2008 v. 27 no. 1</t>
  </si>
  <si>
    <t>0                      RC 1200000C  34          2008                                        v. 27 no. 1</t>
  </si>
  <si>
    <t>International perspectives / guest editor, Lyle J. Micheli.</t>
  </si>
  <si>
    <t>V. 27 NO. 1</t>
  </si>
  <si>
    <t>Philadelphia, Pa. : Saunders, c2008.</t>
  </si>
  <si>
    <t>2008</t>
  </si>
  <si>
    <t>Clinics in sports medicine, 0278-5919 ; v. 27, no. 1</t>
  </si>
  <si>
    <t>2008-05-21</t>
  </si>
  <si>
    <t>2008-03-06</t>
  </si>
  <si>
    <t>127972509:eng</t>
  </si>
  <si>
    <t>206287426</t>
  </si>
  <si>
    <t>991005189979702656</t>
  </si>
  <si>
    <t>2269563190002656</t>
  </si>
  <si>
    <t>9781416058106</t>
  </si>
  <si>
    <t>32285005395685</t>
  </si>
  <si>
    <t>893527071</t>
  </si>
  <si>
    <t>RC1200 .C34 2008 v. 27 no. 3</t>
  </si>
  <si>
    <t>0                      RC 1200000C  34          2008                                        v. 27 no. 3</t>
  </si>
  <si>
    <t>Sports injury outcomes and prevention / guest editor, Joseph M. Hart.</t>
  </si>
  <si>
    <t>V. 27 NO. 3</t>
  </si>
  <si>
    <t>Philadelphia : W.B. Saunders, 2008.</t>
  </si>
  <si>
    <t>Clinics in sports medicine, 0278-5919 ; v. 27, no. 3</t>
  </si>
  <si>
    <t>2008-08-18</t>
  </si>
  <si>
    <t>135829963:eng</t>
  </si>
  <si>
    <t>225874430</t>
  </si>
  <si>
    <t>991005259759702656</t>
  </si>
  <si>
    <t>2267873410002656</t>
  </si>
  <si>
    <t>9781416063544</t>
  </si>
  <si>
    <t>32285005454912</t>
  </si>
  <si>
    <t>893619701</t>
  </si>
  <si>
    <t>RC1200 .C34 2008 v. 27 no. 4</t>
  </si>
  <si>
    <t>0                      RC 1200000C  34          2008                                        v. 27 no. 4</t>
  </si>
  <si>
    <t>Shoulder problems in athletes / guest editor, Benjamin Shaffer ; consulting editor, Mark D. Miller.</t>
  </si>
  <si>
    <t>V. 27 NO. 4</t>
  </si>
  <si>
    <t>Philadelphia, Pa. : Saunders, 2008.</t>
  </si>
  <si>
    <t>Clinics in sports medicine, 0278-5919 ; v. 27, no. 4</t>
  </si>
  <si>
    <t>2009-01-19</t>
  </si>
  <si>
    <t>2615466421:eng</t>
  </si>
  <si>
    <t>244653172</t>
  </si>
  <si>
    <t>991005290929702656</t>
  </si>
  <si>
    <t>2258770360002656</t>
  </si>
  <si>
    <t>9781416063551</t>
  </si>
  <si>
    <t>32285005479489</t>
  </si>
  <si>
    <t>893344979</t>
  </si>
  <si>
    <t>RC1200 .C34 2009 v. 28 no. 1</t>
  </si>
  <si>
    <t>0                      RC 1200000C  34          2009                                        v. 28 no. 1</t>
  </si>
  <si>
    <t>Future trends in sports medicine / guest editor, Scott A. Rodeo.</t>
  </si>
  <si>
    <t>V. 28 NO. 1</t>
  </si>
  <si>
    <t>Philadephia, Penn. : W.B. Saunders, 2009.</t>
  </si>
  <si>
    <t>2009</t>
  </si>
  <si>
    <t>Clinics in sports medicine, 0278-5919; v. 28, no. 1</t>
  </si>
  <si>
    <t>2009-04-22</t>
  </si>
  <si>
    <t>3769354266:eng</t>
  </si>
  <si>
    <t>262883001</t>
  </si>
  <si>
    <t>991005312419702656</t>
  </si>
  <si>
    <t>2257882900002656</t>
  </si>
  <si>
    <t>9781437705423</t>
  </si>
  <si>
    <t>32285005479471</t>
  </si>
  <si>
    <t>893507960</t>
  </si>
  <si>
    <t>RC1200 .C34 2009 v. 28 no. 2</t>
  </si>
  <si>
    <t>0                      RC 1200000C  34          2009                                        v. 28 no. 2</t>
  </si>
  <si>
    <t>Allografts / guest editor, Darren L. Johnson ; consulting editor Mark D. Miller.</t>
  </si>
  <si>
    <t>V. 28 NO. 2</t>
  </si>
  <si>
    <t>Philadelphia, Pa. : Saunders, 2009.</t>
  </si>
  <si>
    <t>Clinics in sports medicine, 0278-5919 ; v. 28, no. 2</t>
  </si>
  <si>
    <t>2009-05-28</t>
  </si>
  <si>
    <t>1778069566:eng</t>
  </si>
  <si>
    <t>312626525</t>
  </si>
  <si>
    <t>991005319739702656</t>
  </si>
  <si>
    <t>2260796990002656</t>
  </si>
  <si>
    <t>9781437705430</t>
  </si>
  <si>
    <t>32285005533178</t>
  </si>
  <si>
    <t>893338912</t>
  </si>
  <si>
    <t>RC1200 .C34 2009 v. 28 no. 3</t>
  </si>
  <si>
    <t>0                      RC 1200000C  34          2009                                        v. 28 no. 3</t>
  </si>
  <si>
    <t>Obesity and diabetes in sports medicine / guest editors, Susan E. Kirk, Dilaawar J. Mistry.</t>
  </si>
  <si>
    <t>V. 28 NO. 3</t>
  </si>
  <si>
    <t>Philadelphia, PA : W.B. Saunders Co., c2009.</t>
  </si>
  <si>
    <t>Clinics in sports medicine, 0278-5919 ; v. 28, no. 3, July 2009</t>
  </si>
  <si>
    <t>2010-03-16</t>
  </si>
  <si>
    <t>2009-07-20</t>
  </si>
  <si>
    <t>195187046:eng</t>
  </si>
  <si>
    <t>317917872</t>
  </si>
  <si>
    <t>991005327529702656</t>
  </si>
  <si>
    <t>2266197790002656</t>
  </si>
  <si>
    <t>9781437712759</t>
  </si>
  <si>
    <t>32285005538391</t>
  </si>
  <si>
    <t>893254823</t>
  </si>
  <si>
    <t>RC1200 .C34 2009 v. 28 no. 4</t>
  </si>
  <si>
    <t>0                      RC 1200000C  34          2009                                        v. 28 no. 4</t>
  </si>
  <si>
    <t>Medical issues in boxing / guest editors, Gerard P. Varlotta, Barry D. Jordan.</t>
  </si>
  <si>
    <t>V. 28 NO. 4</t>
  </si>
  <si>
    <t>Philadelphia, Penn. : W.B. Saunders, 2009.</t>
  </si>
  <si>
    <t>Clinics in sports medicine, 0278-5919 ; v. 28, no. 4, Oct. 2009</t>
  </si>
  <si>
    <t>2010-01-28</t>
  </si>
  <si>
    <t>196414884:eng</t>
  </si>
  <si>
    <t>319493112</t>
  </si>
  <si>
    <t>991005360789702656</t>
  </si>
  <si>
    <t>2256454520002656</t>
  </si>
  <si>
    <t>9781437712766</t>
  </si>
  <si>
    <t>32285005550800</t>
  </si>
  <si>
    <t>893796043</t>
  </si>
  <si>
    <t>RC1200 .C34 2010 v. 29 no. 1</t>
  </si>
  <si>
    <t>0                      RC 1200000C  34          2010                                        v. 29 no. 1</t>
  </si>
  <si>
    <t>Rehabiliation from the perspective of the athletic trainer/physical trainer / guest editor, Jeff G. Konin.</t>
  </si>
  <si>
    <t>V. 29 NO. 1</t>
  </si>
  <si>
    <t>Philadelphia, Pa. ; London : Saunders, 2010.</t>
  </si>
  <si>
    <t>2010</t>
  </si>
  <si>
    <t>Clinics in sports medicine ; v. 29, no. 1, January 2010</t>
  </si>
  <si>
    <t>3858683169:eng</t>
  </si>
  <si>
    <t>473464437</t>
  </si>
  <si>
    <t>991005360799702656</t>
  </si>
  <si>
    <t>2259732090002656</t>
  </si>
  <si>
    <t>9781437718737</t>
  </si>
  <si>
    <t>32285005570139</t>
  </si>
  <si>
    <t>893412745</t>
  </si>
  <si>
    <t>RC1200 .C34 2010 v. 29 no. 2</t>
  </si>
  <si>
    <t>0                      RC 1200000C  34          2010                                        v. 29 no. 2</t>
  </si>
  <si>
    <t>Post-operative rehabilitation controversies in athletes / guest editor, Claude T. Moorman III ; consulting editor, Mark D. Miller.</t>
  </si>
  <si>
    <t>V. 29 NO. 2</t>
  </si>
  <si>
    <t>Philadelphia, Pa. : Saunders, 2010.</t>
  </si>
  <si>
    <t>Clinics in sports medicine, 0278-5919 ; v. 29, no. 2</t>
  </si>
  <si>
    <t>2010-04-19</t>
  </si>
  <si>
    <t>2615478862:eng</t>
  </si>
  <si>
    <t>607301958</t>
  </si>
  <si>
    <t>991005387189702656</t>
  </si>
  <si>
    <t>2258204240002656</t>
  </si>
  <si>
    <t>9781437718744</t>
  </si>
  <si>
    <t>32285005565469</t>
  </si>
  <si>
    <t>893689124</t>
  </si>
  <si>
    <t>RC1200 .C34 2010 v. 29 no. 3</t>
  </si>
  <si>
    <t>0                      RC 1200000C  34          2010                                        v. 29 no. 3</t>
  </si>
  <si>
    <t>The runner / guest editor, Robert P. Wilder.</t>
  </si>
  <si>
    <t>v. 29 no. 3*</t>
  </si>
  <si>
    <t>Wilder, Robert P.</t>
  </si>
  <si>
    <t>Philadelphia, Pa. ; London : Saunders, c2010.</t>
  </si>
  <si>
    <t>Clinics in sports medicine, 0278-5919 ; v. 29, no. 3</t>
  </si>
  <si>
    <t>2010-08-16</t>
  </si>
  <si>
    <t>892206279:eng</t>
  </si>
  <si>
    <t>636915685</t>
  </si>
  <si>
    <t>991000059929702656</t>
  </si>
  <si>
    <t>2264335970002656</t>
  </si>
  <si>
    <t>9781437724974</t>
  </si>
  <si>
    <t>32285005592984</t>
  </si>
  <si>
    <t>893877760</t>
  </si>
  <si>
    <t>RC1200 .C34 2010 v. 29 no. 4</t>
  </si>
  <si>
    <t>0                      RC 1200000C  34          2010                                        v. 29 no. 4</t>
  </si>
  <si>
    <t>The athlete's elbow / guest editor, Marc R. Safran.</t>
  </si>
  <si>
    <t>v. 29 no. 4*</t>
  </si>
  <si>
    <t>Philadelphia, PA : W.B. Saunders Co., c2010.</t>
  </si>
  <si>
    <t>Clinics in sports medicine, 0278-5919 ; v. 29, no. 4</t>
  </si>
  <si>
    <t>2010-11-17</t>
  </si>
  <si>
    <t>553524701:eng</t>
  </si>
  <si>
    <t>630452437</t>
  </si>
  <si>
    <t>991000368199702656</t>
  </si>
  <si>
    <t>2265730990002656</t>
  </si>
  <si>
    <t>9781437724981</t>
  </si>
  <si>
    <t>32285005606628</t>
  </si>
  <si>
    <t>893521595</t>
  </si>
  <si>
    <t>RC1201 .C57 1984</t>
  </si>
  <si>
    <t>0                      RC 1201000C  57          1984</t>
  </si>
  <si>
    <t>Clinical sports medicine / edited by Robert C. Cantu.</t>
  </si>
  <si>
    <t>Lexington, Mass. : Collamore Press, c1984.</t>
  </si>
  <si>
    <t>1993-11-27</t>
  </si>
  <si>
    <t>428153328:eng</t>
  </si>
  <si>
    <t>10020630</t>
  </si>
  <si>
    <t>991000299549702656</t>
  </si>
  <si>
    <t>2265328890002656</t>
  </si>
  <si>
    <t>9780669068429</t>
  </si>
  <si>
    <t>32285001608271</t>
  </si>
  <si>
    <t>893508676</t>
  </si>
  <si>
    <t>RC1201 .E93</t>
  </si>
  <si>
    <t>0                      RC 1201000E  93</t>
  </si>
  <si>
    <t>The Exercising adult / editor Robert C. Cantu.</t>
  </si>
  <si>
    <t>Lexington, MA : Collamore Press, c1982.</t>
  </si>
  <si>
    <t>1982</t>
  </si>
  <si>
    <t>1998-04-01</t>
  </si>
  <si>
    <t>1990-06-13</t>
  </si>
  <si>
    <t>54914070:eng</t>
  </si>
  <si>
    <t>7614508</t>
  </si>
  <si>
    <t>991005141279702656</t>
  </si>
  <si>
    <t>2264293490002656</t>
  </si>
  <si>
    <t>9780669045093</t>
  </si>
  <si>
    <t>32285000191667</t>
  </si>
  <si>
    <t>893713503</t>
  </si>
  <si>
    <t>RC1210 .A44 1991</t>
  </si>
  <si>
    <t>0                      RC 1210000A  44          1991</t>
  </si>
  <si>
    <t>ACSM's guidelines for the team physician / edited by Robert C. Cantu, Lyle J. Micheli.</t>
  </si>
  <si>
    <t>American College of Sports Medicine.</t>
  </si>
  <si>
    <t>Philadelphia : Lea &amp; Febiger, 1991.</t>
  </si>
  <si>
    <t>1992-04-30</t>
  </si>
  <si>
    <t>28622442:eng</t>
  </si>
  <si>
    <t>23286836</t>
  </si>
  <si>
    <t>991001855619702656</t>
  </si>
  <si>
    <t>2272144070002656</t>
  </si>
  <si>
    <t>9780812113709</t>
  </si>
  <si>
    <t>32285001037489</t>
  </si>
  <si>
    <t>893334666</t>
  </si>
  <si>
    <t>RC1210 .A66</t>
  </si>
  <si>
    <t>0                      RC 1210000A  66</t>
  </si>
  <si>
    <t>Medicine for sport / by David F. Apple, Jr. and John D. Cantwell.</t>
  </si>
  <si>
    <t>Apple, David F.</t>
  </si>
  <si>
    <t>Chicago : Year Book Medical Publishers, c1979.</t>
  </si>
  <si>
    <t>477021:eng</t>
  </si>
  <si>
    <t>4883790</t>
  </si>
  <si>
    <t>991005257579702656</t>
  </si>
  <si>
    <t>2264022510002656</t>
  </si>
  <si>
    <t>9780815114208</t>
  </si>
  <si>
    <t>32285001608305</t>
  </si>
  <si>
    <t>893713751</t>
  </si>
  <si>
    <t>RC1210 .A84 1999</t>
  </si>
  <si>
    <t>0                      RC 1210000A  84          1999</t>
  </si>
  <si>
    <t>Athletic training and sports medicine / [edited by Robert C. Schenck].</t>
  </si>
  <si>
    <t>Rosemont, IL : American Academy of Orthopaedic Surgeons, c1999.</t>
  </si>
  <si>
    <t>3rd ed.</t>
  </si>
  <si>
    <t>2002-05-17</t>
  </si>
  <si>
    <t>2002-05-14</t>
  </si>
  <si>
    <t>3373524965:eng</t>
  </si>
  <si>
    <t>41018367</t>
  </si>
  <si>
    <t>991003780839702656</t>
  </si>
  <si>
    <t>2254859180002656</t>
  </si>
  <si>
    <t>9780892031726</t>
  </si>
  <si>
    <t>32285004488267</t>
  </si>
  <si>
    <t>893794040</t>
  </si>
  <si>
    <t>RC1210 .A845 1986</t>
  </si>
  <si>
    <t>0                      RC 1210000A  845         1986</t>
  </si>
  <si>
    <t>Athletic training : principles and practice / [edited by] Thomas D. Fahey.</t>
  </si>
  <si>
    <t>Palo Alto, Calif. : Mayfield Publishing Co., 1986.</t>
  </si>
  <si>
    <t>2002-04-08</t>
  </si>
  <si>
    <t>1990-04-04</t>
  </si>
  <si>
    <t>5759926:eng</t>
  </si>
  <si>
    <t>12985741</t>
  </si>
  <si>
    <t>991000765219702656</t>
  </si>
  <si>
    <t>2264636280002656</t>
  </si>
  <si>
    <t>9780874845822</t>
  </si>
  <si>
    <t>32285000110071</t>
  </si>
  <si>
    <t>893261600</t>
  </si>
  <si>
    <t>RC1210 .C34 1982</t>
  </si>
  <si>
    <t>0                      RC 1210000C  34          1982</t>
  </si>
  <si>
    <t>Sports medicine in primary care / Robert C. Cantu ; with contributions by Roseanna Hemenway Means ... [et al.].</t>
  </si>
  <si>
    <t>Cantu, Robert C.</t>
  </si>
  <si>
    <t>Lexington, Mass. : Collamore Press, D.C. Heath and Co., c1982.</t>
  </si>
  <si>
    <t>1990-03-29</t>
  </si>
  <si>
    <t>398397:eng</t>
  </si>
  <si>
    <t>8111738</t>
  </si>
  <si>
    <t>991005204499702656</t>
  </si>
  <si>
    <t>2257046240002656</t>
  </si>
  <si>
    <t>9780669045932</t>
  </si>
  <si>
    <t>32285000106541</t>
  </si>
  <si>
    <t>893688771</t>
  </si>
  <si>
    <t>RC1210 .C87 1990</t>
  </si>
  <si>
    <t>0                      RC 1210000C  87          1990</t>
  </si>
  <si>
    <t>Current therapy in sports medicine--2 / Joseph S. Torg, R. Peter Welsh, Roy J. Shephard.</t>
  </si>
  <si>
    <t>Toronto ; Philadelphia : B.C. Decker ; Saint Louis, Mo. : Sales and distribution, United States and Puerto Rico, C.V. Mosby Co., c1990.</t>
  </si>
  <si>
    <t>[2nd ed.]</t>
  </si>
  <si>
    <t>onc</t>
  </si>
  <si>
    <t>Current therapy series</t>
  </si>
  <si>
    <t>2004-03-16</t>
  </si>
  <si>
    <t>1991-01-17</t>
  </si>
  <si>
    <t>1360860108:eng</t>
  </si>
  <si>
    <t>20463225</t>
  </si>
  <si>
    <t>991001579629702656</t>
  </si>
  <si>
    <t>2272771710002656</t>
  </si>
  <si>
    <t>9781556640094</t>
  </si>
  <si>
    <t>32285000408921</t>
  </si>
  <si>
    <t>893709365</t>
  </si>
  <si>
    <t>RC1210 .E33 1988</t>
  </si>
  <si>
    <t>0                      RC 1210000E  33          1988</t>
  </si>
  <si>
    <t>Sports medicine / Edward Edelson ; introd. by C. Everett Koop.</t>
  </si>
  <si>
    <t>Edelson, Edward, 1932-</t>
  </si>
  <si>
    <t>New York : Chelsea House Publishers, c1988.</t>
  </si>
  <si>
    <t>The Encyclopedia of health</t>
  </si>
  <si>
    <t>1994-10-30</t>
  </si>
  <si>
    <t>9922073:eng</t>
  </si>
  <si>
    <t>17441611</t>
  </si>
  <si>
    <t>991001219669702656</t>
  </si>
  <si>
    <t>2260610970002656</t>
  </si>
  <si>
    <t>9780791000304</t>
  </si>
  <si>
    <t>32285001608313</t>
  </si>
  <si>
    <t>893420177</t>
  </si>
  <si>
    <t>RC1210 .E94 1983</t>
  </si>
  <si>
    <t>0                      RC 1210000E  94          1983</t>
  </si>
  <si>
    <t>Exercise medicine : physiological principles and clinical applications / edited by Alfred A. Bove, David T. Lowenthal.</t>
  </si>
  <si>
    <t>New York : Academic Press, 1983.</t>
  </si>
  <si>
    <t>2003-09-18</t>
  </si>
  <si>
    <t>836722268:eng</t>
  </si>
  <si>
    <t>9442440</t>
  </si>
  <si>
    <t>991000198149702656</t>
  </si>
  <si>
    <t>2263538000002656</t>
  </si>
  <si>
    <t>9780121197209</t>
  </si>
  <si>
    <t>32285001608321</t>
  </si>
  <si>
    <t>893865186</t>
  </si>
  <si>
    <t>RC1210 .G37 2000</t>
  </si>
  <si>
    <t>0                      RC 1210000G  37          2000</t>
  </si>
  <si>
    <t>Anybody's sports medicine book : the complete guide to quick recovery from injuries / James G. Garrick, Peter Radetsky.</t>
  </si>
  <si>
    <t>Garrick, James G.</t>
  </si>
  <si>
    <t>Berkeley : Ten Speed Press, c2000.</t>
  </si>
  <si>
    <t>2003-05-29</t>
  </si>
  <si>
    <t>2000-09-13</t>
  </si>
  <si>
    <t>14515904:eng</t>
  </si>
  <si>
    <t>44441519</t>
  </si>
  <si>
    <t>991003267219702656</t>
  </si>
  <si>
    <t>2270397860002656</t>
  </si>
  <si>
    <t>9781580081443</t>
  </si>
  <si>
    <t>32285003761664</t>
  </si>
  <si>
    <t>893899793</t>
  </si>
  <si>
    <t>RC1210 .H3 1984</t>
  </si>
  <si>
    <t>0                      RC 1210000H  3           1984</t>
  </si>
  <si>
    <t>Sports medicine : a guide for youth sports / edited by Jerald D. Hawkins.</t>
  </si>
  <si>
    <t>Hawkins, Jerald Dale.</t>
  </si>
  <si>
    <t>Greensboro, N.C. : Sport Studies Foundation, c1984.</t>
  </si>
  <si>
    <t>ncu</t>
  </si>
  <si>
    <t>1993-10-14</t>
  </si>
  <si>
    <t>3855253235:eng</t>
  </si>
  <si>
    <t>11345226</t>
  </si>
  <si>
    <t>991000451339702656</t>
  </si>
  <si>
    <t>2257144980002656</t>
  </si>
  <si>
    <t>32285001608339</t>
  </si>
  <si>
    <t>893595554</t>
  </si>
  <si>
    <t>RC1210 .H38</t>
  </si>
  <si>
    <t>0                      RC 1210000H  38</t>
  </si>
  <si>
    <t>Health maintenance through physical conditioning / edited by Robert C. Cantu.</t>
  </si>
  <si>
    <t>Littleton, Mass. : PSG Pub. Co., c1981.</t>
  </si>
  <si>
    <t>1994-09-16</t>
  </si>
  <si>
    <t>1992-03-26</t>
  </si>
  <si>
    <t>21953743:eng</t>
  </si>
  <si>
    <t>6356312</t>
  </si>
  <si>
    <t>991004969389702656</t>
  </si>
  <si>
    <t>2257091370002656</t>
  </si>
  <si>
    <t>9780884163121</t>
  </si>
  <si>
    <t>32285001045052</t>
  </si>
  <si>
    <t>893789279</t>
  </si>
  <si>
    <t>RC1210 .H68 1983</t>
  </si>
  <si>
    <t>0                      RC 1210000H  68          1983</t>
  </si>
  <si>
    <t>Handbook of athletic training / Phillip Hossler.</t>
  </si>
  <si>
    <t>Hossler, Phillip.</t>
  </si>
  <si>
    <t>Ithaca, N.Y. : Mouvement Publications, 1983.</t>
  </si>
  <si>
    <t>1st ed.</t>
  </si>
  <si>
    <t>1999-03-30</t>
  </si>
  <si>
    <t>3050077:eng</t>
  </si>
  <si>
    <t>10566075</t>
  </si>
  <si>
    <t>991000394899702656</t>
  </si>
  <si>
    <t>2268323800002656</t>
  </si>
  <si>
    <t>9780932392169</t>
  </si>
  <si>
    <t>32285001608347</t>
  </si>
  <si>
    <t>893255387</t>
  </si>
  <si>
    <t>RC1210 .M32 1992</t>
  </si>
  <si>
    <t>0                      RC 1210000M  32          1992</t>
  </si>
  <si>
    <t>Medicine in sports training and coaching / volume editors, J. Karvonen, P.W.R. Lemon, I. Iliev.</t>
  </si>
  <si>
    <t>Basel ; New York : Karger, c1992.</t>
  </si>
  <si>
    <t xml:space="preserve">sz </t>
  </si>
  <si>
    <t>Medicine and sport science ; v. 35</t>
  </si>
  <si>
    <t>353982151:eng</t>
  </si>
  <si>
    <t>25631378</t>
  </si>
  <si>
    <t>991002015399702656</t>
  </si>
  <si>
    <t>2266516040002656</t>
  </si>
  <si>
    <t>9783805555173</t>
  </si>
  <si>
    <t>32285001498236</t>
  </si>
  <si>
    <t>893773121</t>
  </si>
  <si>
    <t>RC1210 .M6 1984</t>
  </si>
  <si>
    <t>0                      RC 1210000M  6           1984</t>
  </si>
  <si>
    <t>Sports medicine : prevention of athletic injuries / Alfred F. Morris.</t>
  </si>
  <si>
    <t>Morris, Alfred F.</t>
  </si>
  <si>
    <t>Dubuque, Iowa : Wm. C. Brown, c1984.</t>
  </si>
  <si>
    <t>iau</t>
  </si>
  <si>
    <t>1997-10-30</t>
  </si>
  <si>
    <t>3855257236:eng</t>
  </si>
  <si>
    <t>10358992</t>
  </si>
  <si>
    <t>991000360419702656</t>
  </si>
  <si>
    <t>2261233910002656</t>
  </si>
  <si>
    <t>9780697000873</t>
  </si>
  <si>
    <t>32285001608354</t>
  </si>
  <si>
    <t>893607843</t>
  </si>
  <si>
    <t>RC1210 .O96 1994</t>
  </si>
  <si>
    <t>0                      RC 1210000O  96          1994</t>
  </si>
  <si>
    <t>Oxford textbook of sports medicine / edited by Mark Harries ... [et al.].</t>
  </si>
  <si>
    <t>New York : Oxford University Press, 1994.</t>
  </si>
  <si>
    <t>Oxford medical publications</t>
  </si>
  <si>
    <t>1996-03-04</t>
  </si>
  <si>
    <t>55752146:eng</t>
  </si>
  <si>
    <t>28968069</t>
  </si>
  <si>
    <t>991002247259702656</t>
  </si>
  <si>
    <t>2256319330002656</t>
  </si>
  <si>
    <t>9780192620095</t>
  </si>
  <si>
    <t>32285002139912</t>
  </si>
  <si>
    <t>893439936</t>
  </si>
  <si>
    <t>RC1210 .P37 1984</t>
  </si>
  <si>
    <t>0                      RC 1210000P  37          1984</t>
  </si>
  <si>
    <t>Pediatric and adolescent sports medicine / edited by Lyle J. Micheli.</t>
  </si>
  <si>
    <t>Boston : Little, Brown, c1984.</t>
  </si>
  <si>
    <t>Little, Brown series in clinical pediatrics</t>
  </si>
  <si>
    <t>2003-12-04</t>
  </si>
  <si>
    <t>54624568:eng</t>
  </si>
  <si>
    <t>10398413</t>
  </si>
  <si>
    <t>991001771839702656</t>
  </si>
  <si>
    <t>2258206560002656</t>
  </si>
  <si>
    <t>9780316569491</t>
  </si>
  <si>
    <t>32285001608362</t>
  </si>
  <si>
    <t>893522827</t>
  </si>
  <si>
    <t>RC1210 .P441 1995</t>
  </si>
  <si>
    <t>0                      RC 1210000P  441         1995</t>
  </si>
  <si>
    <t>Concepts of athletic training / Ronald P. Pfeiffer, Brent C. Mangus.</t>
  </si>
  <si>
    <t>Pfeiffer, Ronald P.</t>
  </si>
  <si>
    <t>Boston : Jones and Bartlett, 1995.</t>
  </si>
  <si>
    <t>2000-09-20</t>
  </si>
  <si>
    <t>1995-04-26</t>
  </si>
  <si>
    <t>12507872:eng</t>
  </si>
  <si>
    <t>31900188</t>
  </si>
  <si>
    <t>991002445349702656</t>
  </si>
  <si>
    <t>2264736650002656</t>
  </si>
  <si>
    <t>32285002036126</t>
  </si>
  <si>
    <t>893591353</t>
  </si>
  <si>
    <t>RC1210 .P726 2002</t>
  </si>
  <si>
    <t>0                      RC 1210000P  726         2002</t>
  </si>
  <si>
    <t>Arnheim's principles of athletic training : a competency-based approach / William E. Prentice.</t>
  </si>
  <si>
    <t>Prentice, William E.</t>
  </si>
  <si>
    <t>Dubuque, IA : McGraw-Hill, 2002.</t>
  </si>
  <si>
    <t>11th ed.</t>
  </si>
  <si>
    <t>2009-06-05</t>
  </si>
  <si>
    <t>2003-03-26</t>
  </si>
  <si>
    <t>2003-12-18</t>
  </si>
  <si>
    <t>915878:eng</t>
  </si>
  <si>
    <t>49352195</t>
  </si>
  <si>
    <t>991001721359702656</t>
  </si>
  <si>
    <t>2272508040002656</t>
  </si>
  <si>
    <t>9780072461756</t>
  </si>
  <si>
    <t>32285004721337</t>
  </si>
  <si>
    <t>893772829</t>
  </si>
  <si>
    <t>RC1210 .P73 1993</t>
  </si>
  <si>
    <t>0                      RC 1210000P  73          1993</t>
  </si>
  <si>
    <t>Primary care sports medicine / Douglas B. McKeag, David O. Hough with Eric D. Zemper.</t>
  </si>
  <si>
    <t>Dubuque, IA : Brown &amp; Benchmark, c1993.</t>
  </si>
  <si>
    <t>1998-03-24</t>
  </si>
  <si>
    <t>3857384588:eng</t>
  </si>
  <si>
    <t>28651470</t>
  </si>
  <si>
    <t>991002224279702656</t>
  </si>
  <si>
    <t>2268583690002656</t>
  </si>
  <si>
    <t>9780697148414</t>
  </si>
  <si>
    <t>32285002036134</t>
  </si>
  <si>
    <t>893627016</t>
  </si>
  <si>
    <t>RC1210 .R36 2001</t>
  </si>
  <si>
    <t>0                      RC 1210000R  36          2001</t>
  </si>
  <si>
    <t>Athletic training management : concepts and applications / James M. Rankin, Christopher D. Ingersoll.</t>
  </si>
  <si>
    <t>Rankin, James Michael.</t>
  </si>
  <si>
    <t>Boston : McGraw-Hill, c2001.</t>
  </si>
  <si>
    <t>2nd ed.</t>
  </si>
  <si>
    <t>2008-04-27</t>
  </si>
  <si>
    <t>2002-06-04</t>
  </si>
  <si>
    <t>3192519:eng</t>
  </si>
  <si>
    <t>43729005</t>
  </si>
  <si>
    <t>991003780909702656</t>
  </si>
  <si>
    <t>2267718620002656</t>
  </si>
  <si>
    <t>9780070921436</t>
  </si>
  <si>
    <t>32285004490610</t>
  </si>
  <si>
    <t>893349135</t>
  </si>
  <si>
    <t>RC1210 .R43 1992</t>
  </si>
  <si>
    <t>0                      RC 1210000R  43          1992</t>
  </si>
  <si>
    <t>Sports injury assessment and rehabilitation / David C. Reid.</t>
  </si>
  <si>
    <t>Reid, David C.</t>
  </si>
  <si>
    <t>New York : Churchill Livingstone, 1992.</t>
  </si>
  <si>
    <t>1995-03-28</t>
  </si>
  <si>
    <t>2653747:eng</t>
  </si>
  <si>
    <t>24429778</t>
  </si>
  <si>
    <t>991001933779702656</t>
  </si>
  <si>
    <t>2258451750002656</t>
  </si>
  <si>
    <t>9780443086625</t>
  </si>
  <si>
    <t>32285002004751</t>
  </si>
  <si>
    <t>893715851</t>
  </si>
  <si>
    <t>RC1210 .R44</t>
  </si>
  <si>
    <t>0                      RC 1210000R  44</t>
  </si>
  <si>
    <t>Relevant topics in athletic training / edited by Kent Scriber, Edmund J. Burke ; art work by Tom Stearns.</t>
  </si>
  <si>
    <t>Ithaca, N.Y. : Mouvement Publications, c1978.</t>
  </si>
  <si>
    <t>2001-09-18</t>
  </si>
  <si>
    <t>375387265:eng</t>
  </si>
  <si>
    <t>4405209</t>
  </si>
  <si>
    <t>991004635269702656</t>
  </si>
  <si>
    <t>2259010150002656</t>
  </si>
  <si>
    <t>9780932392022</t>
  </si>
  <si>
    <t>32285001608370</t>
  </si>
  <si>
    <t>893700461</t>
  </si>
  <si>
    <t>RC1210 .R53</t>
  </si>
  <si>
    <t>0                      RC 1210000R  53</t>
  </si>
  <si>
    <t>Surface anatomy for coaches and athletic trainers / by Hubert F. Riegler and Alan P. Peppard ; photography by Ferenc GyRoka.</t>
  </si>
  <si>
    <t>Riegler, Hubert F.</t>
  </si>
  <si>
    <t>Springfield, Ill. : Thomas, c1979.</t>
  </si>
  <si>
    <t>1998-12-08</t>
  </si>
  <si>
    <t>1999-02-01</t>
  </si>
  <si>
    <t>14511872:eng</t>
  </si>
  <si>
    <t>4211127</t>
  </si>
  <si>
    <t>991004610229702656</t>
  </si>
  <si>
    <t>2256582840002656</t>
  </si>
  <si>
    <t>9780398038564</t>
  </si>
  <si>
    <t>32285003262812</t>
  </si>
  <si>
    <t>893513454</t>
  </si>
  <si>
    <t>RC1210 .R68 1983</t>
  </si>
  <si>
    <t>0                      RC 1210000R  68          1983</t>
  </si>
  <si>
    <t>Sports medicine : prevention, evaluation, management, and rehabilitation / Steven Roy, Richard Irvin.</t>
  </si>
  <si>
    <t>Roy, Steven.</t>
  </si>
  <si>
    <t>Englewood Cliffs, N.J. : Prentice-Hall, c1983.</t>
  </si>
  <si>
    <t>nju</t>
  </si>
  <si>
    <t>31467688:eng</t>
  </si>
  <si>
    <t>8827476</t>
  </si>
  <si>
    <t>991000080179702656</t>
  </si>
  <si>
    <t>2266517010002656</t>
  </si>
  <si>
    <t>9780138378073</t>
  </si>
  <si>
    <t>32285001608396</t>
  </si>
  <si>
    <t>893589103</t>
  </si>
  <si>
    <t>RC1210 .S68 2002</t>
  </si>
  <si>
    <t>0                      RC 1210000S  68          2002</t>
  </si>
  <si>
    <t>Study guide for the NATA Board of Certification, Inc. entry-level athletic trainer certification examination / Douglas M. Kleiner.</t>
  </si>
  <si>
    <t>Kleiner, Doug.</t>
  </si>
  <si>
    <t>Philadelphia, Pa. : F.A. Davis, 2002.</t>
  </si>
  <si>
    <t>2010-01-11</t>
  </si>
  <si>
    <t>2002-06-05</t>
  </si>
  <si>
    <t>55734654:eng</t>
  </si>
  <si>
    <t>48540711</t>
  </si>
  <si>
    <t>991003781029702656</t>
  </si>
  <si>
    <t>2266894480002656</t>
  </si>
  <si>
    <t>9780803607859</t>
  </si>
  <si>
    <t>32285005556161</t>
  </si>
  <si>
    <t>893531585</t>
  </si>
  <si>
    <t>RC1210 .S686</t>
  </si>
  <si>
    <t>0                      RC 1210000S  686</t>
  </si>
  <si>
    <t>Sports medicine : fitness, training, injuries / edited by Otto Appenzeller and Ruth Atkinson.</t>
  </si>
  <si>
    <t>Baltimore : Urban &amp; Schwarzenberg, 1981.</t>
  </si>
  <si>
    <t>2000-02-21</t>
  </si>
  <si>
    <t>1992-05-18</t>
  </si>
  <si>
    <t>889964939:eng</t>
  </si>
  <si>
    <t>7574387</t>
  </si>
  <si>
    <t>991005133359702656</t>
  </si>
  <si>
    <t>2271004270002656</t>
  </si>
  <si>
    <t>9780806701318</t>
  </si>
  <si>
    <t>32285001111375</t>
  </si>
  <si>
    <t>893783068</t>
  </si>
  <si>
    <t>RC1210 .S686 1988</t>
  </si>
  <si>
    <t>0                      RC 1210000S  686         1988</t>
  </si>
  <si>
    <t>Sports medicine : fitness, training, injuries / edited by Otto Appenzeller.</t>
  </si>
  <si>
    <t>Baltimore : Urban &amp; Schwarzenberg, c1988, 1989 printing.</t>
  </si>
  <si>
    <t>2009-02-02</t>
  </si>
  <si>
    <t>1990-06-18</t>
  </si>
  <si>
    <t>17806126</t>
  </si>
  <si>
    <t>991001266259702656</t>
  </si>
  <si>
    <t>2262822960002656</t>
  </si>
  <si>
    <t>9780806701332</t>
  </si>
  <si>
    <t>32285000177922</t>
  </si>
  <si>
    <t>893885191</t>
  </si>
  <si>
    <t>RC1210 .V36 2000</t>
  </si>
  <si>
    <t>0                      RC 1210000V  36          2000</t>
  </si>
  <si>
    <t>Athletic training student guide to success / Lynn Van Ost, Karen Manfré.</t>
  </si>
  <si>
    <t>Van Ost, Lynn.</t>
  </si>
  <si>
    <t>Thorofare, NJ : Slack, c2000.</t>
  </si>
  <si>
    <t>2003-07-17</t>
  </si>
  <si>
    <t>5575157221:eng</t>
  </si>
  <si>
    <t>43913105</t>
  </si>
  <si>
    <t>991003781059702656</t>
  </si>
  <si>
    <t>2263971120002656</t>
  </si>
  <si>
    <t>9781556423796</t>
  </si>
  <si>
    <t>32285004488259</t>
  </si>
  <si>
    <t>893410701</t>
  </si>
  <si>
    <t>RC1218.C45 A45 1983</t>
  </si>
  <si>
    <t>0                      RC 1218000C  45                 A  45          1983</t>
  </si>
  <si>
    <t>Sports medicine : health care for young athletes / author, Committee on Sports Medicine, American Academy of Pediatrics, editor, Nathan J. Smith.</t>
  </si>
  <si>
    <t>American Academy of Pediatrics. Committee on Sports Medicine.</t>
  </si>
  <si>
    <t>Evanston, Ill. : American Academy of Pediatrics, 1983.</t>
  </si>
  <si>
    <t>2001-03-07</t>
  </si>
  <si>
    <t>1993-03-25</t>
  </si>
  <si>
    <t>428043798:eng</t>
  </si>
  <si>
    <t>10014559</t>
  </si>
  <si>
    <t>991001771929702656</t>
  </si>
  <si>
    <t>2271277520002656</t>
  </si>
  <si>
    <t>9780910761024</t>
  </si>
  <si>
    <t>32285001608677</t>
  </si>
  <si>
    <t>893602879</t>
  </si>
  <si>
    <t>RC1218.C45 C47 1986</t>
  </si>
  <si>
    <t>0                      RC 1218000C  45                 C  47          1986</t>
  </si>
  <si>
    <t>Children and exercise XII / edited by Joseph Rutenfranz, Rolf Mocellin, Ferdinand Klimt.</t>
  </si>
  <si>
    <t>Champaign, IL : Human Kinetics Publishers, c1986.</t>
  </si>
  <si>
    <t>International series on sport sciences, 0160-0559 ; v. 17</t>
  </si>
  <si>
    <t>2009-02-06</t>
  </si>
  <si>
    <t>1992-05-01</t>
  </si>
  <si>
    <t>6847408:eng</t>
  </si>
  <si>
    <t>13703102</t>
  </si>
  <si>
    <t>991000864219702656</t>
  </si>
  <si>
    <t>2261507480002656</t>
  </si>
  <si>
    <t>9780873220620</t>
  </si>
  <si>
    <t>32285001090934</t>
  </si>
  <si>
    <t>893803128</t>
  </si>
  <si>
    <t>RC1218.C45 C475 1984</t>
  </si>
  <si>
    <t>0                      RC 1218000C  45                 C  475         1984</t>
  </si>
  <si>
    <t>Young athletes : biological, psychological, and educational perspectives / editor Robert M. Malina.</t>
  </si>
  <si>
    <t>Child and Sport Conference (1984 : Urbino, Italy)</t>
  </si>
  <si>
    <t>Champaign, IL : Human Kinetics Publishers, c1988.</t>
  </si>
  <si>
    <t>890077989:eng</t>
  </si>
  <si>
    <t>16711308</t>
  </si>
  <si>
    <t>991001135749702656</t>
  </si>
  <si>
    <t>2262471180002656</t>
  </si>
  <si>
    <t>9780873221733</t>
  </si>
  <si>
    <t>32285001608685</t>
  </si>
  <si>
    <t>893590051</t>
  </si>
  <si>
    <t>RC1218.C45 C65 1988</t>
  </si>
  <si>
    <t>0                      RC 1218000C  45                 C  65          1988</t>
  </si>
  <si>
    <t>Competitive sports for children and youth : an overview of research and issues / Eugene W. Brown, Crystal F. Branta, editors.</t>
  </si>
  <si>
    <t>Champaign, Ill. : Human Kinetics Books, c1988.</t>
  </si>
  <si>
    <t>Big Ten body of knowledge symposium series ; v. 16</t>
  </si>
  <si>
    <t>890078593:eng</t>
  </si>
  <si>
    <t>15054726</t>
  </si>
  <si>
    <t>991000983679702656</t>
  </si>
  <si>
    <t>2255675370002656</t>
  </si>
  <si>
    <t>9780873221054</t>
  </si>
  <si>
    <t>32285001608693</t>
  </si>
  <si>
    <t>893589920</t>
  </si>
  <si>
    <t>RC1218.C45 J362 2005</t>
  </si>
  <si>
    <t>0                      RC 1218000C  45                 J  362         2005</t>
  </si>
  <si>
    <t>The power of prevention handbook / David H. Janda.</t>
  </si>
  <si>
    <t>Janda, David.</t>
  </si>
  <si>
    <t>Ypsilanti, MI : Michigan Orthopaedic Center, c2005.</t>
  </si>
  <si>
    <t>2009-09-02</t>
  </si>
  <si>
    <t>1070509538:eng</t>
  </si>
  <si>
    <t>770864368</t>
  </si>
  <si>
    <t>991005334189702656</t>
  </si>
  <si>
    <t>2259892120002656</t>
  </si>
  <si>
    <t>9780974565545</t>
  </si>
  <si>
    <t>32285005541965</t>
  </si>
  <si>
    <t>893501709</t>
  </si>
  <si>
    <t>RC1218.W65 F46 1986</t>
  </si>
  <si>
    <t>0                      RC 1218000W  65                 F  46          1986</t>
  </si>
  <si>
    <t>Female endurance athletes / [edited by] Barbara L. Drinkwater.</t>
  </si>
  <si>
    <t>1999-02-24</t>
  </si>
  <si>
    <t>145151361:eng</t>
  </si>
  <si>
    <t>13063102</t>
  </si>
  <si>
    <t>991000774869702656</t>
  </si>
  <si>
    <t>2257198540002656</t>
  </si>
  <si>
    <t>9780873220439</t>
  </si>
  <si>
    <t>32285001608701</t>
  </si>
  <si>
    <t>893407491</t>
  </si>
  <si>
    <t>RC1218.W65 M46 1986</t>
  </si>
  <si>
    <t>0                      RC 1218000W  65                 M  46          1986</t>
  </si>
  <si>
    <t>The Menstrual cycle and physical activity : proceedings of the seminar held February 24-26, 1984, at the Olympic Training Center, Colorado Springs, Colorado, under sponsorship of the U.S. Olympic Committee Sports Medicine Council in cooperation with Tampax Incorporated / edited by Jacqueline L. Puhl and C. Harmon Brown.</t>
  </si>
  <si>
    <t>Champaign, Ill. : Human Kinetics Publishers, c1986.</t>
  </si>
  <si>
    <t>1997-11-09</t>
  </si>
  <si>
    <t>894364445:eng</t>
  </si>
  <si>
    <t>12664455</t>
  </si>
  <si>
    <t>991000719899702656</t>
  </si>
  <si>
    <t>2264931120002656</t>
  </si>
  <si>
    <t>9780873220262</t>
  </si>
  <si>
    <t>32285001608719</t>
  </si>
  <si>
    <t>893496497</t>
  </si>
  <si>
    <t>RC1218.W65 W66 1985</t>
  </si>
  <si>
    <t>0                      RC 1218000W  65                 W  66          1985</t>
  </si>
  <si>
    <t>Sport science perspectives for women : proceedings from the Women and Sports Conference / sponsored by the United States Olympic Committee Sports Medicine Council, November 30 to December 2, 1985, Colorado Springs, Colorado ; Jacqueline L. Puhl, C. Harmon Brown, Robert O. Voy, editors.</t>
  </si>
  <si>
    <t>Women and Sports Science Conference (1985 : Colorado Springs, Colo.)</t>
  </si>
  <si>
    <t>Champaign, IL : Human Kinetics Books, c1988.</t>
  </si>
  <si>
    <t>1993-02-23</t>
  </si>
  <si>
    <t>503607084:eng</t>
  </si>
  <si>
    <t>15283199</t>
  </si>
  <si>
    <t>991001010899702656</t>
  </si>
  <si>
    <t>2264588390002656</t>
  </si>
  <si>
    <t>9780873221108</t>
  </si>
  <si>
    <t>32285001535433</t>
  </si>
  <si>
    <t>893696386</t>
  </si>
  <si>
    <t>RC1220.B27 V56 1989</t>
  </si>
  <si>
    <t>0                      RC 1220000B  27                 V  56          1989</t>
  </si>
  <si>
    <t>Competing with the sylph : the quest for the perfect dance body / L.M. Vincent.</t>
  </si>
  <si>
    <t>Vincent, Lawrence M.</t>
  </si>
  <si>
    <t>Princeton, N.J. : Princeton Book Co., c1989.</t>
  </si>
  <si>
    <t>2008-04-05</t>
  </si>
  <si>
    <t>1991-11-06</t>
  </si>
  <si>
    <t>3943482397:eng</t>
  </si>
  <si>
    <t>19632256</t>
  </si>
  <si>
    <t>991001485209702656</t>
  </si>
  <si>
    <t>2261703050002656</t>
  </si>
  <si>
    <t>9780916622824</t>
  </si>
  <si>
    <t>32285000796911</t>
  </si>
  <si>
    <t>893684353</t>
  </si>
  <si>
    <t>RC1220.C8 M43 1988</t>
  </si>
  <si>
    <t>0                      RC 1220000C  8                  M  43          1988</t>
  </si>
  <si>
    <t>Medical and scientific aspects of cycling / Edmund R. Burke, Mary M. Newsom, editors.</t>
  </si>
  <si>
    <t>Champaign, IL : Human Kinetics, c1988.</t>
  </si>
  <si>
    <t>1996-02-08</t>
  </si>
  <si>
    <t>1990-03-26</t>
  </si>
  <si>
    <t>11535750:eng</t>
  </si>
  <si>
    <t>15790632</t>
  </si>
  <si>
    <t>991001061589702656</t>
  </si>
  <si>
    <t>2260463740002656</t>
  </si>
  <si>
    <t>9780873221269</t>
  </si>
  <si>
    <t>32285000083807</t>
  </si>
  <si>
    <t>893346212</t>
  </si>
  <si>
    <t>RC1220.D35 C48 1990</t>
  </si>
  <si>
    <t>0                      RC 1220000D  35                 C  48          1990</t>
  </si>
  <si>
    <t>Diet : a complete guide to nutrition and weight control : dancing-at-your-peak / Robin D. Chmelar, Sally S. Fitt.</t>
  </si>
  <si>
    <t>Chmelar, Robin D.</t>
  </si>
  <si>
    <t>Pennington, NJ : Princeton Book Co., c1990.</t>
  </si>
  <si>
    <t>2005-11-07</t>
  </si>
  <si>
    <t>1991-06-20</t>
  </si>
  <si>
    <t>933705:eng</t>
  </si>
  <si>
    <t>20932723</t>
  </si>
  <si>
    <t>991001633139702656</t>
  </si>
  <si>
    <t>2265700200002656</t>
  </si>
  <si>
    <t>9780916622893</t>
  </si>
  <si>
    <t>32285000657790</t>
  </si>
  <si>
    <t>893420444</t>
  </si>
  <si>
    <t>RC1220.D35 H68 2000</t>
  </si>
  <si>
    <t>0                      RC 1220000D  35                 H  68          2000</t>
  </si>
  <si>
    <t>Dance technique &amp; injury prevention / Justin Howse.</t>
  </si>
  <si>
    <t>Howse, Justin.</t>
  </si>
  <si>
    <t>New York : Routledge, 2000.</t>
  </si>
  <si>
    <t>2003-10-06</t>
  </si>
  <si>
    <t>930087:eng</t>
  </si>
  <si>
    <t>45177817</t>
  </si>
  <si>
    <t>991004136159702656</t>
  </si>
  <si>
    <t>2270612710002656</t>
  </si>
  <si>
    <t>9780878301041</t>
  </si>
  <si>
    <t>32285004786595</t>
  </si>
  <si>
    <t>893882101</t>
  </si>
  <si>
    <t>RC1220.M35 P47 1987</t>
  </si>
  <si>
    <t>0                      RC 1220000M  35                 P  47          1987</t>
  </si>
  <si>
    <t>Performance in endurance events : energy balance, nutrition, and temperature regulation in distance running / François Péronnet ... [et al.].</t>
  </si>
  <si>
    <t>London, Ont. : Spodym Publishers, c1987.</t>
  </si>
  <si>
    <t>2001-05-16</t>
  </si>
  <si>
    <t>15936859:eng</t>
  </si>
  <si>
    <t>17231830</t>
  </si>
  <si>
    <t>991001188059702656</t>
  </si>
  <si>
    <t>2271433560002656</t>
  </si>
  <si>
    <t>9780969161998</t>
  </si>
  <si>
    <t>32285001608750</t>
  </si>
  <si>
    <t>893420149</t>
  </si>
  <si>
    <t>RC1220.R8 A43</t>
  </si>
  <si>
    <t>0                      RC 1220000R  8                  A  43</t>
  </si>
  <si>
    <t>Running healthy : a guide to cardiovascular fitness / by Sidney Alexander ; drawings by Francis E. Steckel.</t>
  </si>
  <si>
    <t>Alexander, Sidney, 1931-</t>
  </si>
  <si>
    <t>Brattleboro, Vt. : Stephen Greene Press, c1980.</t>
  </si>
  <si>
    <t>vtu</t>
  </si>
  <si>
    <t>1996-09-11</t>
  </si>
  <si>
    <t>894519428:eng</t>
  </si>
  <si>
    <t>6142922</t>
  </si>
  <si>
    <t>991004935809702656</t>
  </si>
  <si>
    <t>2261492120002656</t>
  </si>
  <si>
    <t>9780828903875</t>
  </si>
  <si>
    <t>32285000191675</t>
  </si>
  <si>
    <t>893319795</t>
  </si>
  <si>
    <t>RC1220.R8 C67 1986</t>
  </si>
  <si>
    <t>0                      RC 1220000R  8                  C  67          1986</t>
  </si>
  <si>
    <t>Inside running : basics of sports physiology / David L. Costill.</t>
  </si>
  <si>
    <t>Costill, David L.</t>
  </si>
  <si>
    <t>Indianapolis, Indiana : Benchmark Press, 1986.</t>
  </si>
  <si>
    <t>inu</t>
  </si>
  <si>
    <t>1999-10-03</t>
  </si>
  <si>
    <t>6763012:eng</t>
  </si>
  <si>
    <t>13800124</t>
  </si>
  <si>
    <t>991000876099702656</t>
  </si>
  <si>
    <t>2269165170002656</t>
  </si>
  <si>
    <t>32285001608768</t>
  </si>
  <si>
    <t>893327663</t>
  </si>
  <si>
    <t>RC1220.R8 S9</t>
  </si>
  <si>
    <t>0                      RC 1220000R  8                  S  9</t>
  </si>
  <si>
    <t>Cures for common running injuries / by Steven I. Subotnick ; ill. by Stanley G. Newell.</t>
  </si>
  <si>
    <t>Subotnick, Steven I.</t>
  </si>
  <si>
    <t>Mountain View, Calif. : World Publications, c1979, 1981 printing.</t>
  </si>
  <si>
    <t>2004-09-17</t>
  </si>
  <si>
    <t>398064:eng</t>
  </si>
  <si>
    <t>4834644</t>
  </si>
  <si>
    <t>991004730819702656</t>
  </si>
  <si>
    <t>2267766080002656</t>
  </si>
  <si>
    <t>9780890371558</t>
  </si>
  <si>
    <t>32285001608776</t>
  </si>
  <si>
    <t>893235862</t>
  </si>
  <si>
    <t>RC1220.S57 S5 1995</t>
  </si>
  <si>
    <t>0                      RC 1220000S  57                 S  5           1995</t>
  </si>
  <si>
    <t>Soccer / Adil E. Shamoo, William H. Baugher, Robert M. Germeroth.</t>
  </si>
  <si>
    <t>Shamoo, Adil E.</t>
  </si>
  <si>
    <t>Luxembourg, Lux. : Harwood Academic Publishers, c1995.</t>
  </si>
  <si>
    <t xml:space="preserve">lu </t>
  </si>
  <si>
    <t>Sports medicine for coaches and athletes ; v. 1</t>
  </si>
  <si>
    <t>2003-05-21</t>
  </si>
  <si>
    <t>1996-05-09</t>
  </si>
  <si>
    <t>10568035285:eng</t>
  </si>
  <si>
    <t>33377384</t>
  </si>
  <si>
    <t>991002568579702656</t>
  </si>
  <si>
    <t>2264135990002656</t>
  </si>
  <si>
    <t>9783718606009</t>
  </si>
  <si>
    <t>32285002166196</t>
  </si>
  <si>
    <t>893421533</t>
  </si>
  <si>
    <t>RC1220.S8 C67 1992</t>
  </si>
  <si>
    <t>0                      RC 1220000S  8                  C  67          1992</t>
  </si>
  <si>
    <t>Swimming / David L. Costill, Ernest W. Maglischo, Allen B. Richardson.</t>
  </si>
  <si>
    <t>Boston : Blackwell Scientific Publications ; Champaign, Ill. : Human Kinetics [distributor], 1992.</t>
  </si>
  <si>
    <t>Handbook of sports medicine and science</t>
  </si>
  <si>
    <t>1997-11-16</t>
  </si>
  <si>
    <t>1992-09-22</t>
  </si>
  <si>
    <t>25010307:eng</t>
  </si>
  <si>
    <t>24011293</t>
  </si>
  <si>
    <t>991001901879702656</t>
  </si>
  <si>
    <t>2262759080002656</t>
  </si>
  <si>
    <t>9780632030279</t>
  </si>
  <si>
    <t>32285001288041</t>
  </si>
  <si>
    <t>893516653</t>
  </si>
  <si>
    <t>RC1220.S8 I6 1982</t>
  </si>
  <si>
    <t>0                      RC 1220000S  8                  I  6           1982</t>
  </si>
  <si>
    <t>Biomechanics and medicine in swimming : proceedings of the Fourth International Symposium of Biomechanics in Swimming and the Fifth International Congress on Swimming Medicine / scientific editors: A. Peter Hollander, Peter A. Huijing, Gert de Groot.</t>
  </si>
  <si>
    <t>International Congress of Biomechanics and Medicine in Swimming (1st : 1982 June 21-25 : Amsterdam, Netherlands)</t>
  </si>
  <si>
    <t>Champaign, Ill. : Human Kinetics Publishers, c1983.</t>
  </si>
  <si>
    <t>International series on sport sciences ; v. 14</t>
  </si>
  <si>
    <t>1992-02-12</t>
  </si>
  <si>
    <t>475150538:eng</t>
  </si>
  <si>
    <t>10319535</t>
  </si>
  <si>
    <t>991000352519702656</t>
  </si>
  <si>
    <t>2271211230002656</t>
  </si>
  <si>
    <t>9780931250507</t>
  </si>
  <si>
    <t>32285000957463</t>
  </si>
  <si>
    <t>893607836</t>
  </si>
  <si>
    <t>RC1220.S8 S6</t>
  </si>
  <si>
    <t>0                      RC 1220000S  8                  S  6</t>
  </si>
  <si>
    <t>Sports medicine meets synchronized swimming / National Association for Girls &amp; Women in Sport.</t>
  </si>
  <si>
    <t>Reston, Va. : American Alliance for Health, Physical Education, Recreation and Dance, c1980.</t>
  </si>
  <si>
    <t>vau</t>
  </si>
  <si>
    <t>AAHPERD publications</t>
  </si>
  <si>
    <t>2005-10-05</t>
  </si>
  <si>
    <t>4040121:eng</t>
  </si>
  <si>
    <t>11523928</t>
  </si>
  <si>
    <t>991005065299702656</t>
  </si>
  <si>
    <t>2271091490002656</t>
  </si>
  <si>
    <t>32285001608784</t>
  </si>
  <si>
    <t>893526832</t>
  </si>
  <si>
    <t>RC1220.T7 E3 1985</t>
  </si>
  <si>
    <t>0                      RC 1220000T  7                  E  3           1985</t>
  </si>
  <si>
    <t>Basic track &amp; field biomechanics / Tom Ecker.</t>
  </si>
  <si>
    <t>Ecker, Tom.</t>
  </si>
  <si>
    <t>Los Altos, Calif. : Tafnews, 1985.</t>
  </si>
  <si>
    <t>1985</t>
  </si>
  <si>
    <t>1997-11-17</t>
  </si>
  <si>
    <t>740064:eng</t>
  </si>
  <si>
    <t>12437064</t>
  </si>
  <si>
    <t>991000689279702656</t>
  </si>
  <si>
    <t>2258691690002656</t>
  </si>
  <si>
    <t>9780911521160</t>
  </si>
  <si>
    <t>32285000957455</t>
  </si>
  <si>
    <t>893890936</t>
  </si>
  <si>
    <t>RC1225 .O43 1999</t>
  </si>
  <si>
    <t>0                      RC 1225000O  43          1999</t>
  </si>
  <si>
    <t>Pre-exercise health screening guide / Tim Olds and Kevin Norton.</t>
  </si>
  <si>
    <t>Olds, Tim.</t>
  </si>
  <si>
    <t>Champaign, IL : Human Kinetics, 1999.</t>
  </si>
  <si>
    <t>2001-01-30</t>
  </si>
  <si>
    <t>26012258:eng</t>
  </si>
  <si>
    <t>41026535</t>
  </si>
  <si>
    <t>991003353239702656</t>
  </si>
  <si>
    <t>2257840490002656</t>
  </si>
  <si>
    <t>9780736002103</t>
  </si>
  <si>
    <t>32285004292636</t>
  </si>
  <si>
    <t>893246280</t>
  </si>
  <si>
    <t>RC1230 .A522 2000</t>
  </si>
  <si>
    <t>0                      RC 1230000A  522         2000</t>
  </si>
  <si>
    <t>Anabolic steroids in sport and exercise / Charles E. Yesalis, editor.</t>
  </si>
  <si>
    <t>Champaign, IL : Human Kinetics, c2000.</t>
  </si>
  <si>
    <t>2010-09-21</t>
  </si>
  <si>
    <t>2002-01-29</t>
  </si>
  <si>
    <t>138716583:eng</t>
  </si>
  <si>
    <t>41885904</t>
  </si>
  <si>
    <t>991003692659702656</t>
  </si>
  <si>
    <t>2264573260002656</t>
  </si>
  <si>
    <t>9780880117869</t>
  </si>
  <si>
    <t>32285004451091</t>
  </si>
  <si>
    <t>893416677</t>
  </si>
  <si>
    <t>RC1230 .D76 2001</t>
  </si>
  <si>
    <t>0                      RC 1230000D  76          2001</t>
  </si>
  <si>
    <t>Doping in elite sport : the politics of drugs in the Olympic movement / Wayne Wilson and Edward Derse, editors.</t>
  </si>
  <si>
    <t>Champaign, IL : Human Kinetics, c2001.</t>
  </si>
  <si>
    <t>2007-11-07</t>
  </si>
  <si>
    <t>2001-09-27</t>
  </si>
  <si>
    <t>837006213:eng</t>
  </si>
  <si>
    <t>44089413</t>
  </si>
  <si>
    <t>991003625049702656</t>
  </si>
  <si>
    <t>2262974290002656</t>
  </si>
  <si>
    <t>9780736003292</t>
  </si>
  <si>
    <t>32285004393756</t>
  </si>
  <si>
    <t>893774963</t>
  </si>
  <si>
    <t>RC1230 .D78 1988</t>
  </si>
  <si>
    <t>0                      RC 1230000D  78          1988</t>
  </si>
  <si>
    <t>Drugs in sport / edited by D.R. Mottram.</t>
  </si>
  <si>
    <t>2008-11-11</t>
  </si>
  <si>
    <t>766935180:eng</t>
  </si>
  <si>
    <t>21228609</t>
  </si>
  <si>
    <t>991001447369702656</t>
  </si>
  <si>
    <t>2258227010002656</t>
  </si>
  <si>
    <t>9780873222228</t>
  </si>
  <si>
    <t>32285001380954</t>
  </si>
  <si>
    <t>893703043</t>
  </si>
  <si>
    <t>RC1230 .D784 1988</t>
  </si>
  <si>
    <t>0                      RC 1230000D  784         1988</t>
  </si>
  <si>
    <t>Drugs, athletes, and physical performance / edited by John A. Thomas.</t>
  </si>
  <si>
    <t>New York : Plenum Medical Book Co., c1988.</t>
  </si>
  <si>
    <t>2006-10-03</t>
  </si>
  <si>
    <t>1991-11-21</t>
  </si>
  <si>
    <t>17312380:eng</t>
  </si>
  <si>
    <t>18259805</t>
  </si>
  <si>
    <t>991001324939702656</t>
  </si>
  <si>
    <t>2255307370002656</t>
  </si>
  <si>
    <t>9780306428883</t>
  </si>
  <si>
    <t>32285000843507</t>
  </si>
  <si>
    <t>893509552</t>
  </si>
  <si>
    <t>RC1230 .G65 1984</t>
  </si>
  <si>
    <t>0                      RC 1230000G  65          1984</t>
  </si>
  <si>
    <t>Death in the locker room : steroids &amp; sports / Bob Goldman ; with Patricia Bush, Ronald Klatz.</t>
  </si>
  <si>
    <t>Goldman, Bob, 1955-</t>
  </si>
  <si>
    <t>South Bend, Ind. : Icarus Press, 1984.</t>
  </si>
  <si>
    <t>1992-04-26</t>
  </si>
  <si>
    <t>836661472:eng</t>
  </si>
  <si>
    <t>10711732</t>
  </si>
  <si>
    <t>991000412209702656</t>
  </si>
  <si>
    <t>2260288040002656</t>
  </si>
  <si>
    <t>9780896511552</t>
  </si>
  <si>
    <t>32285001087195</t>
  </si>
  <si>
    <t>893890644</t>
  </si>
  <si>
    <t>RC1230 .K845 2000</t>
  </si>
  <si>
    <t>0                      RC 1230000K  845         2000</t>
  </si>
  <si>
    <t>Pumped : straight facts for athletes about drugs, supplements, and training / Cynthia Kuhn, Scott Swartzwelder, and Wilkie Wilson.</t>
  </si>
  <si>
    <t>Kuhn, Cynthia.</t>
  </si>
  <si>
    <t>New York : W.W. Norton &amp; Co., c2000.</t>
  </si>
  <si>
    <t>2009-04-06</t>
  </si>
  <si>
    <t>2000-11-13</t>
  </si>
  <si>
    <t>4160963519:eng</t>
  </si>
  <si>
    <t>43913127</t>
  </si>
  <si>
    <t>991003331739702656</t>
  </si>
  <si>
    <t>2263972210002656</t>
  </si>
  <si>
    <t>9780393321296</t>
  </si>
  <si>
    <t>32285004265384</t>
  </si>
  <si>
    <t>893717551</t>
  </si>
  <si>
    <t>RC1230 .L54 2006</t>
  </si>
  <si>
    <t>0                      RC 1230000L  54          2006</t>
  </si>
  <si>
    <t>Muscles, speed &amp; lies : what the sport supplement industry does not want athletes or consumers to know / David Lightsey.</t>
  </si>
  <si>
    <t>Lightsey, David.</t>
  </si>
  <si>
    <t>Guilford, Conn. : Lyons Press, c2006.</t>
  </si>
  <si>
    <t>ctu</t>
  </si>
  <si>
    <t>2010-08-04</t>
  </si>
  <si>
    <t>2007-12-18</t>
  </si>
  <si>
    <t>307132548:eng</t>
  </si>
  <si>
    <t>70114642</t>
  </si>
  <si>
    <t>991005132689702656</t>
  </si>
  <si>
    <t>2269566600002656</t>
  </si>
  <si>
    <t>9781592289127</t>
  </si>
  <si>
    <t>32285005373757</t>
  </si>
  <si>
    <t>893801783</t>
  </si>
  <si>
    <t>RC1230 .M645 2010</t>
  </si>
  <si>
    <t>0                      RC 1230000M  645         2010</t>
  </si>
  <si>
    <t>The ethics of doping and anti-doping : redeeming the soul of sport? / Verner Møller.</t>
  </si>
  <si>
    <t>Møller, Verner.</t>
  </si>
  <si>
    <t>London ; New York : Routledge, 2010.</t>
  </si>
  <si>
    <t>Ethics and sport</t>
  </si>
  <si>
    <t>2010-05-25</t>
  </si>
  <si>
    <t>796432394:eng</t>
  </si>
  <si>
    <t>237880850</t>
  </si>
  <si>
    <t>991005395059702656</t>
  </si>
  <si>
    <t>2260942700002656</t>
  </si>
  <si>
    <t>9780415484657</t>
  </si>
  <si>
    <t>32285005585889</t>
  </si>
  <si>
    <t>893613638</t>
  </si>
  <si>
    <t>RC1230 .U544 2001</t>
  </si>
  <si>
    <t>0                      RC 1230000U  544         2001</t>
  </si>
  <si>
    <t>Faust's gold : inside the East German doping machine / Steven Ungerleider.</t>
  </si>
  <si>
    <t>Ungerleider, Steven.</t>
  </si>
  <si>
    <t>New York : Thomas Dunne Books/St. Martin's Press, 2001.</t>
  </si>
  <si>
    <t>2002-02-20</t>
  </si>
  <si>
    <t>367095449:eng</t>
  </si>
  <si>
    <t>45917042</t>
  </si>
  <si>
    <t>991003729259702656</t>
  </si>
  <si>
    <t>2270091130002656</t>
  </si>
  <si>
    <t>9780312269777</t>
  </si>
  <si>
    <t>32285004455191</t>
  </si>
  <si>
    <t>893330711</t>
  </si>
  <si>
    <t>RC1230 .V68 1991</t>
  </si>
  <si>
    <t>0                      RC 1230000V  68          1991</t>
  </si>
  <si>
    <t>Drugs, sport, and politics / Robert Voy with Kirk D. Deeter.</t>
  </si>
  <si>
    <t>Voy, Robert O., 1933-</t>
  </si>
  <si>
    <t>Champaign, Ill. : Leisure Press, c1991.</t>
  </si>
  <si>
    <t>1991-04-17</t>
  </si>
  <si>
    <t>23234002:eng</t>
  </si>
  <si>
    <t>21873349</t>
  </si>
  <si>
    <t>991001723939702656</t>
  </si>
  <si>
    <t>2268938330002656</t>
  </si>
  <si>
    <t>9780880114097</t>
  </si>
  <si>
    <t>32285000568120</t>
  </si>
  <si>
    <t>893420537</t>
  </si>
  <si>
    <t>RC1230 .W54</t>
  </si>
  <si>
    <t>0                      RC 1230000W  54</t>
  </si>
  <si>
    <t>Drugs and athletic performance / by Melvin H. Williams.</t>
  </si>
  <si>
    <t>Williams, Melvin H.</t>
  </si>
  <si>
    <t>Springfield, Ill. : Thomas, 1974.</t>
  </si>
  <si>
    <t>1974</t>
  </si>
  <si>
    <t>471503:eng</t>
  </si>
  <si>
    <t>749789</t>
  </si>
  <si>
    <t>991003224759702656</t>
  </si>
  <si>
    <t>2255419880002656</t>
  </si>
  <si>
    <t>9780398030643</t>
  </si>
  <si>
    <t>32285000843499</t>
  </si>
  <si>
    <t>893336263</t>
  </si>
  <si>
    <t>RC1230 .W74 1978</t>
  </si>
  <si>
    <t>0                      RC 1230000W  74          1978</t>
  </si>
  <si>
    <t>Anabolic steroids and sports : a comprehensive, up-to-date summary and discussion of the scientific findings about the controversial drugs widely used to increase muscle size and strength / James E. Wright.</t>
  </si>
  <si>
    <t>V. 1</t>
  </si>
  <si>
    <t>Wright, James Edward, 1946-</t>
  </si>
  <si>
    <t>Natick, Mass. : Sports Science Consultants, 1978-1982.</t>
  </si>
  <si>
    <t>3620797:eng</t>
  </si>
  <si>
    <t>10198483</t>
  </si>
  <si>
    <t>991000330399702656</t>
  </si>
  <si>
    <t>2265417930002656</t>
  </si>
  <si>
    <t>9780960930609</t>
  </si>
  <si>
    <t>32285000843481</t>
  </si>
  <si>
    <t>893231036</t>
  </si>
  <si>
    <t>RC1230 .Y47 1998</t>
  </si>
  <si>
    <t>0                      RC 1230000Y  47          1998</t>
  </si>
  <si>
    <t>The steroids game / Charles E. Yesalis, Virginia S. Cowart.</t>
  </si>
  <si>
    <t>Yesalis, Charles.</t>
  </si>
  <si>
    <t>Champaign, IL : Human Kinetics, c1998.</t>
  </si>
  <si>
    <t>2010-02-06</t>
  </si>
  <si>
    <t>1998-07-20</t>
  </si>
  <si>
    <t>645044:eng</t>
  </si>
  <si>
    <t>37947231</t>
  </si>
  <si>
    <t>991002879369702656</t>
  </si>
  <si>
    <t>2268280720002656</t>
  </si>
  <si>
    <t>9780880114943</t>
  </si>
  <si>
    <t>32285003433231</t>
  </si>
  <si>
    <t>893692116</t>
  </si>
  <si>
    <t>RC1230 W73 1990c</t>
  </si>
  <si>
    <t>0                      RC 1230000W  73          1990c</t>
  </si>
  <si>
    <t>Anabolic steroids : altered states / James E. Wright, Virginia S. Cowart.</t>
  </si>
  <si>
    <t>Carmel, IA : Cooper Publishing Group, c1990.</t>
  </si>
  <si>
    <t>1995-03-19</t>
  </si>
  <si>
    <t>24403366:eng</t>
  </si>
  <si>
    <t>29212092</t>
  </si>
  <si>
    <t>991002254049702656</t>
  </si>
  <si>
    <t>2266648180002656</t>
  </si>
  <si>
    <t>9781884125034</t>
  </si>
  <si>
    <t>32285002002763</t>
  </si>
  <si>
    <t>893898540</t>
  </si>
  <si>
    <t>RC1235 .A335 1995</t>
  </si>
  <si>
    <t>0                      RC 1235000A  335         1995</t>
  </si>
  <si>
    <t>Adaptation in sports training / Atko Viru.</t>
  </si>
  <si>
    <t>Viru, A. A.</t>
  </si>
  <si>
    <t>Boca Raton, Fla. : CRC Press, c1995.</t>
  </si>
  <si>
    <t>2000-02-04</t>
  </si>
  <si>
    <t>1995-11-14</t>
  </si>
  <si>
    <t>32172766:eng</t>
  </si>
  <si>
    <t>30510816</t>
  </si>
  <si>
    <t>991002343009702656</t>
  </si>
  <si>
    <t>2254902880002656</t>
  </si>
  <si>
    <t>9780849301711</t>
  </si>
  <si>
    <t>32285002102621</t>
  </si>
  <si>
    <t>893786022</t>
  </si>
  <si>
    <t>RC1235 .B548 1989, v...</t>
  </si>
  <si>
    <t>0                      RC 1235000B  548         1989                                        v...</t>
  </si>
  <si>
    <t>Biomechanics of sport / editor, Christopher L. Vaughan.</t>
  </si>
  <si>
    <t>Boca Raton, Fla. : CRC Press, c1989-</t>
  </si>
  <si>
    <t>1990-10-26</t>
  </si>
  <si>
    <t>55044427:eng</t>
  </si>
  <si>
    <t>17234151</t>
  </si>
  <si>
    <t>991001188969702656</t>
  </si>
  <si>
    <t>2271839680002656</t>
  </si>
  <si>
    <t>9780849368219</t>
  </si>
  <si>
    <t>32285000312198</t>
  </si>
  <si>
    <t>893872357</t>
  </si>
  <si>
    <t>RC1235 .B73 1984</t>
  </si>
  <si>
    <t>0                      RC 1235000B  73          1984</t>
  </si>
  <si>
    <t>SportScience : physical laws and optimum performance / Peter J. Brancazio.</t>
  </si>
  <si>
    <t>Brancazio, Peter J.</t>
  </si>
  <si>
    <t>New York : Simon and Schuster, c1984.</t>
  </si>
  <si>
    <t>2008-07-31</t>
  </si>
  <si>
    <t>1993-04-16</t>
  </si>
  <si>
    <t>474088592:eng</t>
  </si>
  <si>
    <t>10122152</t>
  </si>
  <si>
    <t>991000316319702656</t>
  </si>
  <si>
    <t>2267151100002656</t>
  </si>
  <si>
    <t>9780671458447</t>
  </si>
  <si>
    <t>32285001621167</t>
  </si>
  <si>
    <t>893527957</t>
  </si>
  <si>
    <t>RC1235 .D35 1987</t>
  </si>
  <si>
    <t>0                      RC 1235000D  35          1987</t>
  </si>
  <si>
    <t>Standardizing biomechanical testing in sport / David A. Dainty, Robert W. Norman.</t>
  </si>
  <si>
    <t>Dainty, David A., 1946-</t>
  </si>
  <si>
    <t>Champaign, IL : Human Kinetics Publishers, c1987.</t>
  </si>
  <si>
    <t>1995-04-06</t>
  </si>
  <si>
    <t>1992-11-17</t>
  </si>
  <si>
    <t>7293428:eng</t>
  </si>
  <si>
    <t>13821670</t>
  </si>
  <si>
    <t>991000878119702656</t>
  </si>
  <si>
    <t>2266663420002656</t>
  </si>
  <si>
    <t>9780873220743</t>
  </si>
  <si>
    <t>32285001405553</t>
  </si>
  <si>
    <t>893255823</t>
  </si>
  <si>
    <t>RC1235 .D76 1996</t>
  </si>
  <si>
    <t>0                      RC 1235000D  76          1996</t>
  </si>
  <si>
    <t>Ethical decision making in physical activity research / John N. Drowatzky.</t>
  </si>
  <si>
    <t>Drowatzky, John N.</t>
  </si>
  <si>
    <t>Champaign, IL : Human Kinetics, c1996.</t>
  </si>
  <si>
    <t>1996-07-08</t>
  </si>
  <si>
    <t>38420748:eng</t>
  </si>
  <si>
    <t>33440987</t>
  </si>
  <si>
    <t>991002573619702656</t>
  </si>
  <si>
    <t>2265883560002656</t>
  </si>
  <si>
    <t>9780873224734</t>
  </si>
  <si>
    <t>32285002206927</t>
  </si>
  <si>
    <t>893262359</t>
  </si>
  <si>
    <t>RC1235 .E73 1983</t>
  </si>
  <si>
    <t>0                      RC 1235000E  73          1983</t>
  </si>
  <si>
    <t>Ergogenic aids in sport / edited by Melvin H. Williams.</t>
  </si>
  <si>
    <t>Champaign, IL : Human Kinetics Publishers, c1983.</t>
  </si>
  <si>
    <t>1999-04-02</t>
  </si>
  <si>
    <t>54589125:eng</t>
  </si>
  <si>
    <t>9797438</t>
  </si>
  <si>
    <t>991000260179702656</t>
  </si>
  <si>
    <t>2268275870002656</t>
  </si>
  <si>
    <t>9780931250392</t>
  </si>
  <si>
    <t>32285001608792</t>
  </si>
  <si>
    <t>893620337</t>
  </si>
  <si>
    <t>RC1235 .F66 1988</t>
  </si>
  <si>
    <t>0                      RC 1235000F  66          1988</t>
  </si>
  <si>
    <t>The physiological basis of physical education and athletics / Edward L. Fox, Richard W. Bowers, Merle L. Foss.</t>
  </si>
  <si>
    <t>Fox, Edward L.</t>
  </si>
  <si>
    <t>Philadelphia : Saunders College Pub., c1988.</t>
  </si>
  <si>
    <t>4th ed.</t>
  </si>
  <si>
    <t>2001-09-10</t>
  </si>
  <si>
    <t>10589113:eng</t>
  </si>
  <si>
    <t>15590209</t>
  </si>
  <si>
    <t>991001075129702656</t>
  </si>
  <si>
    <t>2262693900002656</t>
  </si>
  <si>
    <t>9780030112737</t>
  </si>
  <si>
    <t>32285001608818</t>
  </si>
  <si>
    <t>893891273</t>
  </si>
  <si>
    <t>RC1235 .F67 1984</t>
  </si>
  <si>
    <t>0                      RC 1235000F  67          1984</t>
  </si>
  <si>
    <t>Sports physiology / Edward L. Fox ; illustrated by Nancy Allison Close.</t>
  </si>
  <si>
    <t>Philadelphia, PA : Saunders College Pub., c1984.</t>
  </si>
  <si>
    <t>10076333294:eng</t>
  </si>
  <si>
    <t>9786028</t>
  </si>
  <si>
    <t>991000259599702656</t>
  </si>
  <si>
    <t>2260677670002656</t>
  </si>
  <si>
    <t>9780030637711</t>
  </si>
  <si>
    <t>32285001111359</t>
  </si>
  <si>
    <t>893407058</t>
  </si>
  <si>
    <t>RC1235 .G65 1988</t>
  </si>
  <si>
    <t>0                      RC 1235000G  65          1988</t>
  </si>
  <si>
    <t>The "E" factor : the secrets of new tech training and fitness for the winning edge / Bob Goldman and Ronald Klatz.</t>
  </si>
  <si>
    <t>New York : Morrow, 1988.</t>
  </si>
  <si>
    <t>1995-02-16</t>
  </si>
  <si>
    <t>1991-10-28</t>
  </si>
  <si>
    <t>12478722:eng</t>
  </si>
  <si>
    <t>16581274</t>
  </si>
  <si>
    <t>991001121409702656</t>
  </si>
  <si>
    <t>2261039680002656</t>
  </si>
  <si>
    <t>9780688064686</t>
  </si>
  <si>
    <t>32285000802081</t>
  </si>
  <si>
    <t>893709014</t>
  </si>
  <si>
    <t>RC1235 .H63 1992</t>
  </si>
  <si>
    <t>0                      RC 1235000H  63          1992</t>
  </si>
  <si>
    <t>Mortal engines : the science of performance and the dehumanization of sport / John M. Hoberman.</t>
  </si>
  <si>
    <t>Hoberman, John M. (John Milton), 1944-</t>
  </si>
  <si>
    <t>New York : Free Press ; Toronto : Maxwell Macmillan Canada ; New York : Maxwell Macmillan International, c1992.</t>
  </si>
  <si>
    <t>1997-02-10</t>
  </si>
  <si>
    <t>1992-10-13</t>
  </si>
  <si>
    <t>27864351:eng</t>
  </si>
  <si>
    <t>25410786</t>
  </si>
  <si>
    <t>991002000079702656</t>
  </si>
  <si>
    <t>2254725120002656</t>
  </si>
  <si>
    <t>9780029147658</t>
  </si>
  <si>
    <t>32285001317568</t>
  </si>
  <si>
    <t>893697230</t>
  </si>
  <si>
    <t>RC1235 .J46 1990</t>
  </si>
  <si>
    <t>0                      RC 1235000J  46          1990</t>
  </si>
  <si>
    <t>Scientific basis of athletic conditioning / A. Garth Fisher, Clayne R. Jensen.</t>
  </si>
  <si>
    <t>Fisher, A. Garth.</t>
  </si>
  <si>
    <t>Philadelphia : Lea &amp; Febiger, 1990.</t>
  </si>
  <si>
    <t>1990-06-28</t>
  </si>
  <si>
    <t>1449251:eng</t>
  </si>
  <si>
    <t>19815291</t>
  </si>
  <si>
    <t>991001503889702656</t>
  </si>
  <si>
    <t>2265452470002656</t>
  </si>
  <si>
    <t>9780812112382</t>
  </si>
  <si>
    <t>32285000206143</t>
  </si>
  <si>
    <t>893244186</t>
  </si>
  <si>
    <t>RC1235 .M53</t>
  </si>
  <si>
    <t>0                      RC 1235000M  53</t>
  </si>
  <si>
    <t>Biomechanics of sport; a research approach [by] Doris I. Miller [and] Richard C. Nelson.</t>
  </si>
  <si>
    <t>Miller, Doris I.</t>
  </si>
  <si>
    <t>Philadelphia, Lea &amp; Febiger, 1973.</t>
  </si>
  <si>
    <t>Health education, physical education, and recreation series</t>
  </si>
  <si>
    <t>1995-10-12</t>
  </si>
  <si>
    <t>1992-04-14</t>
  </si>
  <si>
    <t>5615859794:eng</t>
  </si>
  <si>
    <t>590085</t>
  </si>
  <si>
    <t>991003025989702656</t>
  </si>
  <si>
    <t>2262990990002656</t>
  </si>
  <si>
    <t>9780812104318</t>
  </si>
  <si>
    <t>32285001068518</t>
  </si>
  <si>
    <t>893874341</t>
  </si>
  <si>
    <t>RC1235 .N48 1984</t>
  </si>
  <si>
    <t>0                      RC 1235000N  48          1984</t>
  </si>
  <si>
    <t>Newton at the bat : the science in sports / edited by Eric W. Schrier and William F. Allman.</t>
  </si>
  <si>
    <t>New York : Scribner, 1984.</t>
  </si>
  <si>
    <t>2004-09-07</t>
  </si>
  <si>
    <t>938837433:eng</t>
  </si>
  <si>
    <t>10403492</t>
  </si>
  <si>
    <t>991000366419702656</t>
  </si>
  <si>
    <t>2267151310002656</t>
  </si>
  <si>
    <t>9780684181301</t>
  </si>
  <si>
    <t>32285001608834</t>
  </si>
  <si>
    <t>893339483</t>
  </si>
  <si>
    <t>RC1235 .N63 1986</t>
  </si>
  <si>
    <t>0                      RC 1235000N  63          1986</t>
  </si>
  <si>
    <t>Physiology of exercise and sport / Bruce J. Noble.</t>
  </si>
  <si>
    <t>Noble, Bruce J.</t>
  </si>
  <si>
    <t>St. Louis : Times Mirror/Mosby College Pub., 1986.</t>
  </si>
  <si>
    <t>mou</t>
  </si>
  <si>
    <t>1991-12-03</t>
  </si>
  <si>
    <t>5888924:eng</t>
  </si>
  <si>
    <t>12949918</t>
  </si>
  <si>
    <t>991000757419702656</t>
  </si>
  <si>
    <t>2255931210002656</t>
  </si>
  <si>
    <t>9780801637117</t>
  </si>
  <si>
    <t>32285000818855</t>
  </si>
  <si>
    <t>893225279</t>
  </si>
  <si>
    <t>RC1235 .N66</t>
  </si>
  <si>
    <t>0                      RC 1235000N  66</t>
  </si>
  <si>
    <t>Introduction to biomechanic analysis of sport / [by] John W. Northrip, Gene A. Logan [and] Wayne C. McKinney.</t>
  </si>
  <si>
    <t>Northrip, John W.</t>
  </si>
  <si>
    <t>Dubuque, Iowa : W. C. Brown Co., [1974]</t>
  </si>
  <si>
    <t>1993-04-21</t>
  </si>
  <si>
    <t>443334:eng</t>
  </si>
  <si>
    <t>873848</t>
  </si>
  <si>
    <t>991003342569702656</t>
  </si>
  <si>
    <t>2261913430002656</t>
  </si>
  <si>
    <t>32285001621829</t>
  </si>
  <si>
    <t>893604701</t>
  </si>
  <si>
    <t>RC1235 .N66 1983</t>
  </si>
  <si>
    <t>0                      RC 1235000N  66          1983</t>
  </si>
  <si>
    <t>Analysis of sport motion : anatomic and biomechanic perspectives / John W. Northrip, Gene A. Logan, Wayne C. McKinney.</t>
  </si>
  <si>
    <t>Dubuque, Iowa : W.C. Brown, c1983.</t>
  </si>
  <si>
    <t>2004-10-09</t>
  </si>
  <si>
    <t>1993-04-20</t>
  </si>
  <si>
    <t>309069188:eng</t>
  </si>
  <si>
    <t>9617409</t>
  </si>
  <si>
    <t>991000225329702656</t>
  </si>
  <si>
    <t>2258588710002656</t>
  </si>
  <si>
    <t>9780697072061</t>
  </si>
  <si>
    <t>32285001621811</t>
  </si>
  <si>
    <t>893784077</t>
  </si>
  <si>
    <t>RC1235 .N67 1983</t>
  </si>
  <si>
    <t>0                      RC 1235000N  67          1983</t>
  </si>
  <si>
    <t>Training and conditioning of athletes / Max M. Novich, Buddy Taylor.</t>
  </si>
  <si>
    <t>Novich, Max M., 1914-</t>
  </si>
  <si>
    <t>Philadelphia : Lea &amp; Febiger, 1983.</t>
  </si>
  <si>
    <t>2009-03-16</t>
  </si>
  <si>
    <t>42934213:eng</t>
  </si>
  <si>
    <t>8827198</t>
  </si>
  <si>
    <t>991001771779702656</t>
  </si>
  <si>
    <t>2266910480002656</t>
  </si>
  <si>
    <t>9780812108330</t>
  </si>
  <si>
    <t>32285005509525</t>
  </si>
  <si>
    <t>893509902</t>
  </si>
  <si>
    <t>RC1235 .O46 1984</t>
  </si>
  <si>
    <t>0                      RC 1235000O  46          1984</t>
  </si>
  <si>
    <t>Sport, health, and nutrition / Frank I. Katch, editor.</t>
  </si>
  <si>
    <t>Olympic Scientific Congress (1984 : Eugene, Or.)</t>
  </si>
  <si>
    <t>Champaign, IL : Human Kinetics Publishers, 1986.</t>
  </si>
  <si>
    <t>1984 Olympic Scientific Congress proceedings ; v. 2</t>
  </si>
  <si>
    <t>190121060:eng</t>
  </si>
  <si>
    <t>12422365</t>
  </si>
  <si>
    <t>991000688399702656</t>
  </si>
  <si>
    <t>2256030200002656</t>
  </si>
  <si>
    <t>9780873220101</t>
  </si>
  <si>
    <t>32285001608859</t>
  </si>
  <si>
    <t>893871915</t>
  </si>
  <si>
    <t>RC1235 .O94 1998</t>
  </si>
  <si>
    <t>0                      RC 1235000O  94          1998</t>
  </si>
  <si>
    <t>Overtraining in sport / Richard B. Kreider, Andrew C. Fry, Mary L. O'Toole, editors.</t>
  </si>
  <si>
    <t>1998-03-12</t>
  </si>
  <si>
    <t>350008510:eng</t>
  </si>
  <si>
    <t>37567177</t>
  </si>
  <si>
    <t>991005427019702656</t>
  </si>
  <si>
    <t>2270183170002656</t>
  </si>
  <si>
    <t>9780880115636</t>
  </si>
  <si>
    <t>32285003357810</t>
  </si>
  <si>
    <t>893811102</t>
  </si>
  <si>
    <t>RC1235 .S4 1982</t>
  </si>
  <si>
    <t>0                      RC 1235000S  4           1982</t>
  </si>
  <si>
    <t>Science and sporting performance : management or manipulation? / edited by Bruce Davies and Geoffrey Thomas.</t>
  </si>
  <si>
    <t>Oxford [Oxfordshire] : Clarendon Press, 1982.</t>
  </si>
  <si>
    <t>2001-02-18</t>
  </si>
  <si>
    <t>910163710:eng</t>
  </si>
  <si>
    <t>8473705</t>
  </si>
  <si>
    <t>991005246839702656</t>
  </si>
  <si>
    <t>2259357450002656</t>
  </si>
  <si>
    <t>9780198575948</t>
  </si>
  <si>
    <t>32285001087203</t>
  </si>
  <si>
    <t>893783279</t>
  </si>
  <si>
    <t>RC1235 .S52 1984</t>
  </si>
  <si>
    <t>0                      RC 1235000S  52          1984</t>
  </si>
  <si>
    <t>Physiology of fitness : prescribing exercise for fitness, weight control, and health / Brian J. Sharkey.</t>
  </si>
  <si>
    <t>Sharkey, Brian J.</t>
  </si>
  <si>
    <t>Champaign, Ill. : Human Kinetics Publishers, c1984.</t>
  </si>
  <si>
    <t>1997-11-20</t>
  </si>
  <si>
    <t>2859886:eng</t>
  </si>
  <si>
    <t>10605389</t>
  </si>
  <si>
    <t>991000398519702656</t>
  </si>
  <si>
    <t>2258733580002656</t>
  </si>
  <si>
    <t>9780931250668</t>
  </si>
  <si>
    <t>32285001608891</t>
  </si>
  <si>
    <t>893261451</t>
  </si>
  <si>
    <t>RC1235 .S67 1992</t>
  </si>
  <si>
    <t>0                      RC 1235000S  67          1992</t>
  </si>
  <si>
    <t>Sport physiology.</t>
  </si>
  <si>
    <t>Champaign, Ill. : published for the International Council of Sport Science and Physical Education by Human Kinetics Publishers, 1992.</t>
  </si>
  <si>
    <t>Sport science review ; v. 1, no. 1</t>
  </si>
  <si>
    <t>1996-08-19</t>
  </si>
  <si>
    <t>17408617:eng</t>
  </si>
  <si>
    <t>29887445</t>
  </si>
  <si>
    <t>991002304759702656</t>
  </si>
  <si>
    <t>2259198240002656</t>
  </si>
  <si>
    <t>32285002068798</t>
  </si>
  <si>
    <t>893710125</t>
  </si>
  <si>
    <t>RC1235 .S77</t>
  </si>
  <si>
    <t>0                      RC 1235000S  77</t>
  </si>
  <si>
    <t>Structural and physiological aspects of exercise and sport / Warren R. Johnson, E.R. Buskirk, editors.</t>
  </si>
  <si>
    <t>Princeton, N.J. : Princeton Book Co., c1980.</t>
  </si>
  <si>
    <t>54424409:eng</t>
  </si>
  <si>
    <t>7136923</t>
  </si>
  <si>
    <t>991005077179702656</t>
  </si>
  <si>
    <t>2260751910002656</t>
  </si>
  <si>
    <t>9780916622169</t>
  </si>
  <si>
    <t>32285001608909</t>
  </si>
  <si>
    <t>893230170</t>
  </si>
  <si>
    <t>RC1235 .W4413 1990</t>
  </si>
  <si>
    <t>0                      RC 1235000W  4413        1990</t>
  </si>
  <si>
    <t>Functional anatomy in sports / Jürgen Weineck ; translated by Thomas J. DeKornfeld.</t>
  </si>
  <si>
    <t>Weineck, Jürgen, 1941-</t>
  </si>
  <si>
    <t>St Louis : Mosby Year Book, c1990.</t>
  </si>
  <si>
    <t>1990-09-12</t>
  </si>
  <si>
    <t>7499040:eng</t>
  </si>
  <si>
    <t>21561691</t>
  </si>
  <si>
    <t>991001705599702656</t>
  </si>
  <si>
    <t>2264913230002656</t>
  </si>
  <si>
    <t>9780815191926</t>
  </si>
  <si>
    <t>32285000277086</t>
  </si>
  <si>
    <t>893346707</t>
  </si>
  <si>
    <t>RC1235 .W45 1991</t>
  </si>
  <si>
    <t>0                      RC 1235000W  45          1991</t>
  </si>
  <si>
    <t>Women, sport &amp; performance : a physiological perspective / Christine L. Wells.</t>
  </si>
  <si>
    <t>Wells, Christine L., 1938-</t>
  </si>
  <si>
    <t>Champaign, Ill. : Human Kinetics Books, c1991.</t>
  </si>
  <si>
    <t>1991-05-09</t>
  </si>
  <si>
    <t>889733902:eng</t>
  </si>
  <si>
    <t>21763518</t>
  </si>
  <si>
    <t>991001720779702656</t>
  </si>
  <si>
    <t>2255793190002656</t>
  </si>
  <si>
    <t>9780873223034</t>
  </si>
  <si>
    <t>32285000572445</t>
  </si>
  <si>
    <t>893772828</t>
  </si>
  <si>
    <t>RC1235 .W55 1998</t>
  </si>
  <si>
    <t>0                      RC 1235000W  55          1998</t>
  </si>
  <si>
    <t>The ergogenics edge : pushing the limits of sports performance / Melvin H. Williams.</t>
  </si>
  <si>
    <t>2006-01-04</t>
  </si>
  <si>
    <t>836949237:eng</t>
  </si>
  <si>
    <t>36817290</t>
  </si>
  <si>
    <t>991002802939702656</t>
  </si>
  <si>
    <t>2261865220002656</t>
  </si>
  <si>
    <t>9780880115452</t>
  </si>
  <si>
    <t>32285003355780</t>
  </si>
  <si>
    <t>893610319</t>
  </si>
  <si>
    <t>RC1235 .Y68</t>
  </si>
  <si>
    <t>0                      RC 1235000Y  68</t>
  </si>
  <si>
    <t>Physical performance, fitness, and diet / by D. R. Young.</t>
  </si>
  <si>
    <t>Young, Donald R.</t>
  </si>
  <si>
    <t>Springfield, Ill. : Thomas, c1977.</t>
  </si>
  <si>
    <t>1977</t>
  </si>
  <si>
    <t>American lecture series ; publication no. 1009</t>
  </si>
  <si>
    <t>2005-11-19</t>
  </si>
  <si>
    <t>1992-04-15</t>
  </si>
  <si>
    <t>5909675:eng</t>
  </si>
  <si>
    <t>2646158</t>
  </si>
  <si>
    <t>991004198509702656</t>
  </si>
  <si>
    <t>2254799780002656</t>
  </si>
  <si>
    <t>9780398036423</t>
  </si>
  <si>
    <t>32285001061398</t>
  </si>
  <si>
    <t>893875800</t>
  </si>
  <si>
    <t>RC1238 .H39 1986</t>
  </si>
  <si>
    <t>0                      RC 1238000H  39          1986</t>
  </si>
  <si>
    <t>Environment and human performance / Emily M. Haymes and Christine L. Wells.</t>
  </si>
  <si>
    <t>Haymes, Emily M., 1939-</t>
  </si>
  <si>
    <t>1993-04-26</t>
  </si>
  <si>
    <t>5218406:eng</t>
  </si>
  <si>
    <t>12582712</t>
  </si>
  <si>
    <t>991000710669702656</t>
  </si>
  <si>
    <t>2272263100002656</t>
  </si>
  <si>
    <t>9780873220392</t>
  </si>
  <si>
    <t>32285000798339</t>
  </si>
  <si>
    <t>893702368</t>
  </si>
  <si>
    <t>RC1245 .S73 1997</t>
  </si>
  <si>
    <t>0                      RC 1245000S  73          1997</t>
  </si>
  <si>
    <t>Alcohol and sport / Robert D. Stainback.</t>
  </si>
  <si>
    <t>Stainback, Robert D., 1954-</t>
  </si>
  <si>
    <t>Champaign, IL : Human Kinetics, c1997.</t>
  </si>
  <si>
    <t>2000-11-27</t>
  </si>
  <si>
    <t>1998-01-05</t>
  </si>
  <si>
    <t>40486130:eng</t>
  </si>
  <si>
    <t>35910391</t>
  </si>
  <si>
    <t>991002735669702656</t>
  </si>
  <si>
    <t>2272762110002656</t>
  </si>
  <si>
    <t>9780873225311</t>
  </si>
  <si>
    <t>32285003300695</t>
  </si>
  <si>
    <t>893317189</t>
  </si>
  <si>
    <t>RC147.H6 F73 1982</t>
  </si>
  <si>
    <t>0                      RC 0147000H  6                  F  73          1982</t>
  </si>
  <si>
    <t>Herpes : a complete guide to relief &amp; reassurance / Frank Freudberg ; introduction by E. Stephen Emanuel.</t>
  </si>
  <si>
    <t>Freudberg, Frank.</t>
  </si>
  <si>
    <t>Philadelphia, Pa. : Running Press, c1982.</t>
  </si>
  <si>
    <t>1998-01-26</t>
  </si>
  <si>
    <t>1992-11-10</t>
  </si>
  <si>
    <t>551725:eng</t>
  </si>
  <si>
    <t>8670121</t>
  </si>
  <si>
    <t>991000047549702656</t>
  </si>
  <si>
    <t>2267708690002656</t>
  </si>
  <si>
    <t>9780894711886</t>
  </si>
  <si>
    <t>32285001383925</t>
  </si>
  <si>
    <t>893419144</t>
  </si>
  <si>
    <t>RC147.H6 H57 1982</t>
  </si>
  <si>
    <t>0                      RC 0147000H  6                  H  57          1982</t>
  </si>
  <si>
    <t>The Herpesviruses / edited by Bernard Roizman.</t>
  </si>
  <si>
    <t>V. 4</t>
  </si>
  <si>
    <t>New York : Plenum Press, c1982-c1985.</t>
  </si>
  <si>
    <t>The Viruses</t>
  </si>
  <si>
    <t>1990-02-08</t>
  </si>
  <si>
    <t>4495075245:eng</t>
  </si>
  <si>
    <t>8689752</t>
  </si>
  <si>
    <t>991001779759702656</t>
  </si>
  <si>
    <t>2272099890002656</t>
  </si>
  <si>
    <t>9780306409226</t>
  </si>
  <si>
    <t>32285000008671</t>
  </si>
  <si>
    <t>893444801</t>
  </si>
  <si>
    <t>RC150 .B4 1977</t>
  </si>
  <si>
    <t>0                      RC 0150000B  4           1977</t>
  </si>
  <si>
    <t>Influenza : the last great plague : an unfinished story of discovery / W.I.B. Beveridge.</t>
  </si>
  <si>
    <t>Beveridge, W. I. B. (William Ian Beardmore), 1908-2006.</t>
  </si>
  <si>
    <t>New York : Prodist, 1977.</t>
  </si>
  <si>
    <t>1990-10-08</t>
  </si>
  <si>
    <t>807739124:eng</t>
  </si>
  <si>
    <t>2818246</t>
  </si>
  <si>
    <t>991004253089702656</t>
  </si>
  <si>
    <t>2265199370002656</t>
  </si>
  <si>
    <t>9780882021188</t>
  </si>
  <si>
    <t>32285000334606</t>
  </si>
  <si>
    <t>893247354</t>
  </si>
  <si>
    <t>RC154.5.A2 L4</t>
  </si>
  <si>
    <t>0                      RC 0154500A  2                  L  4</t>
  </si>
  <si>
    <t>Alone no longer : the story of a man who refused to be one of the living dead! / by Stanley Stein [pseud.] with Lawrence G. Blochman. Foreword by Perry Burgess.</t>
  </si>
  <si>
    <t>Levyson, Sidney Maurice, 1899-1967.</t>
  </si>
  <si>
    <t>New York : Funk &amp; Wagnalls, [1963]</t>
  </si>
  <si>
    <t>1963</t>
  </si>
  <si>
    <t xml:space="preserve">xx </t>
  </si>
  <si>
    <t>1990-11-30</t>
  </si>
  <si>
    <t>1542301:eng</t>
  </si>
  <si>
    <t>530097</t>
  </si>
  <si>
    <t>991002928779702656</t>
  </si>
  <si>
    <t>2266891240002656</t>
  </si>
  <si>
    <t>32285000411313</t>
  </si>
  <si>
    <t>893805224</t>
  </si>
  <si>
    <t>RC154.6.S3 R5 1977</t>
  </si>
  <si>
    <t>0                      RC 0154600S  3                  R  5           1977</t>
  </si>
  <si>
    <t>The medieval leper and his northern heirs / Peter Richards.</t>
  </si>
  <si>
    <t>Richards, Peter, M.D.</t>
  </si>
  <si>
    <t>Cambridge, Eng. : D. S. Brewer ; Totowa, N.J. : Rowman and Littlefield, c1977.</t>
  </si>
  <si>
    <t>38221767:eng</t>
  </si>
  <si>
    <t>2797764</t>
  </si>
  <si>
    <t>991004244079702656</t>
  </si>
  <si>
    <t>2265678430002656</t>
  </si>
  <si>
    <t>9780874719604</t>
  </si>
  <si>
    <t>32285000334622</t>
  </si>
  <si>
    <t>893325118</t>
  </si>
  <si>
    <t>RC176.A2 G73</t>
  </si>
  <si>
    <t>0                      RC 0176000A  2                  G  73</t>
  </si>
  <si>
    <t>Plague! : The shocking story of a dread disease in America today / Charles T. Gregg. --</t>
  </si>
  <si>
    <t>Gregg, Charles T.</t>
  </si>
  <si>
    <t>New York : Scribner, c1978.</t>
  </si>
  <si>
    <t>2002-09-05</t>
  </si>
  <si>
    <t>1992-10-10</t>
  </si>
  <si>
    <t>198305022:eng</t>
  </si>
  <si>
    <t>3542627</t>
  </si>
  <si>
    <t>991004459889702656</t>
  </si>
  <si>
    <t>2264813120002656</t>
  </si>
  <si>
    <t>9780684153728</t>
  </si>
  <si>
    <t>32285001346237</t>
  </si>
  <si>
    <t>893612375</t>
  </si>
  <si>
    <t>RC178.I8 C56</t>
  </si>
  <si>
    <t>0                      RC 0178000I  8                  C  56</t>
  </si>
  <si>
    <t>Fighting the plague in seventeenth-century Italy / Carlo M. Cipolla.</t>
  </si>
  <si>
    <t>Cipolla, Carlo M.</t>
  </si>
  <si>
    <t>Madison, Wis. : University of Wisconsin Press, 1980.</t>
  </si>
  <si>
    <t>wiu</t>
  </si>
  <si>
    <t>The Curti lectures ; 1978</t>
  </si>
  <si>
    <t>2005-04-12</t>
  </si>
  <si>
    <t>434463:eng</t>
  </si>
  <si>
    <t>6891148</t>
  </si>
  <si>
    <t>991005055329702656</t>
  </si>
  <si>
    <t>2262089960002656</t>
  </si>
  <si>
    <t>9780299083403</t>
  </si>
  <si>
    <t>32285001589109</t>
  </si>
  <si>
    <t>893694683</t>
  </si>
  <si>
    <t>RC180.2 .C62</t>
  </si>
  <si>
    <t>0                      RC 0180200C  62</t>
  </si>
  <si>
    <t>Four billion dimes.</t>
  </si>
  <si>
    <t>Cohn, Victor, 1919-2000.</t>
  </si>
  <si>
    <t>1955</t>
  </si>
  <si>
    <t>2009-03-31</t>
  </si>
  <si>
    <t>14706430:eng</t>
  </si>
  <si>
    <t>4378005</t>
  </si>
  <si>
    <t>991004631829702656</t>
  </si>
  <si>
    <t>2264470400002656</t>
  </si>
  <si>
    <t>32285003084406</t>
  </si>
  <si>
    <t>893628271</t>
  </si>
  <si>
    <t>RC180.5.K4 A3 1943</t>
  </si>
  <si>
    <t>0                      RC 0180500K  4                  A  3           1943</t>
  </si>
  <si>
    <t>And they shall walk : the life story of Sister Elizabeth Kenny / written in collaberation with Martha Ostenso.</t>
  </si>
  <si>
    <t>Kenny, Elizabeth.</t>
  </si>
  <si>
    <t>New York : Dodd, Mead &amp; Company, 1943.</t>
  </si>
  <si>
    <t>1943</t>
  </si>
  <si>
    <t>1993-03-04</t>
  </si>
  <si>
    <t>836658096:eng</t>
  </si>
  <si>
    <t>1371273</t>
  </si>
  <si>
    <t>991003724949702656</t>
  </si>
  <si>
    <t>2259948760002656</t>
  </si>
  <si>
    <t>32285000334663</t>
  </si>
  <si>
    <t>893617669</t>
  </si>
  <si>
    <t>RC180.9 .G68 1995</t>
  </si>
  <si>
    <t>0                      RC 0180900G  68          1995</t>
  </si>
  <si>
    <t>A summer plague : polio and its survivors / Tony Gould.</t>
  </si>
  <si>
    <t>Gould, Tony, 1938-</t>
  </si>
  <si>
    <t>New Haven : Yale University Press, 1995.</t>
  </si>
  <si>
    <t>2006-05-01</t>
  </si>
  <si>
    <t>1996-06-04</t>
  </si>
  <si>
    <t>836999702:eng</t>
  </si>
  <si>
    <t>31708713</t>
  </si>
  <si>
    <t>991002431589702656</t>
  </si>
  <si>
    <t>2271685640002656</t>
  </si>
  <si>
    <t>9780300062922</t>
  </si>
  <si>
    <t>32285002187416</t>
  </si>
  <si>
    <t>893786133</t>
  </si>
  <si>
    <t>RC183.1 .H66 1983</t>
  </si>
  <si>
    <t>0                      RC 0183100H  66          1983</t>
  </si>
  <si>
    <t>Princes and peasants : smallpox in history / Donald R. Hopkins ; with a foreword by George I. Lythcott.</t>
  </si>
  <si>
    <t>Hopkins, Donald R.</t>
  </si>
  <si>
    <t>Chicago : University of Chicago Press, 1983.</t>
  </si>
  <si>
    <t>2002-10-25</t>
  </si>
  <si>
    <t>2946007732:eng</t>
  </si>
  <si>
    <t>9442237</t>
  </si>
  <si>
    <t>991000197489702656</t>
  </si>
  <si>
    <t>2264866300002656</t>
  </si>
  <si>
    <t>9780226351766</t>
  </si>
  <si>
    <t>32285001589125</t>
  </si>
  <si>
    <t>893871497</t>
  </si>
  <si>
    <t>RC186.T82 I44 1985</t>
  </si>
  <si>
    <t>0                      RC 0186000T  82                 I  44          1985</t>
  </si>
  <si>
    <t>Immunology and pathogenesis of trypanosomiasis / editor, Ian Tizard.</t>
  </si>
  <si>
    <t>Boca Raton, Fla. : CRC Press, 1985.</t>
  </si>
  <si>
    <t>2004-11-19</t>
  </si>
  <si>
    <t>4116403:eng</t>
  </si>
  <si>
    <t>11091543</t>
  </si>
  <si>
    <t>991000489829702656</t>
  </si>
  <si>
    <t>2270698550002656</t>
  </si>
  <si>
    <t>9780849356407</t>
  </si>
  <si>
    <t>32285001589133</t>
  </si>
  <si>
    <t>893237363</t>
  </si>
  <si>
    <t>RC186.T82 M3 1973</t>
  </si>
  <si>
    <t>0                      RC 0186000T  82                 M  3           1973</t>
  </si>
  <si>
    <t>Man against tsetse : struggle for Africa / [by] John J. McKelvey, Jr.</t>
  </si>
  <si>
    <t>McKelvey, John J.</t>
  </si>
  <si>
    <t>Ithaca [N.Y.] : Cornell University Press, c1973, 1975 printing.</t>
  </si>
  <si>
    <t>2006-09-24</t>
  </si>
  <si>
    <t>1992-04-03</t>
  </si>
  <si>
    <t>1744153:eng</t>
  </si>
  <si>
    <t>631922</t>
  </si>
  <si>
    <t>991003079199702656</t>
  </si>
  <si>
    <t>2263166100002656</t>
  </si>
  <si>
    <t>9780801407680</t>
  </si>
  <si>
    <t>32285001033207</t>
  </si>
  <si>
    <t>893409898</t>
  </si>
  <si>
    <t>RC200.1 .S525 2004</t>
  </si>
  <si>
    <t>0                      RC 0200100S  525         2004</t>
  </si>
  <si>
    <t>The encyclopedia of sexually transmitted diseases / Jennifer Shoquist, Diane Stafford.</t>
  </si>
  <si>
    <t>Shoquist, Jennifer.</t>
  </si>
  <si>
    <t>New York : Facts On File, c2004.</t>
  </si>
  <si>
    <t>Facts on File library of health and living</t>
  </si>
  <si>
    <t>708829:eng</t>
  </si>
  <si>
    <t>51534557</t>
  </si>
  <si>
    <t>991004696779702656</t>
  </si>
  <si>
    <t>2270772270002656</t>
  </si>
  <si>
    <t>9780816048816</t>
  </si>
  <si>
    <t>32285005154199</t>
  </si>
  <si>
    <t>893338028</t>
  </si>
  <si>
    <t>RC200.2 .L35 1986</t>
  </si>
  <si>
    <t>0                      RC 0200200L  35          1986</t>
  </si>
  <si>
    <t>Sexually transmitted diseases / Elaine Landau.</t>
  </si>
  <si>
    <t>Landau, Elaine.</t>
  </si>
  <si>
    <t>Hillside, N.J. : Enslow Publishers, c1986.</t>
  </si>
  <si>
    <t>2006-04-04</t>
  </si>
  <si>
    <t>1995-07-12</t>
  </si>
  <si>
    <t>4614852:eng</t>
  </si>
  <si>
    <t>11784177</t>
  </si>
  <si>
    <t>991000589619702656</t>
  </si>
  <si>
    <t>2256901550002656</t>
  </si>
  <si>
    <t>9780894901157</t>
  </si>
  <si>
    <t>32285002053931</t>
  </si>
  <si>
    <t>893589586</t>
  </si>
  <si>
    <t>RC200.25 .B76 1993</t>
  </si>
  <si>
    <t>0                      RC 0200250B  76          1993</t>
  </si>
  <si>
    <t>Straight talk about sexually transmitted diseases / Michael Brodman, John Thacker, and Rachel Kranz.</t>
  </si>
  <si>
    <t>Brodman, Michael.</t>
  </si>
  <si>
    <t>New York, NY, USA : Facts on File, c1993.</t>
  </si>
  <si>
    <t>2009-04-14</t>
  </si>
  <si>
    <t>1995-04-10</t>
  </si>
  <si>
    <t>30765989:eng</t>
  </si>
  <si>
    <t>28183445</t>
  </si>
  <si>
    <t>991002190979702656</t>
  </si>
  <si>
    <t>2270122420002656</t>
  </si>
  <si>
    <t>9780816028641</t>
  </si>
  <si>
    <t>32285002017191</t>
  </si>
  <si>
    <t>893898469</t>
  </si>
  <si>
    <t>RC201.6.G7 S43 1996</t>
  </si>
  <si>
    <t>0                      RC 0201600G  7                  S  43          1996</t>
  </si>
  <si>
    <t>The secret malady : venereal disease in eighteenth-century Britain and France / Linda E. Merians, editor.</t>
  </si>
  <si>
    <t>Lexington, K.Y. : University Press of Kentucky, c1996.</t>
  </si>
  <si>
    <t>kyu</t>
  </si>
  <si>
    <t>2009-04-07</t>
  </si>
  <si>
    <t>2005-05-04</t>
  </si>
  <si>
    <t>890175209:eng</t>
  </si>
  <si>
    <t>34746028</t>
  </si>
  <si>
    <t>991004549669702656</t>
  </si>
  <si>
    <t>2268253650002656</t>
  </si>
  <si>
    <t>9780813108889</t>
  </si>
  <si>
    <t>32285005035703</t>
  </si>
  <si>
    <t>893417763</t>
  </si>
  <si>
    <t>RC211.P5 P6 1949</t>
  </si>
  <si>
    <t>0                      RC 0211000P  5                  P  6           1949</t>
  </si>
  <si>
    <t>Bring out your dead : the great plague of yellow fever in Philadelphia in 1793 / by J.H. Powell.</t>
  </si>
  <si>
    <t>Powell, J. H. (John Harvey), 1914-1971.</t>
  </si>
  <si>
    <t>Philadelphia : Univ. of Pennsylvania Press, 1949.</t>
  </si>
  <si>
    <t>1949</t>
  </si>
  <si>
    <t>1996-09-03</t>
  </si>
  <si>
    <t>1995-08-03</t>
  </si>
  <si>
    <t>353780:eng</t>
  </si>
  <si>
    <t>14674775</t>
  </si>
  <si>
    <t>991000951259702656</t>
  </si>
  <si>
    <t>2259990300002656</t>
  </si>
  <si>
    <t>9780405024719</t>
  </si>
  <si>
    <t>32285002061587</t>
  </si>
  <si>
    <t>893413834</t>
  </si>
  <si>
    <t>RC211.T3 C76 2006</t>
  </si>
  <si>
    <t>0                      RC 0211000T  3                  C  76          2006</t>
  </si>
  <si>
    <t>The American plague : the untold story of yellow fever, the epidemic that shaped our history / Molly Caldwell Crosby.</t>
  </si>
  <si>
    <t>Crosby, Molly Caldwell.</t>
  </si>
  <si>
    <t>New York : Berkley Books, 2006.</t>
  </si>
  <si>
    <t>2006-12-05</t>
  </si>
  <si>
    <t>198153419:eng</t>
  </si>
  <si>
    <t>70823341</t>
  </si>
  <si>
    <t>991004982679702656</t>
  </si>
  <si>
    <t>2264392800002656</t>
  </si>
  <si>
    <t>9780425212028</t>
  </si>
  <si>
    <t>32285005264501</t>
  </si>
  <si>
    <t>893901957</t>
  </si>
  <si>
    <t>RC254 .S9</t>
  </si>
  <si>
    <t>0                      RC 0254000S  9</t>
  </si>
  <si>
    <t>Developmental and metabolic control mechanisms and neoplasia; a collection of papers.</t>
  </si>
  <si>
    <t>Symposium on Fundamental Cancer Research (19th : 1965 : M.D. Anderson Hospital and Tumor Institute)</t>
  </si>
  <si>
    <t>[Houston] Published for the University of Texas M. D. Anderson Hospital and Tumor Institute [by] Williams and Wilkins Co., Baltimore, 1965.</t>
  </si>
  <si>
    <t>1965</t>
  </si>
  <si>
    <t>txu</t>
  </si>
  <si>
    <t>1995-09-30</t>
  </si>
  <si>
    <t>2947351:eng</t>
  </si>
  <si>
    <t>14505932</t>
  </si>
  <si>
    <t>991001779199702656</t>
  </si>
  <si>
    <t>2267233410002656</t>
  </si>
  <si>
    <t>32285003084422</t>
  </si>
  <si>
    <t>893785383</t>
  </si>
  <si>
    <t>RC261 .U6 1945</t>
  </si>
  <si>
    <t>0                      RC 0261000U  6           1945</t>
  </si>
  <si>
    <t>A symposium on mammary tumors in mice ... by members of the staff of the National cancer institute, National institute of health, United States Public health service, edited by Forest Ray Moulton.</t>
  </si>
  <si>
    <t>National Cancer Institute (U.S.)</t>
  </si>
  <si>
    <t>Washington, D.C., American Association for the Advancement of Science [c1945]</t>
  </si>
  <si>
    <t>1945</t>
  </si>
  <si>
    <t>Publication of the American association for the advancement of science. No. 22</t>
  </si>
  <si>
    <t>1999-10-24</t>
  </si>
  <si>
    <t>2499237:eng</t>
  </si>
  <si>
    <t>1597245</t>
  </si>
  <si>
    <t>991005265199702656</t>
  </si>
  <si>
    <t>2271892030002656</t>
  </si>
  <si>
    <t>32285003084471</t>
  </si>
  <si>
    <t>893870790</t>
  </si>
  <si>
    <t>RC261.A1 C39 1986</t>
  </si>
  <si>
    <t>0                      RC 0261000A  1                  C  39          1986</t>
  </si>
  <si>
    <t>Cancer, stress, and death.</t>
  </si>
  <si>
    <t>New York : Plenum Medical Book Co., c1986.</t>
  </si>
  <si>
    <t>2nd ed. / edited by Stacey B. Day.</t>
  </si>
  <si>
    <t>1998-10-15</t>
  </si>
  <si>
    <t>1117977850:eng</t>
  </si>
  <si>
    <t>13124129</t>
  </si>
  <si>
    <t>991000785489702656</t>
  </si>
  <si>
    <t>2255238250002656</t>
  </si>
  <si>
    <t>9780306421877</t>
  </si>
  <si>
    <t>32285000838531</t>
  </si>
  <si>
    <t>893522010</t>
  </si>
  <si>
    <t>RC262 .A65 1996</t>
  </si>
  <si>
    <t>0                      RC 0262000A  65          1996</t>
  </si>
  <si>
    <t>Apoptosis and cell cycle control in cancer : basic mechanisms and implications for treating malignant disease / [edited by] N. Shaun B. Thomas.</t>
  </si>
  <si>
    <t>Oxford : BIOS Scientific, 1996.</t>
  </si>
  <si>
    <t>UCL molecular pathology series</t>
  </si>
  <si>
    <t>2005-09-24</t>
  </si>
  <si>
    <t>1996-09-10</t>
  </si>
  <si>
    <t>837041586:eng</t>
  </si>
  <si>
    <t>34026495</t>
  </si>
  <si>
    <t>991002596839702656</t>
  </si>
  <si>
    <t>2255158210002656</t>
  </si>
  <si>
    <t>9781872748894</t>
  </si>
  <si>
    <t>32285002316551</t>
  </si>
  <si>
    <t>893597643</t>
  </si>
  <si>
    <t>RC262 .S95 1969</t>
  </si>
  <si>
    <t>0                      RC 0262000S  95          1969</t>
  </si>
  <si>
    <t>Genetic concepts and neoplasia : a collection of papers.</t>
  </si>
  <si>
    <t>Symposium on Fundamental Cancer Research (23rd : 1969 : M.D. Anderson Hospital and Tumor Institute)</t>
  </si>
  <si>
    <t>Baltimore : Williams &amp; Wilkins, 1970.</t>
  </si>
  <si>
    <t>1970</t>
  </si>
  <si>
    <t>2003-03-15</t>
  </si>
  <si>
    <t>1295683:eng</t>
  </si>
  <si>
    <t>89919</t>
  </si>
  <si>
    <t>991000533739702656</t>
  </si>
  <si>
    <t>2259146180002656</t>
  </si>
  <si>
    <t>32285000411321</t>
  </si>
  <si>
    <t>893243360</t>
  </si>
  <si>
    <t>RC263 .A46 1993</t>
  </si>
  <si>
    <t>0                      RC 0263000A  46          1993</t>
  </si>
  <si>
    <t>The Alpha book on cancer and living : for patients, family, and friends / [editor, Brent G. Ryder].</t>
  </si>
  <si>
    <t>Alameda, Calif. : The Alpha Institute, c1993.</t>
  </si>
  <si>
    <t>1999-02-21</t>
  </si>
  <si>
    <t>1993-11-09</t>
  </si>
  <si>
    <t>2906512137:eng</t>
  </si>
  <si>
    <t>29149120</t>
  </si>
  <si>
    <t>991002251189702656</t>
  </si>
  <si>
    <t>2255093660002656</t>
  </si>
  <si>
    <t>9780963236043</t>
  </si>
  <si>
    <t>32285001810679</t>
  </si>
  <si>
    <t>893703860</t>
  </si>
  <si>
    <t>RC263 .F46 2009</t>
  </si>
  <si>
    <t>0                      RC 0263000F  46          2009</t>
  </si>
  <si>
    <t>Surviving the cancer system : an empowering guide to taking control of your care / Mark R. Fesen.</t>
  </si>
  <si>
    <t>Fesen, Mark R.</t>
  </si>
  <si>
    <t>New York : AMACOM, c2009.</t>
  </si>
  <si>
    <t>2009-06-17</t>
  </si>
  <si>
    <t>801616620:eng</t>
  </si>
  <si>
    <t>290435828</t>
  </si>
  <si>
    <t>991005321849702656</t>
  </si>
  <si>
    <t>2257691610002656</t>
  </si>
  <si>
    <t>9780814413562</t>
  </si>
  <si>
    <t>32285005535710</t>
  </si>
  <si>
    <t>893619801</t>
  </si>
  <si>
    <t>RC263 .P34</t>
  </si>
  <si>
    <t>0                      RC 0263000P  34</t>
  </si>
  <si>
    <t>Too old to cry, too young to die / Edith Pendleton.</t>
  </si>
  <si>
    <t>Pendleton, Edith.</t>
  </si>
  <si>
    <t>Nashville, Tenn. : T. Nelson Publishers, c1980.</t>
  </si>
  <si>
    <t>tnu</t>
  </si>
  <si>
    <t>2002-08-29</t>
  </si>
  <si>
    <t>4432672474:eng</t>
  </si>
  <si>
    <t>6487268</t>
  </si>
  <si>
    <t>991004990919702656</t>
  </si>
  <si>
    <t>2271838420002656</t>
  </si>
  <si>
    <t>9780840740861</t>
  </si>
  <si>
    <t>32285001589158</t>
  </si>
  <si>
    <t>893412173</t>
  </si>
  <si>
    <t>RC263 .P728 1982</t>
  </si>
  <si>
    <t>0                      RC 0263000P  728         1982</t>
  </si>
  <si>
    <t>Cancer : the misguided cell / David M. Prescott, Abraham S. Flexer.</t>
  </si>
  <si>
    <t>Prescott, David M., 1926-2011.</t>
  </si>
  <si>
    <t>New York : Scribner, c1982.</t>
  </si>
  <si>
    <t>1582133:eng</t>
  </si>
  <si>
    <t>7948157</t>
  </si>
  <si>
    <t>991005183699702656</t>
  </si>
  <si>
    <t>2270444390002656</t>
  </si>
  <si>
    <t>9780684173009</t>
  </si>
  <si>
    <t>32285000838549</t>
  </si>
  <si>
    <t>893905283</t>
  </si>
  <si>
    <t>RC263 .P728 1986</t>
  </si>
  <si>
    <t>0                      RC 0263000P  728         1986</t>
  </si>
  <si>
    <t>Cancer, the misguided cell / David M. Prescott &amp; Abraham S. Flexer.</t>
  </si>
  <si>
    <t>Sunderland, Mass. : Sinauer, c1986.</t>
  </si>
  <si>
    <t>2004-12-13</t>
  </si>
  <si>
    <t>1992-03-17</t>
  </si>
  <si>
    <t>12909223</t>
  </si>
  <si>
    <t>991000750199702656</t>
  </si>
  <si>
    <t>2266624750002656</t>
  </si>
  <si>
    <t>9780878937080</t>
  </si>
  <si>
    <t>32285000529064</t>
  </si>
  <si>
    <t>893426003</t>
  </si>
  <si>
    <t>RC265.6.S76 S76 2003</t>
  </si>
  <si>
    <t>0                      RC 0265600S  76                 S  76          2003</t>
  </si>
  <si>
    <t>At the end of words : a daughter's memoirs / Miriam Stone.</t>
  </si>
  <si>
    <t>Stone, Miriam R.</t>
  </si>
  <si>
    <t>Cambridge, Mass. : Candlewick Press, 2003.</t>
  </si>
  <si>
    <t>2009-11-15</t>
  </si>
  <si>
    <t>2004-07-28</t>
  </si>
  <si>
    <t>10488057685:eng</t>
  </si>
  <si>
    <t>50164829</t>
  </si>
  <si>
    <t>991004330139702656</t>
  </si>
  <si>
    <t>2270146230002656</t>
  </si>
  <si>
    <t>9780763618544</t>
  </si>
  <si>
    <t>32285004926910</t>
  </si>
  <si>
    <t>893679424</t>
  </si>
  <si>
    <t>RC267 .G3 1966</t>
  </si>
  <si>
    <t>0                      RC 0267000G  3           1966</t>
  </si>
  <si>
    <t>Microbial models of cancer cells [by] G. F. Gause.</t>
  </si>
  <si>
    <t>Gauze, G. F. (Georgiĭ Frant͡sevich), 1910-1986.</t>
  </si>
  <si>
    <t>Amsterdam, North-Holland Pub. Co., 1966.</t>
  </si>
  <si>
    <t>1966</t>
  </si>
  <si>
    <t>Frontiers of biology (Amsterdam), v. 1</t>
  </si>
  <si>
    <t>1998-10-09</t>
  </si>
  <si>
    <t>218509411:eng</t>
  </si>
  <si>
    <t>440196</t>
  </si>
  <si>
    <t>991002780919702656</t>
  </si>
  <si>
    <t>2256646650002656</t>
  </si>
  <si>
    <t>32285003084505</t>
  </si>
  <si>
    <t>893899220</t>
  </si>
  <si>
    <t>RC267 .W45 1996</t>
  </si>
  <si>
    <t>0                      RC 0267000W  45          1996</t>
  </si>
  <si>
    <t>Racing to the beginning of the road : the search for the origin of cancer / Robert A. Weinberg.</t>
  </si>
  <si>
    <t>Weinberg, Robert A. (Robert Allan), 1942-</t>
  </si>
  <si>
    <t>New York : Harmony Books, c1996.</t>
  </si>
  <si>
    <t>2001-02-13</t>
  </si>
  <si>
    <t>1997-01-27</t>
  </si>
  <si>
    <t>227431248:eng</t>
  </si>
  <si>
    <t>34078983</t>
  </si>
  <si>
    <t>991002601869702656</t>
  </si>
  <si>
    <t>2270680530002656</t>
  </si>
  <si>
    <t>9780517591185</t>
  </si>
  <si>
    <t>32285002411493</t>
  </si>
  <si>
    <t>893239256</t>
  </si>
  <si>
    <t>RC268 .C356 1996</t>
  </si>
  <si>
    <t>0                      RC 0268000C  356         1996</t>
  </si>
  <si>
    <t>Cancer free : the comprehensive cancer prevention program / Sidney J. Winawer and Moshe Shike and Philip Bashe and Genell Subak-Sharpe ; introd. by Paul A. Marks.</t>
  </si>
  <si>
    <t>Winawer, Sidney J.</t>
  </si>
  <si>
    <t>New York : Simon &amp; Schuster, 1996, c1995.</t>
  </si>
  <si>
    <t>2010-02-09</t>
  </si>
  <si>
    <t>1998-03-26</t>
  </si>
  <si>
    <t>1998-04-23</t>
  </si>
  <si>
    <t>34894885:eng</t>
  </si>
  <si>
    <t>38874995</t>
  </si>
  <si>
    <t>991001774789702656</t>
  </si>
  <si>
    <t>2263432930002656</t>
  </si>
  <si>
    <t>9780684815121</t>
  </si>
  <si>
    <t>32285003380929</t>
  </si>
  <si>
    <t>893503677</t>
  </si>
  <si>
    <t>RC268 .P77 1999</t>
  </si>
  <si>
    <t>0                      RC 0268000P  77          1999</t>
  </si>
  <si>
    <t>The Nazi war on cancer / Robert N. Proctor.</t>
  </si>
  <si>
    <t>Proctor, Robert, 1954-</t>
  </si>
  <si>
    <t>Princeton, N.J. : Princeton University Press, c1999.</t>
  </si>
  <si>
    <t>2002-04-11</t>
  </si>
  <si>
    <t>1999-12-02</t>
  </si>
  <si>
    <t>48070:eng</t>
  </si>
  <si>
    <t>40200136</t>
  </si>
  <si>
    <t>991005429649702656</t>
  </si>
  <si>
    <t>2267123150002656</t>
  </si>
  <si>
    <t>9780691001968</t>
  </si>
  <si>
    <t>32285003626875</t>
  </si>
  <si>
    <t>893339084</t>
  </si>
  <si>
    <t>RC268.25 .S74 1998</t>
  </si>
  <si>
    <t>0                      RC 0268250S  74          1998</t>
  </si>
  <si>
    <t>Living downstream : a scientist's personal investigation of cancer and the environment / Sandra Steingraber.</t>
  </si>
  <si>
    <t>Steingraber, Sandra.</t>
  </si>
  <si>
    <t>New York : Vintage Books, c1998.</t>
  </si>
  <si>
    <t>1st Vintage Books ed.</t>
  </si>
  <si>
    <t>2008-02-10</t>
  </si>
  <si>
    <t>2004-03-22</t>
  </si>
  <si>
    <t>3858020087:eng</t>
  </si>
  <si>
    <t>39162273</t>
  </si>
  <si>
    <t>991004257099702656</t>
  </si>
  <si>
    <t>2269416460002656</t>
  </si>
  <si>
    <t>9780375700996</t>
  </si>
  <si>
    <t>32285004895453</t>
  </si>
  <si>
    <t>893325133</t>
  </si>
  <si>
    <t>RC268.3 .U53 1993</t>
  </si>
  <si>
    <t>0                      RC 0268300U  53          1993</t>
  </si>
  <si>
    <t>The Underlying molecular, cellular, and immunological factors in cancer and aging / edited by Stringner Sue Yang and Huber R. Warner.</t>
  </si>
  <si>
    <t>New York : Plenum Press, c1993.</t>
  </si>
  <si>
    <t>Advances in experimental medicine and biology ; v. 330</t>
  </si>
  <si>
    <t>1999-10-12</t>
  </si>
  <si>
    <t>1994-06-02</t>
  </si>
  <si>
    <t>365574711:eng</t>
  </si>
  <si>
    <t>27978568</t>
  </si>
  <si>
    <t>991002174899702656</t>
  </si>
  <si>
    <t>2259674480002656</t>
  </si>
  <si>
    <t>9780306444111</t>
  </si>
  <si>
    <t>32285001920700</t>
  </si>
  <si>
    <t>893244855</t>
  </si>
  <si>
    <t>RC268.4 .C49 1983</t>
  </si>
  <si>
    <t>0                      RC 0268400C  49          1983</t>
  </si>
  <si>
    <t>Chromosomes and cancer : from molecules to man / edited by Janet D. Rowley, John E. Ultmann.</t>
  </si>
  <si>
    <t>Bristol-Myers cancer symposia ; 5</t>
  </si>
  <si>
    <t>1992-02-07</t>
  </si>
  <si>
    <t>365949435:eng</t>
  </si>
  <si>
    <t>9622345</t>
  </si>
  <si>
    <t>991000228239702656</t>
  </si>
  <si>
    <t>2269309860002656</t>
  </si>
  <si>
    <t>9780126002508</t>
  </si>
  <si>
    <t>32285000943083</t>
  </si>
  <si>
    <t>893230979</t>
  </si>
  <si>
    <t>RC268.4 .G42 1984</t>
  </si>
  <si>
    <t>0                      RC 0268400G  42          1984</t>
  </si>
  <si>
    <t>Gene transfer and cancer / editors, Mark L. Pearson and Nat L. Sternberg.</t>
  </si>
  <si>
    <t>New York : Raven Press, c1984.</t>
  </si>
  <si>
    <t>Progress in cancer research and therapy ; v. 30</t>
  </si>
  <si>
    <t>355921786:eng</t>
  </si>
  <si>
    <t>10456879</t>
  </si>
  <si>
    <t>991000374259702656</t>
  </si>
  <si>
    <t>2262672420002656</t>
  </si>
  <si>
    <t>9780890048993</t>
  </si>
  <si>
    <t>32285000943091</t>
  </si>
  <si>
    <t>893601688</t>
  </si>
  <si>
    <t>RC268.4 .G444 1984</t>
  </si>
  <si>
    <t>0                      RC 0268400G  444         1984</t>
  </si>
  <si>
    <t>Genetic and phenotypic markers of tumors / edited by Stuart A. Aaronson, Luigi Frati, and Roberto Verna.</t>
  </si>
  <si>
    <t>New York : Plenum Press, c1984.</t>
  </si>
  <si>
    <t>1992-11-07</t>
  </si>
  <si>
    <t>4163496:eng</t>
  </si>
  <si>
    <t>11187729</t>
  </si>
  <si>
    <t>991000503269702656</t>
  </si>
  <si>
    <t>2263455770002656</t>
  </si>
  <si>
    <t>9780306418174</t>
  </si>
  <si>
    <t>32285001383131</t>
  </si>
  <si>
    <t>893314993</t>
  </si>
  <si>
    <t>RC268.4 .G46</t>
  </si>
  <si>
    <t>0                      RC 0268400G  46</t>
  </si>
  <si>
    <t>Genetics of human cancer / edited by John J. Mulvihill, Robert W. Miller, Joseph F. Fraumeni, Jr.</t>
  </si>
  <si>
    <t>New York : Raven Press, 1977.</t>
  </si>
  <si>
    <t>Progress in cancer research and therapy ; v. 3</t>
  </si>
  <si>
    <t>7120382:eng</t>
  </si>
  <si>
    <t>2940000</t>
  </si>
  <si>
    <t>991004289719702656</t>
  </si>
  <si>
    <t>2272438960002656</t>
  </si>
  <si>
    <t>9780890041109</t>
  </si>
  <si>
    <t>32285000946128</t>
  </si>
  <si>
    <t>893331412</t>
  </si>
  <si>
    <t>RC268.4 .G46 1995</t>
  </si>
  <si>
    <t>0                      RC 0268400G  46          1995</t>
  </si>
  <si>
    <t>Genetics and cancer : a second look / guest editors, B.A.J. Ponder, W.K. Cavenee, and E. Solomon.</t>
  </si>
  <si>
    <t>Oxford, U.K. : Published for the Imperial Cancer Research Fund by Oxford University Press ; Plainview, NY : Cold Spring Harbor Laboratory Press, 1995.</t>
  </si>
  <si>
    <t>xxu</t>
  </si>
  <si>
    <t>Cancer surveys ; v. 25</t>
  </si>
  <si>
    <t>1999-10-05</t>
  </si>
  <si>
    <t>1996-02-21</t>
  </si>
  <si>
    <t>794993950:eng</t>
  </si>
  <si>
    <t>34089575</t>
  </si>
  <si>
    <t>991002602429702656</t>
  </si>
  <si>
    <t>2270391130002656</t>
  </si>
  <si>
    <t>9780879694692</t>
  </si>
  <si>
    <t>32285002136876</t>
  </si>
  <si>
    <t>893710470</t>
  </si>
  <si>
    <t>RC268.4 .P56 1986</t>
  </si>
  <si>
    <t>0                      RC 0268400P  56          1986</t>
  </si>
  <si>
    <t>Oncogenes / author, Enrique Pimentel.</t>
  </si>
  <si>
    <t>Pimentel, Enrique.</t>
  </si>
  <si>
    <t>Boca Raton, Fla. : CRC Press, c1986.</t>
  </si>
  <si>
    <t>5464776:eng</t>
  </si>
  <si>
    <t>12911028</t>
  </si>
  <si>
    <t>991001784319702656</t>
  </si>
  <si>
    <t>2255395500002656</t>
  </si>
  <si>
    <t>9780849365669</t>
  </si>
  <si>
    <t>32285000107549</t>
  </si>
  <si>
    <t>893697033</t>
  </si>
  <si>
    <t>RC268.4 .S3</t>
  </si>
  <si>
    <t>0                      RC 0268400S  3</t>
  </si>
  <si>
    <t>Genetics and cancer in man / R. Neil Schimke ; foreword by Alan E. H. Emery.</t>
  </si>
  <si>
    <t>Schimke, R. Neil, 1935-</t>
  </si>
  <si>
    <t>Edinburgh ; New York : Churchill Livingstone ; distributed in the U. S. by Longman, 1978.</t>
  </si>
  <si>
    <t>Genetics in medicine and surgery</t>
  </si>
  <si>
    <t>15028059:eng</t>
  </si>
  <si>
    <t>4723810</t>
  </si>
  <si>
    <t>991004707049702656</t>
  </si>
  <si>
    <t>2263310680002656</t>
  </si>
  <si>
    <t>9780443016738</t>
  </si>
  <si>
    <t>32285000107556</t>
  </si>
  <si>
    <t>893807376</t>
  </si>
  <si>
    <t>RC268.4 .S95 1982</t>
  </si>
  <si>
    <t>0                      RC 0268400S  95          1982</t>
  </si>
  <si>
    <t>Perspectives on genes and the molecular biology of cancer / edited by Donald L. Robberson, Grady F. Saunders ; the University of Texas, M.D. Anderson Hospital and Tumor Institute at Houston, 35th Annual Symposium on Fundamental Cancer Research.</t>
  </si>
  <si>
    <t>Symposium on Fundamental Cancer Research (35th : 1982 : M.D. Anderson Hospital and Tumor Institute)</t>
  </si>
  <si>
    <t>New York : Raven Press, c1983.</t>
  </si>
  <si>
    <t>43247772:eng</t>
  </si>
  <si>
    <t>8846251</t>
  </si>
  <si>
    <t>991000083189702656</t>
  </si>
  <si>
    <t>2255060780002656</t>
  </si>
  <si>
    <t>9780890047712</t>
  </si>
  <si>
    <t>32285000107564</t>
  </si>
  <si>
    <t>893230857</t>
  </si>
  <si>
    <t>RC268.42 .B87 1988</t>
  </si>
  <si>
    <t>0                      RC 0268420B  87          1988</t>
  </si>
  <si>
    <t>Oncogenes : an introduction to the concept of cancer genes / Kathy B. Burck, Edison T. Liu, James W. Larrick ; with a foreword by Joshua Lederberg.</t>
  </si>
  <si>
    <t>Burck, Kathy B.</t>
  </si>
  <si>
    <t>New York : Springer-Verlag, 1988.</t>
  </si>
  <si>
    <t>2000-04-15</t>
  </si>
  <si>
    <t>1995-08-09</t>
  </si>
  <si>
    <t>197868586:eng</t>
  </si>
  <si>
    <t>16832519</t>
  </si>
  <si>
    <t>991001798759702656</t>
  </si>
  <si>
    <t>2257177890002656</t>
  </si>
  <si>
    <t>9780387964232</t>
  </si>
  <si>
    <t>32285000107572</t>
  </si>
  <si>
    <t>893522869</t>
  </si>
  <si>
    <t>RC268.42 .C66 1990</t>
  </si>
  <si>
    <t>0                      RC 0268420C  66          1990</t>
  </si>
  <si>
    <t>Oncogenes / Geoffrey M. Cooper.</t>
  </si>
  <si>
    <t>Cooper, Geoffrey M.</t>
  </si>
  <si>
    <t>Boston : Jones and Bartlett Publishers, c1990.</t>
  </si>
  <si>
    <t>The Jones and Bartlett series in biology</t>
  </si>
  <si>
    <t>1991-02-20</t>
  </si>
  <si>
    <t>3901265809:eng</t>
  </si>
  <si>
    <t>20852974</t>
  </si>
  <si>
    <t>991001626429702656</t>
  </si>
  <si>
    <t>2264865210002656</t>
  </si>
  <si>
    <t>9780867201369</t>
  </si>
  <si>
    <t>32285000490218</t>
  </si>
  <si>
    <t>893509732</t>
  </si>
  <si>
    <t>RC268.42 .H48 1994</t>
  </si>
  <si>
    <t>0                      RC 0268420H  48          1994</t>
  </si>
  <si>
    <t>The Oncogene handbook / Robin Hesketh.</t>
  </si>
  <si>
    <t>Hesketh, Robin.</t>
  </si>
  <si>
    <t>London ; San Diego : Academic Press, c1994.</t>
  </si>
  <si>
    <t>1994-08-08</t>
  </si>
  <si>
    <t>3749182237:eng</t>
  </si>
  <si>
    <t>30566667</t>
  </si>
  <si>
    <t>991002347359702656</t>
  </si>
  <si>
    <t>2264421210002656</t>
  </si>
  <si>
    <t>9780123445551</t>
  </si>
  <si>
    <t>32285001941771</t>
  </si>
  <si>
    <t>893328962</t>
  </si>
  <si>
    <t>RC268.44.P16 M85 1995</t>
  </si>
  <si>
    <t>0                      RC 0268440P  16                 M  85          1995</t>
  </si>
  <si>
    <t>p53 suppressor gene / Tapas Mukhopadhyay, Steven A. Maxwell, Jack A. Roth.</t>
  </si>
  <si>
    <t>Mukhopadhyay, Tapas.</t>
  </si>
  <si>
    <t>Austin, Tex. : R.G. Landes Co., c1995.</t>
  </si>
  <si>
    <t>Molecular biology intelligence unit</t>
  </si>
  <si>
    <t>2002-03-02</t>
  </si>
  <si>
    <t>1995-06-07</t>
  </si>
  <si>
    <t>33619906:eng</t>
  </si>
  <si>
    <t>32051331</t>
  </si>
  <si>
    <t>991002459839702656</t>
  </si>
  <si>
    <t>2270260150002656</t>
  </si>
  <si>
    <t>9781570592126</t>
  </si>
  <si>
    <t>32285002050747</t>
  </si>
  <si>
    <t>893867244</t>
  </si>
  <si>
    <t>RC268.5 .C324 1986</t>
  </si>
  <si>
    <t>0                      RC 0268500C  324         1986</t>
  </si>
  <si>
    <t>Cancer biology / with introductions by Errol C. Friedberg.</t>
  </si>
  <si>
    <t>New York : W.H. Freeman, c1986.</t>
  </si>
  <si>
    <t>2009-02-21</t>
  </si>
  <si>
    <t>1990-02-28</t>
  </si>
  <si>
    <t>3855372959:eng</t>
  </si>
  <si>
    <t>12049934</t>
  </si>
  <si>
    <t>991005405219702656</t>
  </si>
  <si>
    <t>2256305100002656</t>
  </si>
  <si>
    <t>9780716717751</t>
  </si>
  <si>
    <t>32285000072370</t>
  </si>
  <si>
    <t>893783629</t>
  </si>
  <si>
    <t>RC268.5 .D54</t>
  </si>
  <si>
    <t>0                      RC 0268500D  54</t>
  </si>
  <si>
    <t>Differentiation of normal and neoplastic hematopoietic cells / edited by Bayard Clarkson, Paul A. Marks, James E. Till.</t>
  </si>
  <si>
    <t>Cold Spring Harbor, N.Y. : Cold Spring Harbor Laboratory, 1978.</t>
  </si>
  <si>
    <t>Cold Spring Harbor conferences on cell proliferation ; v. 5</t>
  </si>
  <si>
    <t>355528088:eng</t>
  </si>
  <si>
    <t>4055892</t>
  </si>
  <si>
    <t>991004578309702656</t>
  </si>
  <si>
    <t>2272094550002656</t>
  </si>
  <si>
    <t>9780879691219</t>
  </si>
  <si>
    <t>32285001589174</t>
  </si>
  <si>
    <t>893532553</t>
  </si>
  <si>
    <t>32285001589182</t>
  </si>
  <si>
    <t>893532552</t>
  </si>
  <si>
    <t>RC268.5 .O74</t>
  </si>
  <si>
    <t>0                      RC 0268500O  74</t>
  </si>
  <si>
    <t>Origins of human cancer / edited by H. H. Hiatt, J. D. Watson, J. A. Winsten.</t>
  </si>
  <si>
    <t>[Cold Spring Harbor, N.Y.] : Cold Spring Harbor Laboratory, 1977.</t>
  </si>
  <si>
    <t>Cold Spring Harbor conferences on cell proliferation ; v. 4</t>
  </si>
  <si>
    <t>2866614271:eng</t>
  </si>
  <si>
    <t>3602074</t>
  </si>
  <si>
    <t>991005264419702656</t>
  </si>
  <si>
    <t>2268185640002656</t>
  </si>
  <si>
    <t>9780879691196</t>
  </si>
  <si>
    <t>32285000031293</t>
  </si>
  <si>
    <t>893783311</t>
  </si>
  <si>
    <t>V. 3</t>
  </si>
  <si>
    <t>32285000031319</t>
  </si>
  <si>
    <t>893789706</t>
  </si>
  <si>
    <t>V. 2</t>
  </si>
  <si>
    <t>32285000031301</t>
  </si>
  <si>
    <t>893783310</t>
  </si>
  <si>
    <t>RC268.5 .S74 1993</t>
  </si>
  <si>
    <t>0                      RC 0268500S  74          1993</t>
  </si>
  <si>
    <t>A conspiracy of cells : the basic science of cancer / R. Grant Steen.</t>
  </si>
  <si>
    <t>Steen, R. Grant.</t>
  </si>
  <si>
    <t>New York: Plenum Press, c1993.</t>
  </si>
  <si>
    <t>1994-04-13</t>
  </si>
  <si>
    <t>20752002:eng</t>
  </si>
  <si>
    <t>28410504</t>
  </si>
  <si>
    <t>991002208009702656</t>
  </si>
  <si>
    <t>2266853240002656</t>
  </si>
  <si>
    <t>9780306445064</t>
  </si>
  <si>
    <t>32285001859932</t>
  </si>
  <si>
    <t>893697477</t>
  </si>
  <si>
    <t>RC268.5 .S827 1994</t>
  </si>
  <si>
    <t>0                      RC 0268500S  827         1994</t>
  </si>
  <si>
    <t>The molecular mechanisms of cancer predisposition / Neil F. Sullivan, Anne E. Willis.</t>
  </si>
  <si>
    <t>Sullivan, Neil F., 1959-</t>
  </si>
  <si>
    <t>Austin, Tex. : R.G. Landes Co. ; Boca Raton, FL : CRC Press, distributor, c1994.</t>
  </si>
  <si>
    <t>1995-07-14</t>
  </si>
  <si>
    <t>33428180:eng</t>
  </si>
  <si>
    <t>31377231</t>
  </si>
  <si>
    <t>991002411599702656</t>
  </si>
  <si>
    <t>2256144180002656</t>
  </si>
  <si>
    <t>9781570591938</t>
  </si>
  <si>
    <t>32285002054210</t>
  </si>
  <si>
    <t>893498082</t>
  </si>
  <si>
    <t>RC268.6 .C365 1982, v...</t>
  </si>
  <si>
    <t>0                      RC 0268600C  365         1982                                        v...</t>
  </si>
  <si>
    <t>Carcinogens and mutagens in the environment / editor, Hans F. Stich.</t>
  </si>
  <si>
    <t>V.4</t>
  </si>
  <si>
    <t>Boca Raton, Fla. : CRC Press, c1982-</t>
  </si>
  <si>
    <t>1993-03-18</t>
  </si>
  <si>
    <t>2999626790:eng</t>
  </si>
  <si>
    <t>8113021</t>
  </si>
  <si>
    <t>991005205139702656</t>
  </si>
  <si>
    <t>2256687560002656</t>
  </si>
  <si>
    <t>9780849358814</t>
  </si>
  <si>
    <t>32285001589240</t>
  </si>
  <si>
    <t>893810914</t>
  </si>
  <si>
    <t>V.3</t>
  </si>
  <si>
    <t>32285001589232</t>
  </si>
  <si>
    <t>893810915</t>
  </si>
  <si>
    <t>32285001589224</t>
  </si>
  <si>
    <t>893795778</t>
  </si>
  <si>
    <t>32285001589216</t>
  </si>
  <si>
    <t>893777028</t>
  </si>
  <si>
    <t>RC268.65 .E59 1987</t>
  </si>
  <si>
    <t>0                      RC 0268650E  59          1987</t>
  </si>
  <si>
    <t>Enzyme induction, mutagen activation, and carcinogen testing in yeast / editor, Alan Wiseman.</t>
  </si>
  <si>
    <t>Chichester, West Sussex, England : Ellis Horwood ; New York : Halsted Press, 1987.</t>
  </si>
  <si>
    <t>Ellis Horwood books in the biological sciences</t>
  </si>
  <si>
    <t>2002-02-04</t>
  </si>
  <si>
    <t>10165499:eng</t>
  </si>
  <si>
    <t>15519395</t>
  </si>
  <si>
    <t>991001031989702656</t>
  </si>
  <si>
    <t>2265202040002656</t>
  </si>
  <si>
    <t>9780470208564</t>
  </si>
  <si>
    <t>32285001589281</t>
  </si>
  <si>
    <t>893772245</t>
  </si>
  <si>
    <t>RC270 .A78 2001</t>
  </si>
  <si>
    <t>0                      RC 0270000A  78          2001</t>
  </si>
  <si>
    <t>Artificial neural networks in cancer diagnosis, prognosis, and patient management / edited by Raouf N.G. Naguib, Gajanan V. Sherbet.</t>
  </si>
  <si>
    <t>Boca Raton : CRC Press, 2001.</t>
  </si>
  <si>
    <t>Biomedical engineering series</t>
  </si>
  <si>
    <t>2002-04-22</t>
  </si>
  <si>
    <t>766862866:eng</t>
  </si>
  <si>
    <t>46402503</t>
  </si>
  <si>
    <t>991003754439702656</t>
  </si>
  <si>
    <t>2263805890002656</t>
  </si>
  <si>
    <t>9780849396922</t>
  </si>
  <si>
    <t>32285004479308</t>
  </si>
  <si>
    <t>893881503</t>
  </si>
  <si>
    <t>RC270.8 .F46 1988</t>
  </si>
  <si>
    <t>0                      RC 0270800F  46          1988</t>
  </si>
  <si>
    <t>The diffusion of medical innovations : an applied network analysis / Mary L. Fennell and Richard B. Warnecke.</t>
  </si>
  <si>
    <t>Fennell, Mary L.</t>
  </si>
  <si>
    <t>New York : Plenum Press, c1988.</t>
  </si>
  <si>
    <t>Environment, development, and public policy. Public policy and social services</t>
  </si>
  <si>
    <t>1992-11-23</t>
  </si>
  <si>
    <t>16076014:eng</t>
  </si>
  <si>
    <t>17441508</t>
  </si>
  <si>
    <t>991001219179702656</t>
  </si>
  <si>
    <t>2260706070002656</t>
  </si>
  <si>
    <t>9780306427527</t>
  </si>
  <si>
    <t>32285001408391</t>
  </si>
  <si>
    <t>893872381</t>
  </si>
  <si>
    <t>RC271.I46 E33</t>
  </si>
  <si>
    <t>0                      RC 0271000I  46                 E  33</t>
  </si>
  <si>
    <t>Interferon : the new hope for cancer / Mike Edelhart, with Jean Lindenmann.</t>
  </si>
  <si>
    <t>Edelhart, Mike.</t>
  </si>
  <si>
    <t>Reading, Mass. : Addison-Wesley Pub. Co., c1981.</t>
  </si>
  <si>
    <t>416863:eng</t>
  </si>
  <si>
    <t>7307212</t>
  </si>
  <si>
    <t>991005103049702656</t>
  </si>
  <si>
    <t>2259548530002656</t>
  </si>
  <si>
    <t>9780201039436</t>
  </si>
  <si>
    <t>32285001589307</t>
  </si>
  <si>
    <t>893437160</t>
  </si>
  <si>
    <t>RC275 .R37 1978</t>
  </si>
  <si>
    <t>0                      RC 0275000R  37          1978</t>
  </si>
  <si>
    <t>The genesis of cancer : a study in the history of ideas / L. J. Rather.</t>
  </si>
  <si>
    <t>Rather, L. J.</t>
  </si>
  <si>
    <t>Baltimore : Johns Hopkins University Press, c1978.</t>
  </si>
  <si>
    <t>1995-10-09</t>
  </si>
  <si>
    <t>11812014:eng</t>
  </si>
  <si>
    <t>3707901</t>
  </si>
  <si>
    <t>991004498719702656</t>
  </si>
  <si>
    <t>2265556960002656</t>
  </si>
  <si>
    <t>9780801821035</t>
  </si>
  <si>
    <t>32285001589315</t>
  </si>
  <si>
    <t>893624797</t>
  </si>
  <si>
    <t>RC276 .P76 1995</t>
  </si>
  <si>
    <t>0                      RC 0276000P  76          1995</t>
  </si>
  <si>
    <t>Cancer wars : how politics shapes what we know and don't know about cancer / Robert N. Proctor.</t>
  </si>
  <si>
    <t>New York : BasicBooks, c1995.</t>
  </si>
  <si>
    <t>1997-10-12</t>
  </si>
  <si>
    <t>1995-10-11</t>
  </si>
  <si>
    <t>892601978:eng</t>
  </si>
  <si>
    <t>31291134</t>
  </si>
  <si>
    <t>991002405759702656</t>
  </si>
  <si>
    <t>2265947860002656</t>
  </si>
  <si>
    <t>9780465027569</t>
  </si>
  <si>
    <t>32285001415818</t>
  </si>
  <si>
    <t>893498074</t>
  </si>
  <si>
    <t>RC279.6.L47 A3 1990</t>
  </si>
  <si>
    <t>0                      RC 0279600L  47                 A  3           1990</t>
  </si>
  <si>
    <t>Wrestling with the angel : a memoir of my triumph over illness / Max Lerner.</t>
  </si>
  <si>
    <t>Lerner, Max, 1902-1992.</t>
  </si>
  <si>
    <t>New York : Norton, 1990.</t>
  </si>
  <si>
    <t>2000-04-18</t>
  </si>
  <si>
    <t>1990-07-05</t>
  </si>
  <si>
    <t>196651628:eng</t>
  </si>
  <si>
    <t>20670310</t>
  </si>
  <si>
    <t>991001600579702656</t>
  </si>
  <si>
    <t>2261754750002656</t>
  </si>
  <si>
    <t>9780393028461</t>
  </si>
  <si>
    <t>32285000207620</t>
  </si>
  <si>
    <t>893346620</t>
  </si>
  <si>
    <t>RC280.B8 H36 1996</t>
  </si>
  <si>
    <t>0                      RC 0280000B  8                  H  36          1996</t>
  </si>
  <si>
    <t>The politics of breast cancer screening / Alison Hann.</t>
  </si>
  <si>
    <t>Hann, Alison.</t>
  </si>
  <si>
    <t>Aldershot, Hants, England ; Brookfield, Vt. : Avebury, c1996.</t>
  </si>
  <si>
    <t>2001-03-14</t>
  </si>
  <si>
    <t>2000-01-12</t>
  </si>
  <si>
    <t>39934528:eng</t>
  </si>
  <si>
    <t>34918003</t>
  </si>
  <si>
    <t>991002669789702656</t>
  </si>
  <si>
    <t>2260260290002656</t>
  </si>
  <si>
    <t>9781859723234</t>
  </si>
  <si>
    <t>32285003640827</t>
  </si>
  <si>
    <t>893721563</t>
  </si>
  <si>
    <t>RC280.B8 H65</t>
  </si>
  <si>
    <t>0                      RC 0280000B  8                  H  65</t>
  </si>
  <si>
    <t>Hormones and breast cancer / edited by Malcolm C. Pike, Pentti K. Siiteri, Clifford W. Welsh.</t>
  </si>
  <si>
    <t>Cold Spring Harbor, N.Y. : Cold Spring Harbor Laboratory, 1981.</t>
  </si>
  <si>
    <t>Banbury report ; 8</t>
  </si>
  <si>
    <t>427134969:eng</t>
  </si>
  <si>
    <t>7172003</t>
  </si>
  <si>
    <t>991005081029702656</t>
  </si>
  <si>
    <t>2255698500002656</t>
  </si>
  <si>
    <t>9780879692070</t>
  </si>
  <si>
    <t>32285000072396</t>
  </si>
  <si>
    <t>893424513</t>
  </si>
  <si>
    <t>RC280.B8 K33 2000</t>
  </si>
  <si>
    <t>0                      RC 0280000B  8                  K  33          2000</t>
  </si>
  <si>
    <t>Breast cancer : its link to abortion and the birth control pill / Chris Kahlenborn.</t>
  </si>
  <si>
    <t>Kahlenborn, Chris.</t>
  </si>
  <si>
    <t>Dayton, Ohio : One More Soul, c2000.</t>
  </si>
  <si>
    <t>ohu</t>
  </si>
  <si>
    <t>2007-09-18</t>
  </si>
  <si>
    <t>2002-08-13</t>
  </si>
  <si>
    <t>1083527:eng</t>
  </si>
  <si>
    <t>45964938</t>
  </si>
  <si>
    <t>991003856569702656</t>
  </si>
  <si>
    <t>2258732220002656</t>
  </si>
  <si>
    <t>9780966977738</t>
  </si>
  <si>
    <t>32285004642848</t>
  </si>
  <si>
    <t>893806313</t>
  </si>
  <si>
    <t>RC280.B8 L37 1999</t>
  </si>
  <si>
    <t>0                      RC 0280000B  8                  L  37          1999</t>
  </si>
  <si>
    <t>A darker ribbon : breast cancer, women, and their doctors in the twentieth century / Ellen Leopold.</t>
  </si>
  <si>
    <t>Leopold, Ellen, 1944-</t>
  </si>
  <si>
    <t>Boston, Mass. : Beacon Press, c1999.</t>
  </si>
  <si>
    <t>2000-07-19</t>
  </si>
  <si>
    <t>1004827:eng</t>
  </si>
  <si>
    <t>41278406</t>
  </si>
  <si>
    <t>991003207029702656</t>
  </si>
  <si>
    <t>2267561510002656</t>
  </si>
  <si>
    <t>9780807065129</t>
  </si>
  <si>
    <t>32285003740791</t>
  </si>
  <si>
    <t>893686297</t>
  </si>
  <si>
    <t>RC280.B8 P66 2010</t>
  </si>
  <si>
    <t>0                      RC 0280000B  8                  P  66          2010</t>
  </si>
  <si>
    <t>Previvors : facing the breast cancer gene and making life-changing decisions / Dina Roth Port ; [foreword by Ken Offit].</t>
  </si>
  <si>
    <t>Port, Dina Roth.</t>
  </si>
  <si>
    <t>New York : Avery, c2010.</t>
  </si>
  <si>
    <t>2010-10-25</t>
  </si>
  <si>
    <t>398207398:eng</t>
  </si>
  <si>
    <t>526057547</t>
  </si>
  <si>
    <t>991000169339702656</t>
  </si>
  <si>
    <t>2256619540002656</t>
  </si>
  <si>
    <t>9781583334058</t>
  </si>
  <si>
    <t>32285005602601</t>
  </si>
  <si>
    <t>893620266</t>
  </si>
  <si>
    <t>RC280.B8 S72 1997</t>
  </si>
  <si>
    <t>0                      RC 0280000B  8                  S  72          1997</t>
  </si>
  <si>
    <t>To dance with the devil : the new war on breast cancer / Karen Stabiner.</t>
  </si>
  <si>
    <t>Stabiner, Karen.</t>
  </si>
  <si>
    <t>New York : Delacorte Press, 1997.</t>
  </si>
  <si>
    <t>2001-11-26</t>
  </si>
  <si>
    <t>1997-06-30</t>
  </si>
  <si>
    <t>535245:eng</t>
  </si>
  <si>
    <t>35262451</t>
  </si>
  <si>
    <t>991002701059702656</t>
  </si>
  <si>
    <t>2264225060002656</t>
  </si>
  <si>
    <t>9780385312844</t>
  </si>
  <si>
    <t>32285002754066</t>
  </si>
  <si>
    <t>893341741</t>
  </si>
  <si>
    <t>RC280.L9 H347 2001</t>
  </si>
  <si>
    <t>0                      RC 0280000L  9                  H  347         2001</t>
  </si>
  <si>
    <t>Six months to live : learning from a young man with cancer / Daniel Hallock.</t>
  </si>
  <si>
    <t>Hallock, D. (Daniel)</t>
  </si>
  <si>
    <t>Farmington, PA : Plough Pub. House, c2001.</t>
  </si>
  <si>
    <t>2010-03-03</t>
  </si>
  <si>
    <t>2006-09-07</t>
  </si>
  <si>
    <t>2548405597:eng</t>
  </si>
  <si>
    <t>45418882</t>
  </si>
  <si>
    <t>991004914299702656</t>
  </si>
  <si>
    <t>2268597750002656</t>
  </si>
  <si>
    <t>9780874869033</t>
  </si>
  <si>
    <t>32285005222038</t>
  </si>
  <si>
    <t>893628414</t>
  </si>
  <si>
    <t>RC281.C4 B66 1989</t>
  </si>
  <si>
    <t>0                      RC 0281000C  4                  B  66          1989</t>
  </si>
  <si>
    <t>I want to grow hair, I want to grow up, I want to go to Boise : children surviving cancer / by Erma Bombeck.</t>
  </si>
  <si>
    <t>Bombeck, Erma.</t>
  </si>
  <si>
    <t>New York, N.Y. : Harper &amp; Row, 1989.</t>
  </si>
  <si>
    <t>2007-10-17</t>
  </si>
  <si>
    <t>1989-11-06</t>
  </si>
  <si>
    <t>21293812:eng</t>
  </si>
  <si>
    <t>19811666</t>
  </si>
  <si>
    <t>991001502119702656</t>
  </si>
  <si>
    <t>2262800810002656</t>
  </si>
  <si>
    <t>9780060161705</t>
  </si>
  <si>
    <t>32285000011709</t>
  </si>
  <si>
    <t>893596515</t>
  </si>
  <si>
    <t>RC281.C4 C45</t>
  </si>
  <si>
    <t>0                      RC 0281000C  4                  C  45</t>
  </si>
  <si>
    <t>The Child with cancer : clinical approaches to psychosocial care--research in psychosocial aspects / edited by Jerome L. Schulman and Mary Jo Kupst.</t>
  </si>
  <si>
    <t>Springfield, Ill. : Thomas, c1980.</t>
  </si>
  <si>
    <t>1992-04-16</t>
  </si>
  <si>
    <t>425270531:eng</t>
  </si>
  <si>
    <t>5101888</t>
  </si>
  <si>
    <t>991004778519702656</t>
  </si>
  <si>
    <t>2259029080002656</t>
  </si>
  <si>
    <t>9780398039448</t>
  </si>
  <si>
    <t>32285001070043</t>
  </si>
  <si>
    <t>893594098</t>
  </si>
  <si>
    <t>RC281.C4 K64</t>
  </si>
  <si>
    <t>0                      RC 0281000C  4                  K  64</t>
  </si>
  <si>
    <t>The Damocles syndrome : psychosocial consequences of surviving childhood cancer / Gerald P. Koocher and John E. O'Malley.</t>
  </si>
  <si>
    <t>Koocher, Gerald P.</t>
  </si>
  <si>
    <t>New York : McGraw-Hill, c1981.</t>
  </si>
  <si>
    <t>1994-11-06</t>
  </si>
  <si>
    <t>20708452:eng</t>
  </si>
  <si>
    <t>6761708</t>
  </si>
  <si>
    <t>991005036269702656</t>
  </si>
  <si>
    <t>2261249340002656</t>
  </si>
  <si>
    <t>9780070353404</t>
  </si>
  <si>
    <t>32285001589364</t>
  </si>
  <si>
    <t>893889578</t>
  </si>
  <si>
    <t>RC281.C4 P445 1994</t>
  </si>
  <si>
    <t>0                      RC 0281000C  4                  P  445         1994</t>
  </si>
  <si>
    <t>Pediatric psychooncology : psychological perspectives on children with cancer / edited by David J. Bearison, Raymond K. Mulhern.</t>
  </si>
  <si>
    <t>1996-03-01</t>
  </si>
  <si>
    <t>802334324:eng</t>
  </si>
  <si>
    <t>28112134</t>
  </si>
  <si>
    <t>991002182739702656</t>
  </si>
  <si>
    <t>2259001820002656</t>
  </si>
  <si>
    <t>9780195079319</t>
  </si>
  <si>
    <t>32285002138963</t>
  </si>
  <si>
    <t>893510402</t>
  </si>
  <si>
    <t>RC281.W65 W64 1987</t>
  </si>
  <si>
    <t>0                      RC 0281000W  65                 W  64          1987</t>
  </si>
  <si>
    <t>Women and cancer / Steven D. Stellman, editor.</t>
  </si>
  <si>
    <t>New York : Haworth Press, c1987.</t>
  </si>
  <si>
    <t>1994-10-25</t>
  </si>
  <si>
    <t>1990-04-20</t>
  </si>
  <si>
    <t>54878912:eng</t>
  </si>
  <si>
    <t>14519690</t>
  </si>
  <si>
    <t>991000944719702656</t>
  </si>
  <si>
    <t>2254790560002656</t>
  </si>
  <si>
    <t>9780866566131</t>
  </si>
  <si>
    <t>32285000104439</t>
  </si>
  <si>
    <t>893225467</t>
  </si>
  <si>
    <t>RC289 .P5</t>
  </si>
  <si>
    <t>0                      RC 0289000P  5</t>
  </si>
  <si>
    <t>Your arthritis: what you can do about it, with an introduction by R. Garfield Snyder, M.D.; illustrations by James MacDonald.</t>
  </si>
  <si>
    <t>Phelps, Alfred E. (Alfred Edward), 1887-</t>
  </si>
  <si>
    <t>New York, W. Morrow and company, 1943, 1945 printing.</t>
  </si>
  <si>
    <t>2320529:eng</t>
  </si>
  <si>
    <t>1314702</t>
  </si>
  <si>
    <t>991003686169702656</t>
  </si>
  <si>
    <t>2270443420002656</t>
  </si>
  <si>
    <t>32285001589380</t>
  </si>
  <si>
    <t>893806093</t>
  </si>
  <si>
    <t>RC310 .C35 1988</t>
  </si>
  <si>
    <t>0                      RC 0310000C  35          1988</t>
  </si>
  <si>
    <t>The last crusade : the war on consumption, 1862-1954 / by Mark Caldwell.</t>
  </si>
  <si>
    <t>Caldwell, Mark.</t>
  </si>
  <si>
    <t>New York : Atheneum, 1988.</t>
  </si>
  <si>
    <t>1996-04-12</t>
  </si>
  <si>
    <t>13387204:eng</t>
  </si>
  <si>
    <t>16713633</t>
  </si>
  <si>
    <t>991001136299702656</t>
  </si>
  <si>
    <t>2263837990002656</t>
  </si>
  <si>
    <t>9780689118104</t>
  </si>
  <si>
    <t>32285001589406</t>
  </si>
  <si>
    <t>893426351</t>
  </si>
  <si>
    <t>RC310 .D82</t>
  </si>
  <si>
    <t>0                      RC 0310000D  82</t>
  </si>
  <si>
    <t>The white plague : tuberculosis, man and society / by Rene and Jean Dubos.</t>
  </si>
  <si>
    <t>Dubos, René J. (René Jules), 1901-1982.</t>
  </si>
  <si>
    <t>Boston : Little, Brown, [1952]</t>
  </si>
  <si>
    <t>1952</t>
  </si>
  <si>
    <t>[1st ed.]</t>
  </si>
  <si>
    <t>2003-07-28</t>
  </si>
  <si>
    <t>1990-02-22</t>
  </si>
  <si>
    <t>48532444:eng</t>
  </si>
  <si>
    <t>1171830</t>
  </si>
  <si>
    <t>991003589639702656</t>
  </si>
  <si>
    <t>2267535880002656</t>
  </si>
  <si>
    <t>32285000060581</t>
  </si>
  <si>
    <t>893711525</t>
  </si>
  <si>
    <t>RC312 .R454 2002</t>
  </si>
  <si>
    <t>0                      RC 0312000R  454         2002</t>
  </si>
  <si>
    <t>Timebomb : the global epidemic of multi-drug-resistant tuberculosis / Lee B. Reichman with Janice Hopkins Tanne.</t>
  </si>
  <si>
    <t>Reichman, Lee B., 1938-</t>
  </si>
  <si>
    <t>New York : McGraw-Hill, c2002.</t>
  </si>
  <si>
    <t>2003-06-09</t>
  </si>
  <si>
    <t>793903081:eng</t>
  </si>
  <si>
    <t>44852109</t>
  </si>
  <si>
    <t>991004050699702656</t>
  </si>
  <si>
    <t>2259975150002656</t>
  </si>
  <si>
    <t>9780071359245</t>
  </si>
  <si>
    <t>32285004751060</t>
  </si>
  <si>
    <t>893687296</t>
  </si>
  <si>
    <t>RC317.J26 J64 1995</t>
  </si>
  <si>
    <t>0                      RC 0317000J  26                 J  64          1995</t>
  </si>
  <si>
    <t>The modern epidemic : a history of tuberculosis in Japan / William Johnston.</t>
  </si>
  <si>
    <t>Johnston, William, 1955-</t>
  </si>
  <si>
    <t>Cambridge, Mass. : Council on East Asian Studies, Harvard University : Distributed by Harvard University Press, 1995.</t>
  </si>
  <si>
    <t>Harvard East Asian monographs ; 162</t>
  </si>
  <si>
    <t>837020856:eng</t>
  </si>
  <si>
    <t>31971635</t>
  </si>
  <si>
    <t>991002452619702656</t>
  </si>
  <si>
    <t>2267041220002656</t>
  </si>
  <si>
    <t>9780674579125</t>
  </si>
  <si>
    <t>32285003610051</t>
  </si>
  <si>
    <t>893697800</t>
  </si>
  <si>
    <t>RC336 .O5</t>
  </si>
  <si>
    <t>0                      RC 0336000O  5</t>
  </si>
  <si>
    <t>The manual of psychiatric television: theory, practice, imagination [by] James J. Onder.</t>
  </si>
  <si>
    <t>Onder, James J.</t>
  </si>
  <si>
    <t>[Ann Arbor, Mich., Maynard House Publishers, 1970]</t>
  </si>
  <si>
    <t>2003-06-25</t>
  </si>
  <si>
    <t>1254344:eng</t>
  </si>
  <si>
    <t>127057</t>
  </si>
  <si>
    <t>991000723089702656</t>
  </si>
  <si>
    <t>2261021470002656</t>
  </si>
  <si>
    <t>32285004677026</t>
  </si>
  <si>
    <t>893339824</t>
  </si>
  <si>
    <t>RC339.52.F73 P4713 1985</t>
  </si>
  <si>
    <t>0                      RC 0339520F  73                 P  4713        1985</t>
  </si>
  <si>
    <t>Anna Freud : a life dedicated to children / Uwe Henrik Peters.</t>
  </si>
  <si>
    <t>Peters, Uwe Henrik, 1930-</t>
  </si>
  <si>
    <t>New York : Schocken Books, 1985.</t>
  </si>
  <si>
    <t>2009-03-11</t>
  </si>
  <si>
    <t>4494912961:eng</t>
  </si>
  <si>
    <t>10403462</t>
  </si>
  <si>
    <t>991000366349702656</t>
  </si>
  <si>
    <t>2267138790002656</t>
  </si>
  <si>
    <t>9780805239102</t>
  </si>
  <si>
    <t>32285001589471</t>
  </si>
  <si>
    <t>893796579</t>
  </si>
  <si>
    <t>RC339.52.F73 Y68 1988</t>
  </si>
  <si>
    <t>0                      RC 0339520F  73                 Y  68          1988</t>
  </si>
  <si>
    <t>Anna Freud : a biography / by Elisabeth Young-Bruehl.</t>
  </si>
  <si>
    <t>Young-Bruehl, Elisabeth.</t>
  </si>
  <si>
    <t>New York : Summit Books, c1988.</t>
  </si>
  <si>
    <t>792178520:eng</t>
  </si>
  <si>
    <t>18135598</t>
  </si>
  <si>
    <t>991001309459702656</t>
  </si>
  <si>
    <t>2260556780002656</t>
  </si>
  <si>
    <t>9780671616960</t>
  </si>
  <si>
    <t>32285001589489</t>
  </si>
  <si>
    <t>893791364</t>
  </si>
  <si>
    <t>RC339.52.L34 E9 1981</t>
  </si>
  <si>
    <t>0                      RC 0339520L  34                 E  9           1981</t>
  </si>
  <si>
    <t>Dialogue with R.D. Laing / Richard I. Evans.</t>
  </si>
  <si>
    <t>Evans, Richard I. (Richard Isadore), 1922-2015.</t>
  </si>
  <si>
    <t>New York, N.Y. : Praeger, 1981.</t>
  </si>
  <si>
    <t>Dialogues in contemporary psychology series</t>
  </si>
  <si>
    <t>1997-09-04</t>
  </si>
  <si>
    <t>10076355403:eng</t>
  </si>
  <si>
    <t>7875238</t>
  </si>
  <si>
    <t>991005171259702656</t>
  </si>
  <si>
    <t>2268188380002656</t>
  </si>
  <si>
    <t>9780030599286</t>
  </si>
  <si>
    <t>32285001589539</t>
  </si>
  <si>
    <t>893870644</t>
  </si>
  <si>
    <t>RC339.52.P47 S53 1976b</t>
  </si>
  <si>
    <t>0                      RC 0339520P  47                 S  53          1976b</t>
  </si>
  <si>
    <t>Fritz : an intimate portrait of Fritz Perls and Gestalt therapy / Martin Shepard.</t>
  </si>
  <si>
    <t>Shepard, Martin, 1934-</t>
  </si>
  <si>
    <t>New York : Bantam Books, 1976, c1975.</t>
  </si>
  <si>
    <t>1976</t>
  </si>
  <si>
    <t>Bantam on psychology ; 2202</t>
  </si>
  <si>
    <t>2008-10-02</t>
  </si>
  <si>
    <t>1997-08-11</t>
  </si>
  <si>
    <t>563843:eng</t>
  </si>
  <si>
    <t>2410683</t>
  </si>
  <si>
    <t>991004115339702656</t>
  </si>
  <si>
    <t>2265791320002656</t>
  </si>
  <si>
    <t>32285003084653</t>
  </si>
  <si>
    <t>893512824</t>
  </si>
  <si>
    <t>RC340 .G3213 2009</t>
  </si>
  <si>
    <t>0                      RC 0340000G  3213        2009</t>
  </si>
  <si>
    <t>The hospital of incurable madness = L'hospedale de' pazzi incurabili (1586) / by Tomaso Garzoni ; translated and notes by Daniela Pastina and John W. Crayton ; introduction by Monica Calabritto.</t>
  </si>
  <si>
    <t>Garzoni, Tomaso, 1549?-1589.</t>
  </si>
  <si>
    <t>Tempe : Arizona Center for Medieval and Renaissance Studies ; Turnhout, Belgium : In collaboration with Brepols, 2009.</t>
  </si>
  <si>
    <t>azu</t>
  </si>
  <si>
    <t>Arizona studies in the Middle Ages and the Renaissance ; v. 26</t>
  </si>
  <si>
    <t>2010-06-03</t>
  </si>
  <si>
    <t>17561001:eng</t>
  </si>
  <si>
    <t>631201134</t>
  </si>
  <si>
    <t>991005388359702656</t>
  </si>
  <si>
    <t>2266736060002656</t>
  </si>
  <si>
    <t>9780866984003</t>
  </si>
  <si>
    <t>32285005586846</t>
  </si>
  <si>
    <t>893508179</t>
  </si>
  <si>
    <t>RC341 .B33 1993</t>
  </si>
  <si>
    <t>0                      RC 0341000B  33          1993</t>
  </si>
  <si>
    <t>Molecules and mental illness / Samuel H. Barondes.</t>
  </si>
  <si>
    <t>Barondes, Samuel H., 1933-</t>
  </si>
  <si>
    <t>New York : Scientific American Library, c1993.</t>
  </si>
  <si>
    <t>Scientific American Library series ; no. 44</t>
  </si>
  <si>
    <t>1997-02-18</t>
  </si>
  <si>
    <t>1995-12-27</t>
  </si>
  <si>
    <t>1036728:eng</t>
  </si>
  <si>
    <t>26852515</t>
  </si>
  <si>
    <t>991002092349702656</t>
  </si>
  <si>
    <t>2265029740002656</t>
  </si>
  <si>
    <t>9780716750413</t>
  </si>
  <si>
    <t>32285002113537</t>
  </si>
  <si>
    <t>893408680</t>
  </si>
  <si>
    <t>RC341 .B424 1997</t>
  </si>
  <si>
    <t>0                      RC 0341000B  424         1997</t>
  </si>
  <si>
    <t>Behavioral neurology and neuropsychology / editors, Todd E. Feinberg, Martha J. Farah.</t>
  </si>
  <si>
    <t>New York : McGraw-Hill, c1997.</t>
  </si>
  <si>
    <t>1998-03-07</t>
  </si>
  <si>
    <t>1997-02-06</t>
  </si>
  <si>
    <t>351095892:eng</t>
  </si>
  <si>
    <t>33407943</t>
  </si>
  <si>
    <t>991002571199702656</t>
  </si>
  <si>
    <t>2256984860002656</t>
  </si>
  <si>
    <t>9780070203617</t>
  </si>
  <si>
    <t>32285002414612</t>
  </si>
  <si>
    <t>893809565</t>
  </si>
  <si>
    <t>RC341 .C98 1996</t>
  </si>
  <si>
    <t>0                      RC 0341000C  98          1996</t>
  </si>
  <si>
    <t>The neurological side of neuropsychology / Richard E. Cytowic.</t>
  </si>
  <si>
    <t>Cytowic, Richard E.</t>
  </si>
  <si>
    <t>Cambridge, Mass. : MIT Press, c1996.</t>
  </si>
  <si>
    <t>2004-11-12</t>
  </si>
  <si>
    <t>1997-01-21</t>
  </si>
  <si>
    <t>34492374:eng</t>
  </si>
  <si>
    <t>31940329</t>
  </si>
  <si>
    <t>991002449959702656</t>
  </si>
  <si>
    <t>2258479630002656</t>
  </si>
  <si>
    <t>9780262032315</t>
  </si>
  <si>
    <t>32285002409521</t>
  </si>
  <si>
    <t>893251251</t>
  </si>
  <si>
    <t>RC341 .H25</t>
  </si>
  <si>
    <t>0                      RC 0341000H  25</t>
  </si>
  <si>
    <t>Handbook of clinical neuropsychology / edited by Susan B. Filskov, Thomas J. Boll.</t>
  </si>
  <si>
    <t>New York : Wiley, c1981.</t>
  </si>
  <si>
    <t>Wiley series on personality processes, 0195-4008</t>
  </si>
  <si>
    <t>2006-06-01</t>
  </si>
  <si>
    <t>349930929:eng</t>
  </si>
  <si>
    <t>6356101</t>
  </si>
  <si>
    <t>991004969059702656</t>
  </si>
  <si>
    <t>2255585920002656</t>
  </si>
  <si>
    <t>9780471048022</t>
  </si>
  <si>
    <t>32285001589570</t>
  </si>
  <si>
    <t>893895690</t>
  </si>
  <si>
    <t>RC341 .J67 1990</t>
  </si>
  <si>
    <t>0                      RC 0341000J  67          1990</t>
  </si>
  <si>
    <t>Neuropsychology, neuropsychiatry, and behavioral neurology / Rhawn Joseph.</t>
  </si>
  <si>
    <t>Joseph, Rhawn.</t>
  </si>
  <si>
    <t>New York : Plenum Press, c1990.</t>
  </si>
  <si>
    <t>Critical issues in neuropsychology</t>
  </si>
  <si>
    <t>1991-07-03</t>
  </si>
  <si>
    <t>21651762:eng</t>
  </si>
  <si>
    <t>20132063</t>
  </si>
  <si>
    <t>991001542099702656</t>
  </si>
  <si>
    <t>2262466910002656</t>
  </si>
  <si>
    <t>9780306431364</t>
  </si>
  <si>
    <t>32285000659564</t>
  </si>
  <si>
    <t>893684397</t>
  </si>
  <si>
    <t>RC341 .M37</t>
  </si>
  <si>
    <t>0                      RC 0341000M  37</t>
  </si>
  <si>
    <t>Principles of abnormal psychology: the dynamics of psychic illness [by] A. H. Maslow ... and Béla Mittelmann ...</t>
  </si>
  <si>
    <t>Maslow, Abraham H. (Abraham Harold)</t>
  </si>
  <si>
    <t>New York, London, Harper &amp; brothers [c1941]</t>
  </si>
  <si>
    <t>1941</t>
  </si>
  <si>
    <t>2001-09-13</t>
  </si>
  <si>
    <t>1346046:eng</t>
  </si>
  <si>
    <t>6580141</t>
  </si>
  <si>
    <t>991005007439702656</t>
  </si>
  <si>
    <t>2254733350002656</t>
  </si>
  <si>
    <t>32285003084679</t>
  </si>
  <si>
    <t>893625342</t>
  </si>
  <si>
    <t>RC341 .R45 1946</t>
  </si>
  <si>
    <t>0                      RC 0341000R  45          1946</t>
  </si>
  <si>
    <t>Introduction to psychobiology and psychiatry.</t>
  </si>
  <si>
    <t>Richards, Esther Loring, 1885-</t>
  </si>
  <si>
    <t>St. Louis, Mosby, 1946.</t>
  </si>
  <si>
    <t>1946</t>
  </si>
  <si>
    <t>2d ed.</t>
  </si>
  <si>
    <t>1998-03-05</t>
  </si>
  <si>
    <t>1862602997:eng</t>
  </si>
  <si>
    <t>4837167</t>
  </si>
  <si>
    <t>991004732939702656</t>
  </si>
  <si>
    <t>2263338350002656</t>
  </si>
  <si>
    <t>32285003084695</t>
  </si>
  <si>
    <t>893344188</t>
  </si>
  <si>
    <t>RC341 .T44 2001</t>
  </si>
  <si>
    <t>0                      RC 0341000T  44          2001</t>
  </si>
  <si>
    <t>Theory and method in the neurosciences / edited by Peter K. Machamer, Rick Grush, and Peter McLaughlin.</t>
  </si>
  <si>
    <t>Pittsburgh, Pa. : University of Pittsburgh Press, c2001.</t>
  </si>
  <si>
    <t>Pittsburgh-Kostanz series in the philosophy and history of science</t>
  </si>
  <si>
    <t>2006-12-07</t>
  </si>
  <si>
    <t>2001-05-14</t>
  </si>
  <si>
    <t>475885738:eng</t>
  </si>
  <si>
    <t>46592316</t>
  </si>
  <si>
    <t>991003485629702656</t>
  </si>
  <si>
    <t>2258512810002656</t>
  </si>
  <si>
    <t>9780822941408</t>
  </si>
  <si>
    <t>32285004317094</t>
  </si>
  <si>
    <t>893721956</t>
  </si>
  <si>
    <t>RC343 .B43 2003</t>
  </si>
  <si>
    <t>0                      RC 0343000B  43          2003</t>
  </si>
  <si>
    <t>Philosophy and neuroscience : a ruthlessly reductive account / by John Bickle.</t>
  </si>
  <si>
    <t>Bickle, John.</t>
  </si>
  <si>
    <t>Dordrecht ; Boston : Kluwer Academic Publishers, c2003.</t>
  </si>
  <si>
    <t>Studies in brain and mind ; v. 2</t>
  </si>
  <si>
    <t>2005-10-20</t>
  </si>
  <si>
    <t>837600263:eng</t>
  </si>
  <si>
    <t>51764606</t>
  </si>
  <si>
    <t>991004668569702656</t>
  </si>
  <si>
    <t>2271407920002656</t>
  </si>
  <si>
    <t>9781402013027</t>
  </si>
  <si>
    <t>32285005141105</t>
  </si>
  <si>
    <t>893337982</t>
  </si>
  <si>
    <t>RC343 .B666</t>
  </si>
  <si>
    <t>0                      RC 0343000B  666</t>
  </si>
  <si>
    <t>Brain-behavior relationships / edited by James R. Merikangas.</t>
  </si>
  <si>
    <t>Lexington, Mass. : Lexington Books, c1981.</t>
  </si>
  <si>
    <t>1995-01-31</t>
  </si>
  <si>
    <t>54407989:eng</t>
  </si>
  <si>
    <t>6889860</t>
  </si>
  <si>
    <t>991005053909702656</t>
  </si>
  <si>
    <t>2269353270002656</t>
  </si>
  <si>
    <t>9780669030822</t>
  </si>
  <si>
    <t>32285001589604</t>
  </si>
  <si>
    <t>893242123</t>
  </si>
  <si>
    <t>RC343 .B75</t>
  </si>
  <si>
    <t>0                      RC 0343000B  75</t>
  </si>
  <si>
    <t>Mind, brain, and consciousness : the neuropsychology of cognition / Jason Brown.</t>
  </si>
  <si>
    <t>Brown, Jason W.</t>
  </si>
  <si>
    <t>New York : Academic Press, 1977.</t>
  </si>
  <si>
    <t>Perspectives in neurolinguistics and psycholinguistics</t>
  </si>
  <si>
    <t>1999-12-06</t>
  </si>
  <si>
    <t>889865088:eng</t>
  </si>
  <si>
    <t>2645369</t>
  </si>
  <si>
    <t>991004197479702656</t>
  </si>
  <si>
    <t>2256740750002656</t>
  </si>
  <si>
    <t>9780121375508</t>
  </si>
  <si>
    <t>32285003084703</t>
  </si>
  <si>
    <t>893241140</t>
  </si>
  <si>
    <t>RC343 .C486 2002</t>
  </si>
  <si>
    <t>0                      RC 0343000C  486         2002</t>
  </si>
  <si>
    <t>Brain-wise : studies in neurophilosophy / Patricia Smith Churchland.</t>
  </si>
  <si>
    <t>Churchland, Patricia Smith.</t>
  </si>
  <si>
    <t>Cambridge, Mass. : MIT Press, c2002.</t>
  </si>
  <si>
    <t>2008-06-02</t>
  </si>
  <si>
    <t>2004-01-14</t>
  </si>
  <si>
    <t>19736241:eng</t>
  </si>
  <si>
    <t>49527009</t>
  </si>
  <si>
    <t>991004201729702656</t>
  </si>
  <si>
    <t>2271726340002656</t>
  </si>
  <si>
    <t>9780262033015</t>
  </si>
  <si>
    <t>32285004634522</t>
  </si>
  <si>
    <t>893869425</t>
  </si>
  <si>
    <t>RC343 .G56513 1995</t>
  </si>
  <si>
    <t>0                      RC 0343000G  56513       1995</t>
  </si>
  <si>
    <t>The organism : a holistic approach to biology derived from pathological data in man / Kurt Goldstein ; with a foreword by Oliver Sacks.</t>
  </si>
  <si>
    <t>Goldstein, Kurt, 1878-1965.</t>
  </si>
  <si>
    <t>New York : Zone Books, c1995.</t>
  </si>
  <si>
    <t>2009-11-11</t>
  </si>
  <si>
    <t>2000-12-20</t>
  </si>
  <si>
    <t>8960880793:eng</t>
  </si>
  <si>
    <t>31434818</t>
  </si>
  <si>
    <t>991003308579702656</t>
  </si>
  <si>
    <t>2263067870002656</t>
  </si>
  <si>
    <t>9780942299656</t>
  </si>
  <si>
    <t>32285004277868</t>
  </si>
  <si>
    <t>893805652</t>
  </si>
  <si>
    <t>RC343 .H648</t>
  </si>
  <si>
    <t>0                      RC 0343000H  648</t>
  </si>
  <si>
    <t>Neurosis and human growth : the struggle toward self-realization / Karen Horney.</t>
  </si>
  <si>
    <t>Horney, Karen, 1885-1952.</t>
  </si>
  <si>
    <t>New York : Norton, [1950]</t>
  </si>
  <si>
    <t>1950</t>
  </si>
  <si>
    <t>2005-03-16</t>
  </si>
  <si>
    <t>2000-02-02</t>
  </si>
  <si>
    <t>1151002615:eng</t>
  </si>
  <si>
    <t>285408</t>
  </si>
  <si>
    <t>991002204789702656</t>
  </si>
  <si>
    <t>2262952630002656</t>
  </si>
  <si>
    <t>32285003658555</t>
  </si>
  <si>
    <t>893798301</t>
  </si>
  <si>
    <t>RC343 .R76 1993</t>
  </si>
  <si>
    <t>0                      RC 0343000R  76          1993</t>
  </si>
  <si>
    <t>The strange, familiar, and forgotten : an anatomy of consciousness / Israel Rosenfield.</t>
  </si>
  <si>
    <t>Rosenfield, Israel, 1939-</t>
  </si>
  <si>
    <t>New York : Vintage Books, 1993.</t>
  </si>
  <si>
    <t>1998-02-17</t>
  </si>
  <si>
    <t>1996-03-20</t>
  </si>
  <si>
    <t>40026630:eng</t>
  </si>
  <si>
    <t>27012824</t>
  </si>
  <si>
    <t>991002105749702656</t>
  </si>
  <si>
    <t>2259259150002656</t>
  </si>
  <si>
    <t>9780679743057</t>
  </si>
  <si>
    <t>32285002145323</t>
  </si>
  <si>
    <t>893433484</t>
  </si>
  <si>
    <t>RC343 .W45</t>
  </si>
  <si>
    <t>0                      RC 0343000W  45</t>
  </si>
  <si>
    <t>Our fear complexes, by Edward Huntington Williams and Ernest Bryant Hoag.</t>
  </si>
  <si>
    <t>Williams, Edward Huntington, 1868-1944.</t>
  </si>
  <si>
    <t>Indianapolis, Bobbs-Merrill [c1923]</t>
  </si>
  <si>
    <t>1923</t>
  </si>
  <si>
    <t>2002-03-22</t>
  </si>
  <si>
    <t>9162984:eng</t>
  </si>
  <si>
    <t>14794393</t>
  </si>
  <si>
    <t>991000959599702656</t>
  </si>
  <si>
    <t>2260502970002656</t>
  </si>
  <si>
    <t>32285003084828</t>
  </si>
  <si>
    <t>893438737</t>
  </si>
  <si>
    <t>RC348 .G6 1999</t>
  </si>
  <si>
    <t>0                      RC 0348000G  6           1999</t>
  </si>
  <si>
    <t>The 4-minute neurologic exam. : (an answer to the "Neuro WNL" problem / Stephen Goldberg.</t>
  </si>
  <si>
    <t>Goldberg, Stephen.</t>
  </si>
  <si>
    <t>Miami : Medmaster, 1999.</t>
  </si>
  <si>
    <t>2005-03-09</t>
  </si>
  <si>
    <t>2004-02-23</t>
  </si>
  <si>
    <t>4484030:eng</t>
  </si>
  <si>
    <t>43491473</t>
  </si>
  <si>
    <t>991004232199702656</t>
  </si>
  <si>
    <t>2262661630002656</t>
  </si>
  <si>
    <t>9780940780057</t>
  </si>
  <si>
    <t>32285004639893</t>
  </si>
  <si>
    <t>893343606</t>
  </si>
  <si>
    <t>RC351 .S48</t>
  </si>
  <si>
    <t>0                      RC 0351000S  48</t>
  </si>
  <si>
    <t>The pain game / C. Norman Shealy.</t>
  </si>
  <si>
    <t>Shealy, C. Norman, 1932-</t>
  </si>
  <si>
    <t>Millbrae, Calif. : Celestial Arts, c1976.</t>
  </si>
  <si>
    <t>2008-07-23</t>
  </si>
  <si>
    <t>10519383695:eng</t>
  </si>
  <si>
    <t>1991053</t>
  </si>
  <si>
    <t>991003968649702656</t>
  </si>
  <si>
    <t>2264090480002656</t>
  </si>
  <si>
    <t>9780890871577</t>
  </si>
  <si>
    <t>32285003084885</t>
  </si>
  <si>
    <t>893618054</t>
  </si>
  <si>
    <t>RC351 .Z46 2008</t>
  </si>
  <si>
    <t>0                      RC 0351000Z  46          2008</t>
  </si>
  <si>
    <t>A portrait of the brain / Adam Zeman.</t>
  </si>
  <si>
    <t>Zeman, Adam.</t>
  </si>
  <si>
    <t>New Haven [Conn.] ; London : Yale University Press, c2008.</t>
  </si>
  <si>
    <t>2009-08-12</t>
  </si>
  <si>
    <t>2009-01-07</t>
  </si>
  <si>
    <t>112270757:eng</t>
  </si>
  <si>
    <t>165477879</t>
  </si>
  <si>
    <t>991005284049702656</t>
  </si>
  <si>
    <t>2266693080002656</t>
  </si>
  <si>
    <t>9780300114164</t>
  </si>
  <si>
    <t>32285005475784</t>
  </si>
  <si>
    <t>893351036</t>
  </si>
  <si>
    <t>RC372 .F73</t>
  </si>
  <si>
    <t>0                      RC 0372000F  73</t>
  </si>
  <si>
    <t>The epileptic in home, school, and society / by Stephen W. Freeman.</t>
  </si>
  <si>
    <t>Freeman, Stephen W.</t>
  </si>
  <si>
    <t>Springfield, Ill. : Thomas, 1979.</t>
  </si>
  <si>
    <t>2003-02-05</t>
  </si>
  <si>
    <t>1990-08-14</t>
  </si>
  <si>
    <t>293246588:eng</t>
  </si>
  <si>
    <t>4495512</t>
  </si>
  <si>
    <t>991004656639702656</t>
  </si>
  <si>
    <t>2268147860002656</t>
  </si>
  <si>
    <t>9780398038700</t>
  </si>
  <si>
    <t>32285000274091</t>
  </si>
  <si>
    <t>893253957</t>
  </si>
  <si>
    <t>RC372 .G67 1964</t>
  </si>
  <si>
    <t>0                      RC 0372000G  67          1964</t>
  </si>
  <si>
    <t>Epilepsy and other chronic convulsive diseases : their causes, symptoms &amp; treatment / by W. R. Gowers.</t>
  </si>
  <si>
    <t>Gowers, W. R. (William Richard), 1845-1915.</t>
  </si>
  <si>
    <t>New York : Dover Publications, [1964]</t>
  </si>
  <si>
    <t>1964</t>
  </si>
  <si>
    <t>American Academy of Neurology. Reprint series, v. 1</t>
  </si>
  <si>
    <t>2007-10-23</t>
  </si>
  <si>
    <t>1992-04-09</t>
  </si>
  <si>
    <t>10200521489:eng</t>
  </si>
  <si>
    <t>2146980</t>
  </si>
  <si>
    <t>991004029009702656</t>
  </si>
  <si>
    <t>2255520120002656</t>
  </si>
  <si>
    <t>32285001035780</t>
  </si>
  <si>
    <t>893794398</t>
  </si>
  <si>
    <t>RC372 .M84</t>
  </si>
  <si>
    <t>0                      RC 0372000M  84</t>
  </si>
  <si>
    <t>A Multidisciplinary handbook of epilepsy / edited by Bruce P. Hermann.</t>
  </si>
  <si>
    <t>1992-06-03</t>
  </si>
  <si>
    <t>285660210:eng</t>
  </si>
  <si>
    <t>6143040</t>
  </si>
  <si>
    <t>991004936039702656</t>
  </si>
  <si>
    <t>2259867130002656</t>
  </si>
  <si>
    <t>9780398040697</t>
  </si>
  <si>
    <t>32285001114981</t>
  </si>
  <si>
    <t>893719572</t>
  </si>
  <si>
    <t>RC372 .S28</t>
  </si>
  <si>
    <t>0                      RC 0372000S  28</t>
  </si>
  <si>
    <t>Epilepsy / [by] Richard Penrose Schmidt and B. Joe Wilder.</t>
  </si>
  <si>
    <t>Schmidt, Richard Penrose.</t>
  </si>
  <si>
    <t>Philadelphia : F. A. Davis Co., [1968]</t>
  </si>
  <si>
    <t>Contemporary neurology series ; 2</t>
  </si>
  <si>
    <t>1991-10-17</t>
  </si>
  <si>
    <t>1564212:eng</t>
  </si>
  <si>
    <t>439643</t>
  </si>
  <si>
    <t>991001790989702656</t>
  </si>
  <si>
    <t>2266595890002656</t>
  </si>
  <si>
    <t>32285000773852</t>
  </si>
  <si>
    <t>893803903</t>
  </si>
  <si>
    <t>RC377 .S53 2007</t>
  </si>
  <si>
    <t>0                      RC 0377000S  53          2007</t>
  </si>
  <si>
    <t>MS and your feelings : handling the ups and downs of multiple sclerosis / Allison Shadday.</t>
  </si>
  <si>
    <t>Shadday, Allison.</t>
  </si>
  <si>
    <t>Alameda CA : Hunter House, c2007.</t>
  </si>
  <si>
    <t>2007-06-07</t>
  </si>
  <si>
    <t>59557523:eng</t>
  </si>
  <si>
    <t>72871361</t>
  </si>
  <si>
    <t>991005082479702656</t>
  </si>
  <si>
    <t>2268137800002656</t>
  </si>
  <si>
    <t>9780897934893</t>
  </si>
  <si>
    <t>32285005315873</t>
  </si>
  <si>
    <t>893236244</t>
  </si>
  <si>
    <t>RC382 .K66 2001</t>
  </si>
  <si>
    <t>0                      RC 0382000K  66          2001</t>
  </si>
  <si>
    <t>Saving Milly : love, politics, and Parkinson's Disease / Morton Kondracke.</t>
  </si>
  <si>
    <t>Kondracke, Morton.</t>
  </si>
  <si>
    <t>New York : Public Affairs, c2001.</t>
  </si>
  <si>
    <t>2001-08-02</t>
  </si>
  <si>
    <t>796332188:eng</t>
  </si>
  <si>
    <t>45890393</t>
  </si>
  <si>
    <t>991003557129702656</t>
  </si>
  <si>
    <t>2265121420002656</t>
  </si>
  <si>
    <t>9781586480370</t>
  </si>
  <si>
    <t>32285004375589</t>
  </si>
  <si>
    <t>893799870</t>
  </si>
  <si>
    <t>RC386.2 .B73</t>
  </si>
  <si>
    <t>0                      RC 0386200B  73</t>
  </si>
  <si>
    <t>Electroshock, its brain-disabling effects / Peter Roger Breggin.</t>
  </si>
  <si>
    <t>Breggin, Peter Roger, 1936-</t>
  </si>
  <si>
    <t>New York : Springer Pub. Co., c1979.</t>
  </si>
  <si>
    <t>1999-10-28</t>
  </si>
  <si>
    <t>493082:eng</t>
  </si>
  <si>
    <t>5029460</t>
  </si>
  <si>
    <t>991005072689702656</t>
  </si>
  <si>
    <t>2271647370002656</t>
  </si>
  <si>
    <t>9780826127105</t>
  </si>
  <si>
    <t>32285001589653</t>
  </si>
  <si>
    <t>893520370</t>
  </si>
  <si>
    <t>RC386.2 .G28 1975</t>
  </si>
  <si>
    <t>0                      RC 0386200G  28          1975</t>
  </si>
  <si>
    <t>The shattered mind : the person after brain damage / Howard Gardner.</t>
  </si>
  <si>
    <t>Gardner, Howard, 1943-</t>
  </si>
  <si>
    <t>New York : Knopf : distributed by Random House, 1975, c1974.</t>
  </si>
  <si>
    <t>1975</t>
  </si>
  <si>
    <t>2003-12-02</t>
  </si>
  <si>
    <t>1990-09-05</t>
  </si>
  <si>
    <t>464258:eng</t>
  </si>
  <si>
    <t>1093333</t>
  </si>
  <si>
    <t>991003530149702656</t>
  </si>
  <si>
    <t>2264848420002656</t>
  </si>
  <si>
    <t>9780394493152</t>
  </si>
  <si>
    <t>32285000284801</t>
  </si>
  <si>
    <t>893531267</t>
  </si>
  <si>
    <t>RC386.2 .R87</t>
  </si>
  <si>
    <t>0                      RC 0386200R  87</t>
  </si>
  <si>
    <t>Assessment of brain damage; a neuropsychological key approach [by] Elbert W. Russell, Charles Neuringer [and] Gerald Goldstein, with the assistance of Carolyn H. Shelly.</t>
  </si>
  <si>
    <t>Russell, Elbert W., 1929-</t>
  </si>
  <si>
    <t>New York, Wiley-Interscience [1970]</t>
  </si>
  <si>
    <t>Wiley series on psychological disorders</t>
  </si>
  <si>
    <t>2002-10-22</t>
  </si>
  <si>
    <t>241034842:eng</t>
  </si>
  <si>
    <t>98833</t>
  </si>
  <si>
    <t>991000605369702656</t>
  </si>
  <si>
    <t>2272149740002656</t>
  </si>
  <si>
    <t>9780471745501</t>
  </si>
  <si>
    <t>32285003084919</t>
  </si>
  <si>
    <t>893595706</t>
  </si>
  <si>
    <t>RC386.5 .N473 1979</t>
  </si>
  <si>
    <t>0                      RC 0386500N  473         1979</t>
  </si>
  <si>
    <t>Neuropsychology / edited by Michael S. Gazzaniga.</t>
  </si>
  <si>
    <t>New York : Plenum Press, c1979.</t>
  </si>
  <si>
    <t>Handbook of behavioral neurobiology ; v. 2</t>
  </si>
  <si>
    <t>2001-06-17</t>
  </si>
  <si>
    <t>1999-01-07</t>
  </si>
  <si>
    <t>54264822:eng</t>
  </si>
  <si>
    <t>4494696</t>
  </si>
  <si>
    <t>991001800969702656</t>
  </si>
  <si>
    <t>2265335000002656</t>
  </si>
  <si>
    <t>9780306351921</t>
  </si>
  <si>
    <t>32285003510558</t>
  </si>
  <si>
    <t>893715738</t>
  </si>
  <si>
    <t>RC386.6.B7 C37 1998</t>
  </si>
  <si>
    <t>0                      RC 0386600B  7                  C  37          1998</t>
  </si>
  <si>
    <t>Mapping the mind / Rita Carter ; scientific adviser : Christopher Frith.</t>
  </si>
  <si>
    <t>Carter, Rita.</t>
  </si>
  <si>
    <t>Berkeley, CA. : University of California Press, c1998.</t>
  </si>
  <si>
    <t>2009-04-17</t>
  </si>
  <si>
    <t>1999-08-24</t>
  </si>
  <si>
    <t>12533571:eng</t>
  </si>
  <si>
    <t>40700193</t>
  </si>
  <si>
    <t>991003004209702656</t>
  </si>
  <si>
    <t>2272808380002656</t>
  </si>
  <si>
    <t>9780520219373</t>
  </si>
  <si>
    <t>32285003583753</t>
  </si>
  <si>
    <t>893317541</t>
  </si>
  <si>
    <t>RC386.6.N48 F73 1989</t>
  </si>
  <si>
    <t>0                      RC 0386600N  48                 F  73          1989</t>
  </si>
  <si>
    <t>Reliability and validity in neuropsychological assessment / Michael D. Franzen ; with contributions by Douglas E. Robbins and Robert F. Sawicki.</t>
  </si>
  <si>
    <t>Franzen, Michael D., 1954-</t>
  </si>
  <si>
    <t>New York : Plenum Press, c1989.</t>
  </si>
  <si>
    <t>1989-11-13</t>
  </si>
  <si>
    <t>19100642:eng</t>
  </si>
  <si>
    <t>18986167</t>
  </si>
  <si>
    <t>991001423289702656</t>
  </si>
  <si>
    <t>2268596190002656</t>
  </si>
  <si>
    <t>9780306430657</t>
  </si>
  <si>
    <t>32285000012376</t>
  </si>
  <si>
    <t>893534549</t>
  </si>
  <si>
    <t>RC386.6.N48 L49 1995</t>
  </si>
  <si>
    <t>0                      RC 0386600N  48                 L  49          1995</t>
  </si>
  <si>
    <t>Neuropsychological assessment / Muriel Deutsch Lezak.</t>
  </si>
  <si>
    <t>Lezak, Muriel Deutsch.</t>
  </si>
  <si>
    <t>New York : Oxford University Press, 1995.</t>
  </si>
  <si>
    <t>2004-10-22</t>
  </si>
  <si>
    <t>1998-12-07</t>
  </si>
  <si>
    <t>5252809:eng</t>
  </si>
  <si>
    <t>31378302</t>
  </si>
  <si>
    <t>991005419919702656</t>
  </si>
  <si>
    <t>2255544650002656</t>
  </si>
  <si>
    <t>9780195090314</t>
  </si>
  <si>
    <t>32285003493961</t>
  </si>
  <si>
    <t>893248893</t>
  </si>
  <si>
    <t>RC387.5 .A45 1984</t>
  </si>
  <si>
    <t>0                      RC 0387500A  45          1984</t>
  </si>
  <si>
    <t>Aging and recovery of function in the central nervous system / edited by Stephen W. Scheff.</t>
  </si>
  <si>
    <t>1996-10-28</t>
  </si>
  <si>
    <t>3126154:eng</t>
  </si>
  <si>
    <t>10272903</t>
  </si>
  <si>
    <t>991000341149702656</t>
  </si>
  <si>
    <t>2271005460002656</t>
  </si>
  <si>
    <t>9780306415258</t>
  </si>
  <si>
    <t>32285001589661</t>
  </si>
  <si>
    <t>893890586</t>
  </si>
  <si>
    <t>RC387.5 .B713 1995</t>
  </si>
  <si>
    <t>0                      RC 0387500B  713         1995</t>
  </si>
  <si>
    <t>Brain repair / Donald G. Stein, Simón Brailowsky, Bruno Will.</t>
  </si>
  <si>
    <t>Stein, Donald G.</t>
  </si>
  <si>
    <t>fre</t>
  </si>
  <si>
    <t>2004-10-07</t>
  </si>
  <si>
    <t>1996-11-26</t>
  </si>
  <si>
    <t>597556:eng</t>
  </si>
  <si>
    <t>30438476</t>
  </si>
  <si>
    <t>991002338949702656</t>
  </si>
  <si>
    <t>2270836050002656</t>
  </si>
  <si>
    <t>9780195076424</t>
  </si>
  <si>
    <t>32285002386182</t>
  </si>
  <si>
    <t>893510613</t>
  </si>
  <si>
    <t>RC387.5 .F56 1982</t>
  </si>
  <si>
    <t>0                      RC 0387500F  56          1982</t>
  </si>
  <si>
    <t>Brain damage and recovery : research and clinical perspectives / Stanley Finger, Donald G. Stein.</t>
  </si>
  <si>
    <t>Finger, Stanley.</t>
  </si>
  <si>
    <t>New York : Academic Press, 1982.</t>
  </si>
  <si>
    <t>2008-10-28</t>
  </si>
  <si>
    <t>197563534:eng</t>
  </si>
  <si>
    <t>8451606</t>
  </si>
  <si>
    <t>991005244639702656</t>
  </si>
  <si>
    <t>2265963670002656</t>
  </si>
  <si>
    <t>9780122567803</t>
  </si>
  <si>
    <t>32285001589679</t>
  </si>
  <si>
    <t>893332653</t>
  </si>
  <si>
    <t>RC387.5 .M39 1990</t>
  </si>
  <si>
    <t>0                      RC 0387500M  39          1990</t>
  </si>
  <si>
    <t>Cognitive neuropsychology : a clinical introduction / Rosaleen A. McCarthy, Elizabeth K. Warrington.</t>
  </si>
  <si>
    <t>McCarthy, Rosaleen A.</t>
  </si>
  <si>
    <t>San Diego : Academic Press, c1990.</t>
  </si>
  <si>
    <t>2002-03-21</t>
  </si>
  <si>
    <t>1992-02-21</t>
  </si>
  <si>
    <t>795540559:eng</t>
  </si>
  <si>
    <t>20417163</t>
  </si>
  <si>
    <t>991001573229702656</t>
  </si>
  <si>
    <t>2260926910002656</t>
  </si>
  <si>
    <t>9780124818453</t>
  </si>
  <si>
    <t>32285000935402</t>
  </si>
  <si>
    <t>893797639</t>
  </si>
  <si>
    <t>RC388 .C65</t>
  </si>
  <si>
    <t>0                      RC 0388000C  65</t>
  </si>
  <si>
    <t>Speech therapy and the Bobath approach to cerebral palsy / by Marie C. Crickmay.</t>
  </si>
  <si>
    <t>Crickmay, Marie C.</t>
  </si>
  <si>
    <t>Springfield, Ill. : C. C. Thomas, [1966]</t>
  </si>
  <si>
    <t>1994-01-27</t>
  </si>
  <si>
    <t>1992-01-02</t>
  </si>
  <si>
    <t>160295:eng</t>
  </si>
  <si>
    <t>400331</t>
  </si>
  <si>
    <t>991005000529702656</t>
  </si>
  <si>
    <t>2268589360002656</t>
  </si>
  <si>
    <t>32285000880434</t>
  </si>
  <si>
    <t>893801576</t>
  </si>
  <si>
    <t>RC392 .B56 1985</t>
  </si>
  <si>
    <t>0                      RC 0392000B  56          1985</t>
  </si>
  <si>
    <t>Management of chronic headaches : a psychological approach / Edward B. Blanchard and Frank Andrasik.</t>
  </si>
  <si>
    <t>Blanchard, Edward B.</t>
  </si>
  <si>
    <t>New York : Pergamon Press, c1985.</t>
  </si>
  <si>
    <t>Psychology practitioner guidebooks</t>
  </si>
  <si>
    <t>836705123:eng</t>
  </si>
  <si>
    <t>11840188</t>
  </si>
  <si>
    <t>991000600079702656</t>
  </si>
  <si>
    <t>2267941300002656</t>
  </si>
  <si>
    <t>9780080309637</t>
  </si>
  <si>
    <t>32285001023398</t>
  </si>
  <si>
    <t>893620624</t>
  </si>
  <si>
    <t>RC392 .B7 1979</t>
  </si>
  <si>
    <t>0                      RC 0392000B  7           1979</t>
  </si>
  <si>
    <t>Control of migraine / John B. Brainard.</t>
  </si>
  <si>
    <t>Brainard, John B.</t>
  </si>
  <si>
    <t>New York : Norton, 1979.</t>
  </si>
  <si>
    <t>2008-02-18</t>
  </si>
  <si>
    <t>1990-03-20</t>
  </si>
  <si>
    <t>459605:eng</t>
  </si>
  <si>
    <t>4933467</t>
  </si>
  <si>
    <t>991004750889702656</t>
  </si>
  <si>
    <t>2269186470002656</t>
  </si>
  <si>
    <t>9780393009330</t>
  </si>
  <si>
    <t>32285000088491</t>
  </si>
  <si>
    <t>893706794</t>
  </si>
  <si>
    <t>RC392 .W3 1993</t>
  </si>
  <si>
    <t>0                      RC 0392000W  3           1993</t>
  </si>
  <si>
    <t>Treating sinus, migraine, and cluster headaches, my way : an allergist's approach to headache treatment / William E. Walsh.</t>
  </si>
  <si>
    <t>Walsh, William E.</t>
  </si>
  <si>
    <t>St. Paul, MN : ACA Publications, c1993.</t>
  </si>
  <si>
    <t>2007-05-07</t>
  </si>
  <si>
    <t>31840501:eng</t>
  </si>
  <si>
    <t>30057835</t>
  </si>
  <si>
    <t>991002316309702656</t>
  </si>
  <si>
    <t>2269843990002656</t>
  </si>
  <si>
    <t>9780963154453</t>
  </si>
  <si>
    <t>32285001863975</t>
  </si>
  <si>
    <t>893867066</t>
  </si>
  <si>
    <t>RC394.A5 W4 1977</t>
  </si>
  <si>
    <t>0                      RC 0394000A  5                  W  4           1977</t>
  </si>
  <si>
    <t>Amnesia : clinical, psychological and medicolegal aspects / edited by C. W. M. Whitty and O. L. Zangwill.</t>
  </si>
  <si>
    <t>Whitty, Charles William Michael.</t>
  </si>
  <si>
    <t>London ; Boston : Butterworths, 1977.</t>
  </si>
  <si>
    <t>2006-10-13</t>
  </si>
  <si>
    <t>1992-01-28</t>
  </si>
  <si>
    <t>4714485631:eng</t>
  </si>
  <si>
    <t>3034216</t>
  </si>
  <si>
    <t>991004325059702656</t>
  </si>
  <si>
    <t>2261332110002656</t>
  </si>
  <si>
    <t>9780407000568</t>
  </si>
  <si>
    <t>32285000899301</t>
  </si>
  <si>
    <t>893411383</t>
  </si>
  <si>
    <t>RC394.A85 F57 1999</t>
  </si>
  <si>
    <t>0                      RC 0394000A  85                 F  57          1999</t>
  </si>
  <si>
    <t>Attention deficit disorder : practical coping methods / Barbara C. Fisher, Ross A. Beckley.</t>
  </si>
  <si>
    <t>Fisher, Barbara C.</t>
  </si>
  <si>
    <t>Boca Raton : CRC Press, 1999.</t>
  </si>
  <si>
    <t>2009-12-07</t>
  </si>
  <si>
    <t>1999-11-15</t>
  </si>
  <si>
    <t>5218492021:eng</t>
  </si>
  <si>
    <t>39131268</t>
  </si>
  <si>
    <t>991002940849702656</t>
  </si>
  <si>
    <t>2264508210002656</t>
  </si>
  <si>
    <t>9780849318993</t>
  </si>
  <si>
    <t>32285003621819</t>
  </si>
  <si>
    <t>893498746</t>
  </si>
  <si>
    <t>RC394.A85 M87 1995</t>
  </si>
  <si>
    <t>0                      RC 0394000A  85                 M  87          1995</t>
  </si>
  <si>
    <t>Out of the fog : treatment options and coping strategies for adult attention deficit disorder / Kevin Murphy and Suzanne LeVert.</t>
  </si>
  <si>
    <t>Murphy, Kevin R., 1952-</t>
  </si>
  <si>
    <t>New York : Hyperion, 1995.</t>
  </si>
  <si>
    <t>1995-11-06</t>
  </si>
  <si>
    <t>1151757993:eng</t>
  </si>
  <si>
    <t>31710610</t>
  </si>
  <si>
    <t>991002432629702656</t>
  </si>
  <si>
    <t>2256803750002656</t>
  </si>
  <si>
    <t>9780786880874</t>
  </si>
  <si>
    <t>32285002101383</t>
  </si>
  <si>
    <t>893779804</t>
  </si>
  <si>
    <t>RC394.A85 R63 1997</t>
  </si>
  <si>
    <t>0                      RC 0394000A  85                 R  63          1997</t>
  </si>
  <si>
    <t>Living with ADD : a workbook for adults with Attention Deficit Disorder / M. Susan Roberts, Gerard J. Jansen.</t>
  </si>
  <si>
    <t>Roberts, M. Susan.</t>
  </si>
  <si>
    <t>Oakland, CA : New Harbinger Pub., c1997.</t>
  </si>
  <si>
    <t>2006-11-07</t>
  </si>
  <si>
    <t>683915:eng</t>
  </si>
  <si>
    <t>37022512</t>
  </si>
  <si>
    <t>991004946219702656</t>
  </si>
  <si>
    <t>2260167460002656</t>
  </si>
  <si>
    <t>9781572240636</t>
  </si>
  <si>
    <t>32285005235535</t>
  </si>
  <si>
    <t>893625270</t>
  </si>
  <si>
    <t>RC394.A85 T75 1999</t>
  </si>
  <si>
    <t>0                      RC 0394000A  85                 T  75          1999</t>
  </si>
  <si>
    <t>Attention deficit hyperactivity disorder in adulthood : a practitioner's handbook / Santo J. Triolo.</t>
  </si>
  <si>
    <t>Triolo, Santo J., 1954-</t>
  </si>
  <si>
    <t>Philadelphia, PA : Brunner/Mazel, c1999.</t>
  </si>
  <si>
    <t>1999-04-22</t>
  </si>
  <si>
    <t>836925681:eng</t>
  </si>
  <si>
    <t>39093676</t>
  </si>
  <si>
    <t>991002938929702656</t>
  </si>
  <si>
    <t>2272748960002656</t>
  </si>
  <si>
    <t>9780876308905</t>
  </si>
  <si>
    <t>32285003554747</t>
  </si>
  <si>
    <t>893227469</t>
  </si>
  <si>
    <t>RC394.C64 F76 1991</t>
  </si>
  <si>
    <t>0                      RC 0394000C  64                 F  76          1991</t>
  </si>
  <si>
    <t>Frontal lobe function and dysfunction / edited by Harvey S. Levin, Howard M. Eisenberg, Arthur L. Benton.</t>
  </si>
  <si>
    <t>New York : Oxford University Press, 1991.</t>
  </si>
  <si>
    <t>2006-11-02</t>
  </si>
  <si>
    <t>1992-08-04</t>
  </si>
  <si>
    <t>365310400:eng</t>
  </si>
  <si>
    <t>23218950</t>
  </si>
  <si>
    <t>991001850419702656</t>
  </si>
  <si>
    <t>2260225330002656</t>
  </si>
  <si>
    <t>9780195062847</t>
  </si>
  <si>
    <t>32285001196210</t>
  </si>
  <si>
    <t>893256565</t>
  </si>
  <si>
    <t>RC394.H85 F64 1989</t>
  </si>
  <si>
    <t>0                      RC 0394000H  85                 F  64          1989</t>
  </si>
  <si>
    <t>Huntington's disease : a disorder of families / Susan E. Folstein.</t>
  </si>
  <si>
    <t>Folstein, Susan E., 1944-</t>
  </si>
  <si>
    <t>Baltimore : Johns Hopkins University Press, c1989.</t>
  </si>
  <si>
    <t>The Johns Hopkins series in contemporary medicine and public health</t>
  </si>
  <si>
    <t>905781239:eng</t>
  </si>
  <si>
    <t>19741397</t>
  </si>
  <si>
    <t>991001494249702656</t>
  </si>
  <si>
    <t>2266170300002656</t>
  </si>
  <si>
    <t>9780801838606</t>
  </si>
  <si>
    <t>32285000657931</t>
  </si>
  <si>
    <t>893238153</t>
  </si>
  <si>
    <t>RC394.M46 H38 1995</t>
  </si>
  <si>
    <t>0                      RC 0394000M  46                 H  38          1995</t>
  </si>
  <si>
    <t>Handbook of memory disorders / edited by Alan D. Baddeley, Barbara A. Wilson, Fraser N. Watts.</t>
  </si>
  <si>
    <t>Chichester [England] ; New York : Wiley &amp; Sons, c1995.</t>
  </si>
  <si>
    <t>2004-06-11</t>
  </si>
  <si>
    <t>1996-11-20</t>
  </si>
  <si>
    <t>896260811:eng</t>
  </si>
  <si>
    <t>30895405</t>
  </si>
  <si>
    <t>991002376759702656</t>
  </si>
  <si>
    <t>2270944110002656</t>
  </si>
  <si>
    <t>9780471950783</t>
  </si>
  <si>
    <t>32285002374642</t>
  </si>
  <si>
    <t>893691545</t>
  </si>
  <si>
    <t>RC394.M46 M39 1988</t>
  </si>
  <si>
    <t>0                      RC 0394000M  46                 M  39          1988</t>
  </si>
  <si>
    <t>Human organic memory disorders / Andrew R. Mayes.</t>
  </si>
  <si>
    <t>Mayes, A. R. (Andrew Richard)</t>
  </si>
  <si>
    <t>Cambridge ; New York : Cambridge University Press, 1988.</t>
  </si>
  <si>
    <t>Problems in the behavioural sciences ; 7</t>
  </si>
  <si>
    <t>1999-10-14</t>
  </si>
  <si>
    <t>887879:eng</t>
  </si>
  <si>
    <t>16921566</t>
  </si>
  <si>
    <t>991001164469702656</t>
  </si>
  <si>
    <t>2272339930002656</t>
  </si>
  <si>
    <t>9780521348799</t>
  </si>
  <si>
    <t>32285000572528</t>
  </si>
  <si>
    <t>893503153</t>
  </si>
  <si>
    <t>RC394.M46 R44 1994</t>
  </si>
  <si>
    <t>0                      RC 0394000M  46                 R  44          1994</t>
  </si>
  <si>
    <t>The clinical assessment of memory : a practical guide / Dennis Reeves, Danny Wedding.</t>
  </si>
  <si>
    <t>Reeves, Dennis.</t>
  </si>
  <si>
    <t>New York : Springer Pub. Co., c1994.</t>
  </si>
  <si>
    <t>1994-11-29</t>
  </si>
  <si>
    <t>967971:eng</t>
  </si>
  <si>
    <t>28964164</t>
  </si>
  <si>
    <t>991002245349702656</t>
  </si>
  <si>
    <t>2255226650002656</t>
  </si>
  <si>
    <t>9780826179203</t>
  </si>
  <si>
    <t>32285001959948</t>
  </si>
  <si>
    <t>893421106</t>
  </si>
  <si>
    <t>RC394.W6 C7 1970</t>
  </si>
  <si>
    <t>0                      RC 0394000W  6                  C  7           1970</t>
  </si>
  <si>
    <t>The dyslexic child.</t>
  </si>
  <si>
    <t>Critchley, Macdonald.</t>
  </si>
  <si>
    <t>London : Heinemann Medical, 1970.</t>
  </si>
  <si>
    <t>1998-05-27</t>
  </si>
  <si>
    <t>1172440:eng</t>
  </si>
  <si>
    <t>101705</t>
  </si>
  <si>
    <t>991000615999702656</t>
  </si>
  <si>
    <t>2261361580002656</t>
  </si>
  <si>
    <t>9780433067016</t>
  </si>
  <si>
    <t>32285000773878</t>
  </si>
  <si>
    <t>893339725</t>
  </si>
  <si>
    <t>RC394.W6 D36</t>
  </si>
  <si>
    <t>0                      RC 0394000W  6                  D  36</t>
  </si>
  <si>
    <t>Deep dyslexia / edited by Max Coltheart, Karalyn Patterson, and John C. Marshall.</t>
  </si>
  <si>
    <t>London ; Boston : Routledge &amp; Kegan Paul, 1980.</t>
  </si>
  <si>
    <t>International library of psychology</t>
  </si>
  <si>
    <t>1998-11-13</t>
  </si>
  <si>
    <t>348880484:eng</t>
  </si>
  <si>
    <t>6770927</t>
  </si>
  <si>
    <t>991005038379702656</t>
  </si>
  <si>
    <t>2260607100002656</t>
  </si>
  <si>
    <t>9780710004567</t>
  </si>
  <si>
    <t>32285001025351</t>
  </si>
  <si>
    <t>893437052</t>
  </si>
  <si>
    <t>RC394.W6 D96 1986</t>
  </si>
  <si>
    <t>0                      RC 0394000W  6                  D  96          1986</t>
  </si>
  <si>
    <t>Dyslexia : its neuropsychology and treatment / edited by George Th. Pavlidis and Dennis F. Fisher.</t>
  </si>
  <si>
    <t>Chichester ; New York : Wiley, c1986.</t>
  </si>
  <si>
    <t>149620759:eng</t>
  </si>
  <si>
    <t>12286635</t>
  </si>
  <si>
    <t>991000667309702656</t>
  </si>
  <si>
    <t>2259227060002656</t>
  </si>
  <si>
    <t>9780471908753</t>
  </si>
  <si>
    <t>32285001025344</t>
  </si>
  <si>
    <t>893515494</t>
  </si>
  <si>
    <t>RC394.W6 L478 1994</t>
  </si>
  <si>
    <t>0                      RC 0394000W  6                  L  478         1994</t>
  </si>
  <si>
    <t>A scientific Watergate, dyslexia : how and why countless millions are deprived of breakthrough medical treatment / Harold N. Levinson.</t>
  </si>
  <si>
    <t>Levinson, Harold N.</t>
  </si>
  <si>
    <t>Lake Success, NY : Stonebridge Pub., c1994.</t>
  </si>
  <si>
    <t>1995-01-18</t>
  </si>
  <si>
    <t>355867121:eng</t>
  </si>
  <si>
    <t>30493827</t>
  </si>
  <si>
    <t>991002341979702656</t>
  </si>
  <si>
    <t>2256040550002656</t>
  </si>
  <si>
    <t>9780963930309</t>
  </si>
  <si>
    <t>32285001993525</t>
  </si>
  <si>
    <t>893622175</t>
  </si>
  <si>
    <t>RC394.W6 L48 1984</t>
  </si>
  <si>
    <t>0                      RC 0394000W  6                  L  48          1984</t>
  </si>
  <si>
    <t>Smart but feeling dumb / Harold N. Levinson.</t>
  </si>
  <si>
    <t>New York, NY : Warner Books, c1984.</t>
  </si>
  <si>
    <t>701695:eng</t>
  </si>
  <si>
    <t>10723904</t>
  </si>
  <si>
    <t>991000414759702656</t>
  </si>
  <si>
    <t>2260803690002656</t>
  </si>
  <si>
    <t>9780446513074</t>
  </si>
  <si>
    <t>32285001206449</t>
  </si>
  <si>
    <t>893896855</t>
  </si>
  <si>
    <t>RC394.W6 N67 1997</t>
  </si>
  <si>
    <t>0                      RC 0394000W  6                  N  67          1997</t>
  </si>
  <si>
    <t>Dyslexia in adults : take charge of your life / Kathleen Nosek.</t>
  </si>
  <si>
    <t>Nosek, Kathleen.</t>
  </si>
  <si>
    <t>Dallas, Texas : Taylor Pub., 1997.</t>
  </si>
  <si>
    <t>2008-09-13</t>
  </si>
  <si>
    <t>1997-07-22</t>
  </si>
  <si>
    <t>1102619433:eng</t>
  </si>
  <si>
    <t>36037771</t>
  </si>
  <si>
    <t>991002745689702656</t>
  </si>
  <si>
    <t>2256761040002656</t>
  </si>
  <si>
    <t>9780878339488</t>
  </si>
  <si>
    <t>32285002883535</t>
  </si>
  <si>
    <t>893873926</t>
  </si>
  <si>
    <t>RC394.W6 P47 1990</t>
  </si>
  <si>
    <t>0                      RC 0394000W  6                  P  47          1990</t>
  </si>
  <si>
    <t>Perspectives on dyslexia / edited by George Th. Pavlidis.</t>
  </si>
  <si>
    <t>Chichester ; New York : Wiley, c1990.</t>
  </si>
  <si>
    <t>1998-02-01</t>
  </si>
  <si>
    <t>1990-12-07</t>
  </si>
  <si>
    <t>55252930:eng</t>
  </si>
  <si>
    <t>20421523</t>
  </si>
  <si>
    <t>991001574639702656</t>
  </si>
  <si>
    <t>2265468010002656</t>
  </si>
  <si>
    <t>9780471924845</t>
  </si>
  <si>
    <t>32285000359009</t>
  </si>
  <si>
    <t>893509695</t>
  </si>
  <si>
    <t>RC394.W6 P57</t>
  </si>
  <si>
    <t>0                      RC 0394000W  6                  P  57</t>
  </si>
  <si>
    <t>The neuropsychology of developmental reading disorders / Francis J. Pirozzolo.</t>
  </si>
  <si>
    <t>Pirozzolo, Francis J.</t>
  </si>
  <si>
    <t>New York : Praeger, 1979.</t>
  </si>
  <si>
    <t>14772617:eng</t>
  </si>
  <si>
    <t>4495631</t>
  </si>
  <si>
    <t>991004657059702656</t>
  </si>
  <si>
    <t>2268101370002656</t>
  </si>
  <si>
    <t>9780030461217</t>
  </si>
  <si>
    <t>32285001589695</t>
  </si>
  <si>
    <t>893526361</t>
  </si>
  <si>
    <t>RC394.W6 R4 1982</t>
  </si>
  <si>
    <t>0                      RC 0394000W  6                  R  4           1982</t>
  </si>
  <si>
    <t>Reading disorders : varieties and treatments / edited by R.N. Malatesha, P.G. Aaron ; with a foreword by O.L. Zangwill.</t>
  </si>
  <si>
    <t>Perspectives in neurolinguistics, neuropsychology, and psycholinguistics</t>
  </si>
  <si>
    <t>1996-10-18</t>
  </si>
  <si>
    <t>889804141:eng</t>
  </si>
  <si>
    <t>8305907</t>
  </si>
  <si>
    <t>991005228999702656</t>
  </si>
  <si>
    <t>2269330600002656</t>
  </si>
  <si>
    <t>9780124663206</t>
  </si>
  <si>
    <t>32285001589703</t>
  </si>
  <si>
    <t>893902328</t>
  </si>
  <si>
    <t>RC394.W6 S49 1981</t>
  </si>
  <si>
    <t>0                      RC 0394000W  6                  S  49          1981</t>
  </si>
  <si>
    <t>Sex differences in dyslexia / edited by Alice Ansara ... [et al.].</t>
  </si>
  <si>
    <t>Towson, Md. : Orton Dyslexia Society, 1981.</t>
  </si>
  <si>
    <t>1995-04-30</t>
  </si>
  <si>
    <t>1993-03-23</t>
  </si>
  <si>
    <t>434034048:eng</t>
  </si>
  <si>
    <t>8668591</t>
  </si>
  <si>
    <t>991000045579702656</t>
  </si>
  <si>
    <t>2270310130002656</t>
  </si>
  <si>
    <t>32285001578383</t>
  </si>
  <si>
    <t>893890348</t>
  </si>
  <si>
    <t>RC394.W6 S87 1985</t>
  </si>
  <si>
    <t>0                      RC 0394000W  6                  S  87          1985</t>
  </si>
  <si>
    <t>Surface dyslexia : neuropsychological and cognitive studies of phonological reading / edited by K.E. Patterson, J.C. Marshall and M. Coltheart.</t>
  </si>
  <si>
    <t>London : Erlbaum, c1985.</t>
  </si>
  <si>
    <t>836694062:eng</t>
  </si>
  <si>
    <t>14905512</t>
  </si>
  <si>
    <t>991000715099702656</t>
  </si>
  <si>
    <t>2260028960002656</t>
  </si>
  <si>
    <t>9780863770265</t>
  </si>
  <si>
    <t>32285001589711</t>
  </si>
  <si>
    <t>893878294</t>
  </si>
  <si>
    <t>RC406.A24 H36 1979</t>
  </si>
  <si>
    <t>0                      RC 0406000A  24                 H  36          1979</t>
  </si>
  <si>
    <t>Autobiography of dying / Archie J. Hanlan ; postscript by Mary S. Hanlan ; edited by Muriel E. Nelson.</t>
  </si>
  <si>
    <t>Hanlan, Archie J.</t>
  </si>
  <si>
    <t>Garden City, N.Y. : Doubleday, 1979.</t>
  </si>
  <si>
    <t>2000-08-26</t>
  </si>
  <si>
    <t>14775058:eng</t>
  </si>
  <si>
    <t>4496370</t>
  </si>
  <si>
    <t>991004659419702656</t>
  </si>
  <si>
    <t>2268713690002656</t>
  </si>
  <si>
    <t>9780385144810</t>
  </si>
  <si>
    <t>32285001589729</t>
  </si>
  <si>
    <t>893519907</t>
  </si>
  <si>
    <t>RC406.A24 M33</t>
  </si>
  <si>
    <t>0                      RC 0406000A  24                 M  33</t>
  </si>
  <si>
    <t>Go not gently : letters from a patient with amyotrophic lateral sclerosis / Frances McGill ; with the editorial assistance of Lilliam G. Kutscher.</t>
  </si>
  <si>
    <t>McGill, Frances, 1920-</t>
  </si>
  <si>
    <t>New York : Arno Press, 1980.</t>
  </si>
  <si>
    <t>Continuing series on thanatology</t>
  </si>
  <si>
    <t>1998-11-01</t>
  </si>
  <si>
    <t>477655:eng</t>
  </si>
  <si>
    <t>6015902</t>
  </si>
  <si>
    <t>991004915189702656</t>
  </si>
  <si>
    <t>2268999190002656</t>
  </si>
  <si>
    <t>9780405126437</t>
  </si>
  <si>
    <t>32285001589737</t>
  </si>
  <si>
    <t>893446453</t>
  </si>
  <si>
    <t>RC406.Q33 R687 1995</t>
  </si>
  <si>
    <t>0                      RC 0406000Q  33                 R  687         1995</t>
  </si>
  <si>
    <t>Saying goodbye to Daniel : when death is the best choice / Juliet Cassuto Rothman.</t>
  </si>
  <si>
    <t>Rothman, Juliet Cassuto, 1942-</t>
  </si>
  <si>
    <t>New York : Continuum, 1995.</t>
  </si>
  <si>
    <t>2006-11-27</t>
  </si>
  <si>
    <t>1996-08-08</t>
  </si>
  <si>
    <t>1028195277:eng</t>
  </si>
  <si>
    <t>32778648</t>
  </si>
  <si>
    <t>991002519519702656</t>
  </si>
  <si>
    <t>2260115050002656</t>
  </si>
  <si>
    <t>9780826408570</t>
  </si>
  <si>
    <t>32285002272085</t>
  </si>
  <si>
    <t>893341542</t>
  </si>
  <si>
    <t>RC406.T4 E18</t>
  </si>
  <si>
    <t>0                      RC 0406000T  4                  E  18</t>
  </si>
  <si>
    <t>Joni / by Joni Eareckson, with Joe Musser.</t>
  </si>
  <si>
    <t>Tada, Joni Eareckson.</t>
  </si>
  <si>
    <t>Minneapolis : World Wide Publications, c1976.</t>
  </si>
  <si>
    <t>2008-04-06</t>
  </si>
  <si>
    <t>572060:eng</t>
  </si>
  <si>
    <t>5793059</t>
  </si>
  <si>
    <t>991004876259702656</t>
  </si>
  <si>
    <t>2272216990002656</t>
  </si>
  <si>
    <t>32285001589745</t>
  </si>
  <si>
    <t>893241935</t>
  </si>
  <si>
    <t>RC423 .B35 1987</t>
  </si>
  <si>
    <t>0                      RC 0423000B  35          1987</t>
  </si>
  <si>
    <t>Communication and cognition in normal aging and dementia / Kathryn A. Bayles, Alfred W. Kaszniak ; with the assistance of Cheryl K. Tomoeda.</t>
  </si>
  <si>
    <t>Bayles, Kathryn A., 1942-</t>
  </si>
  <si>
    <t>Boston : Little, Brown, c1987.</t>
  </si>
  <si>
    <t>2009-04-19</t>
  </si>
  <si>
    <t>1991-05-29</t>
  </si>
  <si>
    <t>7511531:eng</t>
  </si>
  <si>
    <t>14129862</t>
  </si>
  <si>
    <t>991000909279702656</t>
  </si>
  <si>
    <t>2261611640002656</t>
  </si>
  <si>
    <t>9780316083973</t>
  </si>
  <si>
    <t>32285000590215</t>
  </si>
  <si>
    <t>893589853</t>
  </si>
  <si>
    <t>RC423 .B45 1956</t>
  </si>
  <si>
    <t>0                      RC 0423000B  45          1956</t>
  </si>
  <si>
    <t>Speech disorders; principles and practices of therapy / [by] Mildred Freburg Berry [and] Jon Eisenson.</t>
  </si>
  <si>
    <t>Berry, Mildred Freburg.</t>
  </si>
  <si>
    <t>New York : Appleton-Century-Crofts, [1956]</t>
  </si>
  <si>
    <t>1956</t>
  </si>
  <si>
    <t>1997-04-27</t>
  </si>
  <si>
    <t>1992-03-11</t>
  </si>
  <si>
    <t>1297917:eng</t>
  </si>
  <si>
    <t>171447</t>
  </si>
  <si>
    <t>991001787259702656</t>
  </si>
  <si>
    <t>2267265620002656</t>
  </si>
  <si>
    <t>32285000996396</t>
  </si>
  <si>
    <t>893522847</t>
  </si>
  <si>
    <t>RC423 .B48 1985</t>
  </si>
  <si>
    <t>0                      RC 0423000B  48          1985</t>
  </si>
  <si>
    <t>Communication augmentation : a casebook of clinical management / David R. Beukelman, Kathryn M. Yorkston, Patricia A. Dowden.</t>
  </si>
  <si>
    <t>Beukelman, David R., 1943-</t>
  </si>
  <si>
    <t>San Diego, Calif. : College Hill Press, c1985.</t>
  </si>
  <si>
    <t>1995-09-05</t>
  </si>
  <si>
    <t>3939703:eng</t>
  </si>
  <si>
    <t>11468727</t>
  </si>
  <si>
    <t>991000538719702656</t>
  </si>
  <si>
    <t>2264766790002656</t>
  </si>
  <si>
    <t>9780887441028</t>
  </si>
  <si>
    <t>32285001114973</t>
  </si>
  <si>
    <t>893237396</t>
  </si>
  <si>
    <t>RC423 .D4</t>
  </si>
  <si>
    <t>0                      RC 0423000D  4</t>
  </si>
  <si>
    <t>The diagnosis and treatment of speech and reading problems / illus. by Mary Lee Lowry.</t>
  </si>
  <si>
    <t>Delacato, Carl H.</t>
  </si>
  <si>
    <t>Springfield, Ill. : Thomas, [1963]</t>
  </si>
  <si>
    <t>1992-01-22</t>
  </si>
  <si>
    <t>1990-03-01</t>
  </si>
  <si>
    <t>150504:eng</t>
  </si>
  <si>
    <t>347246</t>
  </si>
  <si>
    <t>991005265849702656</t>
  </si>
  <si>
    <t>2272338310002656</t>
  </si>
  <si>
    <t>32285000063429</t>
  </si>
  <si>
    <t>893236564</t>
  </si>
  <si>
    <t>RC423 .G45 1983</t>
  </si>
  <si>
    <t>0                      RC 0423000G  45          1983</t>
  </si>
  <si>
    <t>Genetic aspects of speech and language disorders / edited by Christy L. Ludlow, Judith A. Cooper.</t>
  </si>
  <si>
    <t>350106214:eng</t>
  </si>
  <si>
    <t>9576514</t>
  </si>
  <si>
    <t>991000221439702656</t>
  </si>
  <si>
    <t>2267568400002656</t>
  </si>
  <si>
    <t>9780124593503</t>
  </si>
  <si>
    <t>32285001114965</t>
  </si>
  <si>
    <t>893419308</t>
  </si>
  <si>
    <t>RC423 .I55</t>
  </si>
  <si>
    <t>0                      RC 0423000I  55</t>
  </si>
  <si>
    <t>Introduction to communication disorders / edited by Thomas J. Hixon, Lawrence D. Shriberg, John H. Saxman.</t>
  </si>
  <si>
    <t>Englewood Cliffs, N.J. : Prentice-Hall, c1980.</t>
  </si>
  <si>
    <t>1998-12-05</t>
  </si>
  <si>
    <t>1992-04-29</t>
  </si>
  <si>
    <t>363908172:eng</t>
  </si>
  <si>
    <t>4804718</t>
  </si>
  <si>
    <t>991004722089702656</t>
  </si>
  <si>
    <t>2270340000002656</t>
  </si>
  <si>
    <t>32285001103190</t>
  </si>
  <si>
    <t>893532726</t>
  </si>
  <si>
    <t>RC423 .M62 1982</t>
  </si>
  <si>
    <t>0                      RC 0423000M  62          1982</t>
  </si>
  <si>
    <t>Methods of modifying speech behaviors : learning theory in speech pathology / Donald E. Mowrer.</t>
  </si>
  <si>
    <t>Mowrer, Donald E.</t>
  </si>
  <si>
    <t>Columbus, Ohio : C. E. Merrill Pub. Co., c1982.</t>
  </si>
  <si>
    <t>1998-10-30</t>
  </si>
  <si>
    <t>1991-11-19</t>
  </si>
  <si>
    <t>2564860355:eng</t>
  </si>
  <si>
    <t>8443074</t>
  </si>
  <si>
    <t>991005244039702656</t>
  </si>
  <si>
    <t>2259941050002656</t>
  </si>
  <si>
    <t>9780675098885</t>
  </si>
  <si>
    <t>32285000824994</t>
  </si>
  <si>
    <t>893248599</t>
  </si>
  <si>
    <t>RC423 .M76</t>
  </si>
  <si>
    <t>0                      RC 0423000M  76</t>
  </si>
  <si>
    <t>Communication programming for the severely handicapped : vocal and non-vocal strategies / Caroline Ramsey Musselwhite, Karen Waterman St. Louis.</t>
  </si>
  <si>
    <t>Musselwhite, Caroline Ramsey.</t>
  </si>
  <si>
    <t>Houston, Tex. : College-Hill Press, 1982.</t>
  </si>
  <si>
    <t>1997-04-26</t>
  </si>
  <si>
    <t>1103799081:eng</t>
  </si>
  <si>
    <t>7276543</t>
  </si>
  <si>
    <t>991005097659702656</t>
  </si>
  <si>
    <t>2260002660002656</t>
  </si>
  <si>
    <t>9780933014640</t>
  </si>
  <si>
    <t>32285001114940</t>
  </si>
  <si>
    <t>893230202</t>
  </si>
  <si>
    <t>RC423 .M86</t>
  </si>
  <si>
    <t>0                      RC 0423000M  86</t>
  </si>
  <si>
    <t>Speech pathology and feedback theory, by Edward D. Mysak.</t>
  </si>
  <si>
    <t>Mysak, Edward Damien, 1930-</t>
  </si>
  <si>
    <t>Springfield, Ill., Thomas [1966]</t>
  </si>
  <si>
    <t>150499070:eng</t>
  </si>
  <si>
    <t>256642</t>
  </si>
  <si>
    <t>991002001789702656</t>
  </si>
  <si>
    <t>2272273640002656</t>
  </si>
  <si>
    <t>32285003090031</t>
  </si>
  <si>
    <t>893898274</t>
  </si>
  <si>
    <t>RC423 .N25</t>
  </si>
  <si>
    <t>0                      RC 0423000N  25</t>
  </si>
  <si>
    <t>Diagnosis of speech and language disorders / James E. Nation, Dorothy M. Aram.</t>
  </si>
  <si>
    <t>Nation, James E., 1933-</t>
  </si>
  <si>
    <t>Saint Louis : Mosby, 1977.</t>
  </si>
  <si>
    <t>1994-02-22</t>
  </si>
  <si>
    <t>1992-04-07</t>
  </si>
  <si>
    <t>3578633:eng</t>
  </si>
  <si>
    <t>2388191</t>
  </si>
  <si>
    <t>991005265869702656</t>
  </si>
  <si>
    <t>2259222450002656</t>
  </si>
  <si>
    <t>9780801636318</t>
  </si>
  <si>
    <t>32285001055614</t>
  </si>
  <si>
    <t>893808101</t>
  </si>
  <si>
    <t>RC423 .P43 1977</t>
  </si>
  <si>
    <t>0                      RC 0423000P  43          1977</t>
  </si>
  <si>
    <t>Speech pathology : an applied behavioral science / William H. Perkins.</t>
  </si>
  <si>
    <t>Perkins, William H. (William Hughes), 1923-</t>
  </si>
  <si>
    <t>Saint Louis : C. V. Mosby Co., 1977.</t>
  </si>
  <si>
    <t>1994-02-28</t>
  </si>
  <si>
    <t>1277441:eng</t>
  </si>
  <si>
    <t>2347006</t>
  </si>
  <si>
    <t>991004092959702656</t>
  </si>
  <si>
    <t>2263616160002656</t>
  </si>
  <si>
    <t>9780801637858</t>
  </si>
  <si>
    <t>32285000824986</t>
  </si>
  <si>
    <t>893253232</t>
  </si>
  <si>
    <t>RC423 .P47</t>
  </si>
  <si>
    <t>0                      RC 0423000P  47</t>
  </si>
  <si>
    <t>Appraisal and diagnosis of speech and language disorders / Harold A. Peterson, Thomas P. Marquardt.</t>
  </si>
  <si>
    <t>Peterson, Harold A., 1926-</t>
  </si>
  <si>
    <t>Englewood Cliffs, N.J. : Prentice-Hall, c1981.</t>
  </si>
  <si>
    <t>1992-11-11</t>
  </si>
  <si>
    <t>21508855:eng</t>
  </si>
  <si>
    <t>6379058</t>
  </si>
  <si>
    <t>991004974609702656</t>
  </si>
  <si>
    <t>2270746630002656</t>
  </si>
  <si>
    <t>9780130435057</t>
  </si>
  <si>
    <t>32285001425718</t>
  </si>
  <si>
    <t>893230059</t>
  </si>
  <si>
    <t>RC423 .S638</t>
  </si>
  <si>
    <t>0                      RC 0423000S  638</t>
  </si>
  <si>
    <t>Speech and language problems : an overview / edited by Morris Val Jones ; with a foreword by Virgil A. Anderson.</t>
  </si>
  <si>
    <t>American lecture series ; publication no. 1022</t>
  </si>
  <si>
    <t>471918:eng</t>
  </si>
  <si>
    <t>3649910</t>
  </si>
  <si>
    <t>991004487589702656</t>
  </si>
  <si>
    <t>2255899920002656</t>
  </si>
  <si>
    <t>9780398037901</t>
  </si>
  <si>
    <t>32285000088509</t>
  </si>
  <si>
    <t>893876174</t>
  </si>
  <si>
    <t>RC424 .A3</t>
  </si>
  <si>
    <t>0                      RC 0424000A  3</t>
  </si>
  <si>
    <t>A clinician's guide to stuttering.</t>
  </si>
  <si>
    <t>Adler, Sol, 1925-</t>
  </si>
  <si>
    <t>Springfield, Ill., C. C. Thomas [c1966]</t>
  </si>
  <si>
    <t>2004-11-14</t>
  </si>
  <si>
    <t>1633240:eng</t>
  </si>
  <si>
    <t>608765</t>
  </si>
  <si>
    <t>991003048069702656</t>
  </si>
  <si>
    <t>2254750560002656</t>
  </si>
  <si>
    <t>32285003090098</t>
  </si>
  <si>
    <t>893428383</t>
  </si>
  <si>
    <t>RC424 .F3</t>
  </si>
  <si>
    <t>0                      RC 0424000F  3</t>
  </si>
  <si>
    <t>Stuttering : learned and unlearned / by Frank J. Falck. With a foreword by Jane Beasley Raph.</t>
  </si>
  <si>
    <t>Falck, Frank J. (Frank James), 1925-</t>
  </si>
  <si>
    <t>Springfield, Ill. : Thomas, [1969]</t>
  </si>
  <si>
    <t>2002-12-02</t>
  </si>
  <si>
    <t>1990-12-28</t>
  </si>
  <si>
    <t>422155635:eng</t>
  </si>
  <si>
    <t>2546</t>
  </si>
  <si>
    <t>991005434749702656</t>
  </si>
  <si>
    <t>2262650960002656</t>
  </si>
  <si>
    <t>32285000426618</t>
  </si>
  <si>
    <t>893263845</t>
  </si>
  <si>
    <t>RC424 .F69 1984</t>
  </si>
  <si>
    <t>0                      RC 0424000F  69          1984</t>
  </si>
  <si>
    <t>Self-therapy for the stutterer / Malcolm Fraser.</t>
  </si>
  <si>
    <t>Fraser, Malcolm.</t>
  </si>
  <si>
    <t>Memphis : Speech Foundation of America, [1984?]</t>
  </si>
  <si>
    <t>5th ed.</t>
  </si>
  <si>
    <t>Publication (Speech Foundation of America) ; no. 12</t>
  </si>
  <si>
    <t>2007-12-14</t>
  </si>
  <si>
    <t>1993-03-19</t>
  </si>
  <si>
    <t>3062822:eng</t>
  </si>
  <si>
    <t>12278454</t>
  </si>
  <si>
    <t>991000665879702656</t>
  </si>
  <si>
    <t>2270345120002656</t>
  </si>
  <si>
    <t>9780933388246</t>
  </si>
  <si>
    <t>32285001605046</t>
  </si>
  <si>
    <t>893903114</t>
  </si>
  <si>
    <t>RC424 .F7</t>
  </si>
  <si>
    <t>0                      RC 0424000F  7</t>
  </si>
  <si>
    <t>Psychopathology and the problems of stuttering, with special consideration of clinical and historical aspects. With a foreword by Charles Van Riper.</t>
  </si>
  <si>
    <t>Freund, Henry.</t>
  </si>
  <si>
    <t>Springfield, Ill., C.C. Thomas [1966]</t>
  </si>
  <si>
    <t>American lecture series ; publication no. 641. American lectures in speech and hearing</t>
  </si>
  <si>
    <t>289178:eng</t>
  </si>
  <si>
    <t>610702</t>
  </si>
  <si>
    <t>991003050889702656</t>
  </si>
  <si>
    <t>2267995410002656</t>
  </si>
  <si>
    <t>32285003090130</t>
  </si>
  <si>
    <t>893698626</t>
  </si>
  <si>
    <t>RC424 .I53 1984</t>
  </si>
  <si>
    <t>0                      RC 0424000I  53          1984</t>
  </si>
  <si>
    <t>Stuttering and behavior therapy : current status and experimental foundations / by Roger John Ingham.</t>
  </si>
  <si>
    <t>Ingham, Roger J., 1945-</t>
  </si>
  <si>
    <t>San Diego, Calif. : College-Hill Press, c1984.</t>
  </si>
  <si>
    <t>2001-04-09</t>
  </si>
  <si>
    <t>43127749:eng</t>
  </si>
  <si>
    <t>9619751</t>
  </si>
  <si>
    <t>991000225769702656</t>
  </si>
  <si>
    <t>2255515230002656</t>
  </si>
  <si>
    <t>9780933014725</t>
  </si>
  <si>
    <t>32285001605053</t>
  </si>
  <si>
    <t>893413199</t>
  </si>
  <si>
    <t>RC424 .I78</t>
  </si>
  <si>
    <t>0                      RC 0424000I  78</t>
  </si>
  <si>
    <t>Successful treatment of stuttering / Ann Irwin.</t>
  </si>
  <si>
    <t>Irwin, Ann.</t>
  </si>
  <si>
    <t>New York : Walker, c1980, 1981.</t>
  </si>
  <si>
    <t>2007-09-12</t>
  </si>
  <si>
    <t>453997:eng</t>
  </si>
  <si>
    <t>7173508</t>
  </si>
  <si>
    <t>991005082029702656</t>
  </si>
  <si>
    <t>2255509590002656</t>
  </si>
  <si>
    <t>9780802706713</t>
  </si>
  <si>
    <t>32285001605061</t>
  </si>
  <si>
    <t>893776797</t>
  </si>
  <si>
    <t>RC424 .J764</t>
  </si>
  <si>
    <t>0                      RC 0424000J  764</t>
  </si>
  <si>
    <t>Stuttering in children and adults : thirty years of research at the University of Iowa / edited by Wendell Johnson, assisted by Ralph R. Leutenegger.</t>
  </si>
  <si>
    <t>Johnson, Wendell, 1906-1965.</t>
  </si>
  <si>
    <t>Minneapolis : University of Minnesota Press, [1956, c1955]</t>
  </si>
  <si>
    <t>1990-04-10</t>
  </si>
  <si>
    <t>1467798:eng</t>
  </si>
  <si>
    <t>289629</t>
  </si>
  <si>
    <t>991002219269702656</t>
  </si>
  <si>
    <t>2262022580002656</t>
  </si>
  <si>
    <t>32285000104629</t>
  </si>
  <si>
    <t>893250956</t>
  </si>
  <si>
    <t>RC424 .L87</t>
  </si>
  <si>
    <t>0                      RC 0424000L  87</t>
  </si>
  <si>
    <t>Stuttering therapy for children [by] Harold L. Luper [and] Robert L. Mulder.</t>
  </si>
  <si>
    <t>Luper, Harold L. (Harold Lee)</t>
  </si>
  <si>
    <t>Englewood Cliffs, N.J., Prentice-Hall [1964]</t>
  </si>
  <si>
    <t>1809964:eng</t>
  </si>
  <si>
    <t>645419</t>
  </si>
  <si>
    <t>991005265859702656</t>
  </si>
  <si>
    <t>2259789590002656</t>
  </si>
  <si>
    <t>32285003090163</t>
  </si>
  <si>
    <t>893338831</t>
  </si>
  <si>
    <t>RC424 .M78</t>
  </si>
  <si>
    <t>0                      RC 0424000M  78</t>
  </si>
  <si>
    <t>Stammering : its correction through the re-education of the speech function / with a foreword by H. St. John Rumsey.</t>
  </si>
  <si>
    <t>Muirden, Ronald.</t>
  </si>
  <si>
    <t>Springfield, Ill. : Thomas, [1968]</t>
  </si>
  <si>
    <t>1993-09-14</t>
  </si>
  <si>
    <t>2630748:eng</t>
  </si>
  <si>
    <t>1818009</t>
  </si>
  <si>
    <t>991003898379702656</t>
  </si>
  <si>
    <t>2267547060002656</t>
  </si>
  <si>
    <t>32285000104611</t>
  </si>
  <si>
    <t>893687103</t>
  </si>
  <si>
    <t>RC424 .M8</t>
  </si>
  <si>
    <t>0                      RC 0424000M  8</t>
  </si>
  <si>
    <t>Stuttering and personality dynamics; play therapy, projective therapy, and counseling [by] Albert T. Murphy and Ruth M. Fitzsimons.</t>
  </si>
  <si>
    <t>Murphy, Albert T.</t>
  </si>
  <si>
    <t>New York, Ronald [c1960]</t>
  </si>
  <si>
    <t>1960</t>
  </si>
  <si>
    <t>8469610:eng</t>
  </si>
  <si>
    <t>14618350</t>
  </si>
  <si>
    <t>991000949389702656</t>
  </si>
  <si>
    <t>2269323920002656</t>
  </si>
  <si>
    <t>32285003090171</t>
  </si>
  <si>
    <t>893872164</t>
  </si>
  <si>
    <t>RC424 .R83</t>
  </si>
  <si>
    <t>0                      RC 0424000R  83</t>
  </si>
  <si>
    <t>Introduction to stuttering / [by] Frank B. Robinson.</t>
  </si>
  <si>
    <t>Robinson, Frank B. (Frank Bennett), 1914-</t>
  </si>
  <si>
    <t>Englewood Cliffs, N.J. : Prentice-Hall, [1964]</t>
  </si>
  <si>
    <t>Foundations of speech pathology series</t>
  </si>
  <si>
    <t>1994-03-01</t>
  </si>
  <si>
    <t>1644132:eng</t>
  </si>
  <si>
    <t>610690</t>
  </si>
  <si>
    <t>991005265879702656</t>
  </si>
  <si>
    <t>2267975950002656</t>
  </si>
  <si>
    <t>32285001850717</t>
  </si>
  <si>
    <t>893789710</t>
  </si>
  <si>
    <t>RC424 .S555</t>
  </si>
  <si>
    <t>0                      RC 0424000S  555</t>
  </si>
  <si>
    <t>Operant conditioning and the management of stuttering : a book for clinicians / George H. Shames, Donald B. Egolf.</t>
  </si>
  <si>
    <t>Shames, George H., 1926-</t>
  </si>
  <si>
    <t>Englewood Cliffs, N.J. : Prentice-Hall, [1976]</t>
  </si>
  <si>
    <t>1995-09-29</t>
  </si>
  <si>
    <t>2269354:eng</t>
  </si>
  <si>
    <t>1364101</t>
  </si>
  <si>
    <t>991003718479702656</t>
  </si>
  <si>
    <t>2257035190002656</t>
  </si>
  <si>
    <t>9780136373223</t>
  </si>
  <si>
    <t>32285001850709</t>
  </si>
  <si>
    <t>893592809</t>
  </si>
  <si>
    <t>RC424 .S564 2005</t>
  </si>
  <si>
    <t>0                      RC 0424000S  564         2005</t>
  </si>
  <si>
    <t>Stutter / Marc Shell.</t>
  </si>
  <si>
    <t>Shell, Marc.</t>
  </si>
  <si>
    <t>Cambridge, Mass. : Harvard University Press, 2005.</t>
  </si>
  <si>
    <t>2006-06-26</t>
  </si>
  <si>
    <t>932557:eng</t>
  </si>
  <si>
    <t>60791768</t>
  </si>
  <si>
    <t>991004834179702656</t>
  </si>
  <si>
    <t>2261220020002656</t>
  </si>
  <si>
    <t>9780674019379</t>
  </si>
  <si>
    <t>32285005192033</t>
  </si>
  <si>
    <t>893430546</t>
  </si>
  <si>
    <t>RC424 .W56</t>
  </si>
  <si>
    <t>0                      RC 0424000W  56</t>
  </si>
  <si>
    <t>Stuttering : theory and treatment / by Marcel E. Wingate.</t>
  </si>
  <si>
    <t>Wingate, Marcel E. (Marcel Edward), 1923-2006.</t>
  </si>
  <si>
    <t>New York : Irvington Publishers : distributed by Halsted Press, c1976.</t>
  </si>
  <si>
    <t>Speech and hearing series</t>
  </si>
  <si>
    <t>821981298:eng</t>
  </si>
  <si>
    <t>2318112</t>
  </si>
  <si>
    <t>991004076209702656</t>
  </si>
  <si>
    <t>2263935370002656</t>
  </si>
  <si>
    <t>9780470151716</t>
  </si>
  <si>
    <t>32285000104603</t>
  </si>
  <si>
    <t>893324898</t>
  </si>
  <si>
    <t>RC424.7 .R45 1985</t>
  </si>
  <si>
    <t>0                      RC 0424700R  45          1985</t>
  </si>
  <si>
    <t>Aphasia and brain organization / Ivar Reinvang.</t>
  </si>
  <si>
    <t>Reinvang, Ivar.</t>
  </si>
  <si>
    <t>New York : Plenum Press, c1985.</t>
  </si>
  <si>
    <t>Applied psycholinguistics and communication disorders</t>
  </si>
  <si>
    <t>2007-04-30</t>
  </si>
  <si>
    <t>2007-07-11</t>
  </si>
  <si>
    <t>4815683:eng</t>
  </si>
  <si>
    <t>12104387</t>
  </si>
  <si>
    <t>991001772999702656</t>
  </si>
  <si>
    <t>2260091380002656</t>
  </si>
  <si>
    <t>9780306419751</t>
  </si>
  <si>
    <t>32285000072404</t>
  </si>
  <si>
    <t>893872790</t>
  </si>
  <si>
    <t>RC425 .A26</t>
  </si>
  <si>
    <t>0                      RC 0425000A  26</t>
  </si>
  <si>
    <t>Acquired aphasia / edited by Martha Taylor Sarno.</t>
  </si>
  <si>
    <t>New York ; London : Academic Press, c1981.</t>
  </si>
  <si>
    <t>863428125:eng</t>
  </si>
  <si>
    <t>7739081</t>
  </si>
  <si>
    <t>991005155399702656</t>
  </si>
  <si>
    <t>2258583910002656</t>
  </si>
  <si>
    <t>9780126193206</t>
  </si>
  <si>
    <t>32285001605095</t>
  </si>
  <si>
    <t>893242297</t>
  </si>
  <si>
    <t>RC425 .A35 1964</t>
  </si>
  <si>
    <t>0                      RC 0425000A  35          1964</t>
  </si>
  <si>
    <t>Aphasia handbook for adults and children / by Aleen Agranowitz and Milfred Riddle McKeown. With a foreword by J. M. Nielsen.</t>
  </si>
  <si>
    <t>Agranowitz, Aleen.</t>
  </si>
  <si>
    <t>Springfield, Ill. : C. C. Thomas, [1964]</t>
  </si>
  <si>
    <t>1997-05-20</t>
  </si>
  <si>
    <t>1990-05-10</t>
  </si>
  <si>
    <t>253203:eng</t>
  </si>
  <si>
    <t>400306</t>
  </si>
  <si>
    <t>991005266179702656</t>
  </si>
  <si>
    <t>2268565630002656</t>
  </si>
  <si>
    <t>32285000139245</t>
  </si>
  <si>
    <t>893720097</t>
  </si>
  <si>
    <t>RC425 .B33</t>
  </si>
  <si>
    <t>0                      RC 0425000B  33</t>
  </si>
  <si>
    <t>The aphasic patient : a program for auditory comprehension and language training : clinician's edition / by William P. Baer.</t>
  </si>
  <si>
    <t>Baer, William P.</t>
  </si>
  <si>
    <t>Springfield, Ill. : C. C. Thomas, 1976.</t>
  </si>
  <si>
    <t>2003-05-27</t>
  </si>
  <si>
    <t>4605993:eng</t>
  </si>
  <si>
    <t>2284072</t>
  </si>
  <si>
    <t>991004066039702656</t>
  </si>
  <si>
    <t>2266577160002656</t>
  </si>
  <si>
    <t>9780398035679</t>
  </si>
  <si>
    <t>32285003090205</t>
  </si>
  <si>
    <t>893259291</t>
  </si>
  <si>
    <t>RC425 .B77</t>
  </si>
  <si>
    <t>0                      RC 0425000B  77</t>
  </si>
  <si>
    <t>Aphasia, apraxia, and agnosia : clinical and theoretical aspects / by Jason W. Brown.</t>
  </si>
  <si>
    <t>Springfield, Ill. : C.C. Thomas, [1972]</t>
  </si>
  <si>
    <t>1972</t>
  </si>
  <si>
    <t>1994-02-15</t>
  </si>
  <si>
    <t>180892:eng</t>
  </si>
  <si>
    <t>340253</t>
  </si>
  <si>
    <t>991002412359702656</t>
  </si>
  <si>
    <t>2262545190002656</t>
  </si>
  <si>
    <t>9780398022112</t>
  </si>
  <si>
    <t>32285000062991</t>
  </si>
  <si>
    <t>893786104</t>
  </si>
  <si>
    <t>RC425 .C59 1987</t>
  </si>
  <si>
    <t>0                      RC 0425000C  59          1987</t>
  </si>
  <si>
    <t>Language, aphasia, and the right hemisphere / Chris Code.</t>
  </si>
  <si>
    <t>Code, Christopher.</t>
  </si>
  <si>
    <t>Chichester ; New York : Wiley, c1987.</t>
  </si>
  <si>
    <t>2006-01-18</t>
  </si>
  <si>
    <t>7325471:eng</t>
  </si>
  <si>
    <t>13822607</t>
  </si>
  <si>
    <t>991000879279702656</t>
  </si>
  <si>
    <t>2265378010002656</t>
  </si>
  <si>
    <t>9780471911586</t>
  </si>
  <si>
    <t>32285000072412</t>
  </si>
  <si>
    <t>893620882</t>
  </si>
  <si>
    <t>RC425 .K47</t>
  </si>
  <si>
    <t>0                      RC 0425000K  47</t>
  </si>
  <si>
    <t>Aphasia and associated disorders : taxonomy, localization, and recovery / Andrew Kertesz.</t>
  </si>
  <si>
    <t>Kertesz, Andrew.</t>
  </si>
  <si>
    <t>New York : Grune &amp; Stratton, c1979.</t>
  </si>
  <si>
    <t>864895424:eng</t>
  </si>
  <si>
    <t>5170970</t>
  </si>
  <si>
    <t>991004790559702656</t>
  </si>
  <si>
    <t>2259309050002656</t>
  </si>
  <si>
    <t>9780808911937</t>
  </si>
  <si>
    <t>32285001605129</t>
  </si>
  <si>
    <t>893263438</t>
  </si>
  <si>
    <t>RC425 .K74 1987</t>
  </si>
  <si>
    <t>0                      RC 0425000K  74          1987</t>
  </si>
  <si>
    <t>Blitzed by a stroke / [John L. Krehbiel] ; edited, published, and illustrated by Charlene Wisby Schoonover.</t>
  </si>
  <si>
    <t>Krehbiel, John L.</t>
  </si>
  <si>
    <t>Hutchinson, Kan. : Standard Press, c1987.</t>
  </si>
  <si>
    <t>ksu</t>
  </si>
  <si>
    <t>12155970:eng</t>
  </si>
  <si>
    <t>16663099</t>
  </si>
  <si>
    <t>991001127689702656</t>
  </si>
  <si>
    <t>2265662760002656</t>
  </si>
  <si>
    <t>32285001605137</t>
  </si>
  <si>
    <t>893509407</t>
  </si>
  <si>
    <t>RC425 .M235</t>
  </si>
  <si>
    <t>0                      RC 0425000M  235</t>
  </si>
  <si>
    <t>Neurological bases of learning disorders / by F. Joseph McGrane.</t>
  </si>
  <si>
    <t>McGrane, Franklin Joseph.</t>
  </si>
  <si>
    <t>Washington : Jameson-Quigley Publications, 1976.</t>
  </si>
  <si>
    <t>The mind and brain of man ; book 1</t>
  </si>
  <si>
    <t>2003-11-21</t>
  </si>
  <si>
    <t>5901765:eng</t>
  </si>
  <si>
    <t>2644622</t>
  </si>
  <si>
    <t>991004196149702656</t>
  </si>
  <si>
    <t>2255266890002656</t>
  </si>
  <si>
    <t>32285003090221</t>
  </si>
  <si>
    <t>893599541</t>
  </si>
  <si>
    <t>RC425 .S32 1982</t>
  </si>
  <si>
    <t>0                      RC 0425000S  32          1982</t>
  </si>
  <si>
    <t>Aphasia theory and therapy : selected lectures and papers of Hildred Schuell / edited with an introductory chapter by Luther F. Sies.</t>
  </si>
  <si>
    <t>Schuell, Hildred.</t>
  </si>
  <si>
    <t>Washington, D.C. : University Press of America, c1982.</t>
  </si>
  <si>
    <t>1675710:eng</t>
  </si>
  <si>
    <t>8928506</t>
  </si>
  <si>
    <t>991000095459702656</t>
  </si>
  <si>
    <t>2264463440002656</t>
  </si>
  <si>
    <t>9780819127686</t>
  </si>
  <si>
    <t>32285001605145</t>
  </si>
  <si>
    <t>893689418</t>
  </si>
  <si>
    <t>RC427 .A5 1970</t>
  </si>
  <si>
    <t>0                      RC 0427000A  5           1970</t>
  </si>
  <si>
    <t>Therapy for young stutterers: the Kopp method, by Elwood G. Anderson.</t>
  </si>
  <si>
    <t>Anderson, Elwood G.</t>
  </si>
  <si>
    <t>Detroit, Wayne State University Press, 1970.</t>
  </si>
  <si>
    <t>[Rev. ed.]</t>
  </si>
  <si>
    <t>A Savoyard book</t>
  </si>
  <si>
    <t>197761613:eng</t>
  </si>
  <si>
    <t>88776</t>
  </si>
  <si>
    <t>991000523629702656</t>
  </si>
  <si>
    <t>2269437050002656</t>
  </si>
  <si>
    <t>32285003090254</t>
  </si>
  <si>
    <t>893708449</t>
  </si>
  <si>
    <t>RC427 .C66</t>
  </si>
  <si>
    <t>0                      RC 0427000C  66</t>
  </si>
  <si>
    <t>Modern techniques of vocal rehabilitation.</t>
  </si>
  <si>
    <t>Cooper, Morton, 1931-</t>
  </si>
  <si>
    <t>Springfield, Ill., Thomas [1973]</t>
  </si>
  <si>
    <t>American lecture series, publication no. 849. A monograph in the Bannerstone division of American lectures in speech and hearing</t>
  </si>
  <si>
    <t>2007-08-20</t>
  </si>
  <si>
    <t>471311:eng</t>
  </si>
  <si>
    <t>621957</t>
  </si>
  <si>
    <t>991003065419702656</t>
  </si>
  <si>
    <t>2257094790002656</t>
  </si>
  <si>
    <t>9780398024512</t>
  </si>
  <si>
    <t>32285003090262</t>
  </si>
  <si>
    <t>893717279</t>
  </si>
  <si>
    <t>RC429 .B37 1978</t>
  </si>
  <si>
    <t>0                      RC 0429000B  37          1978</t>
  </si>
  <si>
    <t>Oral myofunctional disorders / Richard H. Barrett, Marvin L. Hanson.</t>
  </si>
  <si>
    <t>Barrett, Richard H. (Richard Howard), 1915-</t>
  </si>
  <si>
    <t>Saint Louis : Mosby, 1978.</t>
  </si>
  <si>
    <t>2003-03-22</t>
  </si>
  <si>
    <t>1899773:eng</t>
  </si>
  <si>
    <t>3843372</t>
  </si>
  <si>
    <t>991001792829702656</t>
  </si>
  <si>
    <t>2266425310002656</t>
  </si>
  <si>
    <t>9780801604973</t>
  </si>
  <si>
    <t>32285001605152</t>
  </si>
  <si>
    <t>893433145</t>
  </si>
  <si>
    <t>RC429 .B56 1995</t>
  </si>
  <si>
    <t>0                      RC 0429000B  56          1995</t>
  </si>
  <si>
    <t>Bilingual speech-language pathology : an Hispanic focus / edited by Hortencia Kayser.</t>
  </si>
  <si>
    <t>San Diego, Calif. : Singular Pub. Group, 1995.</t>
  </si>
  <si>
    <t>Culture, rehabilitation, and education series</t>
  </si>
  <si>
    <t>1997-04-17</t>
  </si>
  <si>
    <t>1995-05-15</t>
  </si>
  <si>
    <t>891374272:eng</t>
  </si>
  <si>
    <t>32131945</t>
  </si>
  <si>
    <t>991002466159702656</t>
  </si>
  <si>
    <t>2260847830002656</t>
  </si>
  <si>
    <t>9781565932050</t>
  </si>
  <si>
    <t>32285002039419</t>
  </si>
  <si>
    <t>893251270</t>
  </si>
  <si>
    <t>RC437.5 .P44 1982</t>
  </si>
  <si>
    <t>0                      RC 0437500P  44          1982</t>
  </si>
  <si>
    <t>Philosophy, religion, and psychotherapy : essays in the philosophical foundations of psychotherapy / edited by Paul W. Sharkey.</t>
  </si>
  <si>
    <t>1998-11-08</t>
  </si>
  <si>
    <t>30925721:eng</t>
  </si>
  <si>
    <t>8219130</t>
  </si>
  <si>
    <t>991005219189702656</t>
  </si>
  <si>
    <t>2255333020002656</t>
  </si>
  <si>
    <t>9780819123312</t>
  </si>
  <si>
    <t>32285001605194</t>
  </si>
  <si>
    <t>893248565</t>
  </si>
  <si>
    <t>RC437.5 .R67</t>
  </si>
  <si>
    <t>0                      RC 0437500R  67</t>
  </si>
  <si>
    <t>Damnation and deviance : the Protestant ethic and the spirit of failure / Mordechai Rotenberg.</t>
  </si>
  <si>
    <t>Rotenberg, Mordechai.</t>
  </si>
  <si>
    <t>New York : Free Press, c1978.</t>
  </si>
  <si>
    <t>2005-11-18</t>
  </si>
  <si>
    <t>375191563:eng</t>
  </si>
  <si>
    <t>4057434</t>
  </si>
  <si>
    <t>991004580889702656</t>
  </si>
  <si>
    <t>2269660030002656</t>
  </si>
  <si>
    <t>9780029274903</t>
  </si>
  <si>
    <t>32285001605202</t>
  </si>
  <si>
    <t>893810582</t>
  </si>
  <si>
    <t>RC437.5 .S33</t>
  </si>
  <si>
    <t>0                      RC 0437500S  33</t>
  </si>
  <si>
    <t>Labeling madness / edited by Thomas J. Scheff.</t>
  </si>
  <si>
    <t>Scheff, Thomas J., compiler.</t>
  </si>
  <si>
    <t>Englewood Cliffs, N.J. : Prentice-Hall, [1975]</t>
  </si>
  <si>
    <t>A Spectrum book</t>
  </si>
  <si>
    <t>2002-02-10</t>
  </si>
  <si>
    <t>1993-01-05</t>
  </si>
  <si>
    <t>355740543:eng</t>
  </si>
  <si>
    <t>1195866</t>
  </si>
  <si>
    <t>991003612989702656</t>
  </si>
  <si>
    <t>2260120860002656</t>
  </si>
  <si>
    <t>9780135173671</t>
  </si>
  <si>
    <t>32285001471720</t>
  </si>
  <si>
    <t>893525012</t>
  </si>
  <si>
    <t>RC437.5 .S53</t>
  </si>
  <si>
    <t>0                      RC 0437500S  53</t>
  </si>
  <si>
    <t>Models of madness, models of medicine / [by] Miriam Siegler [and] Humphry Osmond.</t>
  </si>
  <si>
    <t>Siegler, Miriam.</t>
  </si>
  <si>
    <t>New York : Macmillan, [1974]</t>
  </si>
  <si>
    <t>1994-03-25</t>
  </si>
  <si>
    <t>1837562:eng</t>
  </si>
  <si>
    <t>902854</t>
  </si>
  <si>
    <t>991003367759702656</t>
  </si>
  <si>
    <t>2262736740002656</t>
  </si>
  <si>
    <t>9780025940000</t>
  </si>
  <si>
    <t>32285001471712</t>
  </si>
  <si>
    <t>893899926</t>
  </si>
  <si>
    <t>RC437.5 .S927 1984</t>
  </si>
  <si>
    <t>0                      RC 0437500S  927         1984</t>
  </si>
  <si>
    <t>The therapeutic state : psychiatry in the mirror of current events / Thomas Szasz.</t>
  </si>
  <si>
    <t>Szasz, Thomas, 1920-2012.</t>
  </si>
  <si>
    <t>Buffalo, N.Y. : Prometheus Books, 1984.</t>
  </si>
  <si>
    <t>2005-04-03</t>
  </si>
  <si>
    <t>3352266:eng</t>
  </si>
  <si>
    <t>10989447</t>
  </si>
  <si>
    <t>991000467949702656</t>
  </si>
  <si>
    <t>2257801200002656</t>
  </si>
  <si>
    <t>9780879752422</t>
  </si>
  <si>
    <t>32285001068500</t>
  </si>
  <si>
    <t>893683437</t>
  </si>
  <si>
    <t>RC437.5 .S93 1983</t>
  </si>
  <si>
    <t>0                      RC 0437500S  93          1983</t>
  </si>
  <si>
    <t>Thomas Szasz, primary values and major contentions / edited by Richard E. Vatz and Lee S. Weinberg.</t>
  </si>
  <si>
    <t>Buffalo, N.Y. : Prometheus Books, 1983.</t>
  </si>
  <si>
    <t>2009-01-16</t>
  </si>
  <si>
    <t>1992-04-01</t>
  </si>
  <si>
    <t>889384166:eng</t>
  </si>
  <si>
    <t>9622166</t>
  </si>
  <si>
    <t>991000228139702656</t>
  </si>
  <si>
    <t>2270849450002656</t>
  </si>
  <si>
    <t>9780879751883</t>
  </si>
  <si>
    <t>32285001047629</t>
  </si>
  <si>
    <t>893683264</t>
  </si>
  <si>
    <t>RC438 .G54 1988</t>
  </si>
  <si>
    <t>0                      RC 0438000G  54          1988</t>
  </si>
  <si>
    <t>Disease and representation : images of illness from madness to AIDS / Sander L. Gilman.</t>
  </si>
  <si>
    <t>Gilman, Sander L.</t>
  </si>
  <si>
    <t>Ithaca : Cornell University Press, 1988.</t>
  </si>
  <si>
    <t>2010-04-21</t>
  </si>
  <si>
    <t>827743371:eng</t>
  </si>
  <si>
    <t>17104432</t>
  </si>
  <si>
    <t>991001177749702656</t>
  </si>
  <si>
    <t>2269355800002656</t>
  </si>
  <si>
    <t>9780801421198</t>
  </si>
  <si>
    <t>32285001605210</t>
  </si>
  <si>
    <t>893231767</t>
  </si>
  <si>
    <t>RC438 .H84 1970</t>
  </si>
  <si>
    <t>0                      RC 0438000H  84          1970</t>
  </si>
  <si>
    <t>Three hundred years of psychiatry, 1535-1860 / [by] Richard Hunter [and] Ida Macalpine.</t>
  </si>
  <si>
    <t>Hunter, Richard Alfred, editor.</t>
  </si>
  <si>
    <t>London ; New York : Oxford University Press, [1970, c1963]</t>
  </si>
  <si>
    <t>1995-03-29</t>
  </si>
  <si>
    <t>1994-05-12</t>
  </si>
  <si>
    <t>4927029821:eng</t>
  </si>
  <si>
    <t>1006139</t>
  </si>
  <si>
    <t>991003464419702656</t>
  </si>
  <si>
    <t>2261893850002656</t>
  </si>
  <si>
    <t>32285001910735</t>
  </si>
  <si>
    <t>893623502</t>
  </si>
  <si>
    <t>RC438.6.B48 S8813 1996</t>
  </si>
  <si>
    <t>0                      RC 0438600B  48                 S  8813        1996</t>
  </si>
  <si>
    <t>Bettelheim, a life and a legacy / Nina Sutton ; translated from the French by David Sharp, in collaboration with the author.</t>
  </si>
  <si>
    <t>Sutton, Nina.</t>
  </si>
  <si>
    <t>New York : BasicBooks, c1996.</t>
  </si>
  <si>
    <t>1997-12-02</t>
  </si>
  <si>
    <t>1996-06-20</t>
  </si>
  <si>
    <t>4020176983:eng</t>
  </si>
  <si>
    <t>33333835</t>
  </si>
  <si>
    <t>991002562969702656</t>
  </si>
  <si>
    <t>2259712240002656</t>
  </si>
  <si>
    <t>9780465006359</t>
  </si>
  <si>
    <t>32285002171022</t>
  </si>
  <si>
    <t>893239215</t>
  </si>
  <si>
    <t>RC438.6.L34 B87 1996</t>
  </si>
  <si>
    <t>0                      RC 0438600L  34                 B  87          1996</t>
  </si>
  <si>
    <t>The wing of madness : the life and work of R.D. Laing / Daniel Burston.</t>
  </si>
  <si>
    <t>Burston, Daniel, 1954-</t>
  </si>
  <si>
    <t>Cambridge, Mass. : Harvard University Press, 1996.</t>
  </si>
  <si>
    <t>1996-10-21</t>
  </si>
  <si>
    <t>2685502:eng</t>
  </si>
  <si>
    <t>34046859</t>
  </si>
  <si>
    <t>991002598889702656</t>
  </si>
  <si>
    <t>2263823990002656</t>
  </si>
  <si>
    <t>9780674953581</t>
  </si>
  <si>
    <t>32285002367075</t>
  </si>
  <si>
    <t>893329296</t>
  </si>
  <si>
    <t>RC439 .B8</t>
  </si>
  <si>
    <t>0                      RC 0439000B  8</t>
  </si>
  <si>
    <t>Methods of madness : the mental hospital as a last resort / [by] Benjamin M. Braginsky, Dorothea D. Braginsky [and] Kenneth Ring. With an introd. by Jules D. Holzberg.</t>
  </si>
  <si>
    <t>Braginsky, Benjamin M.</t>
  </si>
  <si>
    <t>New York : Holt, Rinehart, and Winston, [1969]</t>
  </si>
  <si>
    <t>1998-09-28</t>
  </si>
  <si>
    <t>1992-12-16</t>
  </si>
  <si>
    <t>483555:eng</t>
  </si>
  <si>
    <t>13657</t>
  </si>
  <si>
    <t>991000006679702656</t>
  </si>
  <si>
    <t>2264446840002656</t>
  </si>
  <si>
    <t>32285001403749</t>
  </si>
  <si>
    <t>893242894</t>
  </si>
  <si>
    <t>RC439 .C78 1973</t>
  </si>
  <si>
    <t>0                      RC 0439000C  78          1973</t>
  </si>
  <si>
    <t>The treatment of the insane without mechanical restraints.</t>
  </si>
  <si>
    <t>Conolly, John, 1794-1866.</t>
  </si>
  <si>
    <t>New York : Arno Press, 1973.</t>
  </si>
  <si>
    <t>Mental illness and social policy: the American experience</t>
  </si>
  <si>
    <t>1997-10-13</t>
  </si>
  <si>
    <t>1994-05-06</t>
  </si>
  <si>
    <t>1615547:eng</t>
  </si>
  <si>
    <t>628245</t>
  </si>
  <si>
    <t>991003075089702656</t>
  </si>
  <si>
    <t>2269508350002656</t>
  </si>
  <si>
    <t>9780405052002</t>
  </si>
  <si>
    <t>32285001908028</t>
  </si>
  <si>
    <t>893704874</t>
  </si>
  <si>
    <t>RC439 .M75 1974</t>
  </si>
  <si>
    <t>0                      RC 0439000M  75          1974</t>
  </si>
  <si>
    <t>Evaluating treatment environments : a social ecological approach / Rudolf H. Moos.</t>
  </si>
  <si>
    <t>Moos, Rudolf H., 1934-</t>
  </si>
  <si>
    <t>New York : Wiley, [1974]</t>
  </si>
  <si>
    <t>Health, medicine, and society</t>
  </si>
  <si>
    <t>2002-06-21</t>
  </si>
  <si>
    <t>1992-07-23</t>
  </si>
  <si>
    <t>1992-09-24</t>
  </si>
  <si>
    <t>1754917:eng</t>
  </si>
  <si>
    <t>730785</t>
  </si>
  <si>
    <t>991001675479702656</t>
  </si>
  <si>
    <t>2267183090002656</t>
  </si>
  <si>
    <t>9780471615033</t>
  </si>
  <si>
    <t>32285001211134</t>
  </si>
  <si>
    <t>893420515</t>
  </si>
  <si>
    <t>RC439 .P43</t>
  </si>
  <si>
    <t>0                      RC 0439000P  43</t>
  </si>
  <si>
    <t>Circle of madness : on being insane and institutionalized in America / Robert Perrucci.</t>
  </si>
  <si>
    <t>Perrucci, Robert.</t>
  </si>
  <si>
    <t>Englewood Cliffs, N.J. : Prentice-Hall, [1974]</t>
  </si>
  <si>
    <t>A Spectrum book ; S-349</t>
  </si>
  <si>
    <t>2003-09-24</t>
  </si>
  <si>
    <t>1990-08-10</t>
  </si>
  <si>
    <t>902468517:eng</t>
  </si>
  <si>
    <t>1085891</t>
  </si>
  <si>
    <t>991003524159702656</t>
  </si>
  <si>
    <t>2269511270002656</t>
  </si>
  <si>
    <t>9780131338845</t>
  </si>
  <si>
    <t>32285000243419</t>
  </si>
  <si>
    <t>893318065</t>
  </si>
  <si>
    <t>RC439.5 .G64 1981</t>
  </si>
  <si>
    <t>0                      RC 0439500G  64          1981</t>
  </si>
  <si>
    <t>Psychological skill training : the structured learning technique / Arnold P. Goldstein.</t>
  </si>
  <si>
    <t>Goldstein, Arnold P.</t>
  </si>
  <si>
    <t>New York : Pergamon Press, c1981.</t>
  </si>
  <si>
    <t>Pergamon general psychology series ; 99</t>
  </si>
  <si>
    <t>134116643:eng</t>
  </si>
  <si>
    <t>7463279</t>
  </si>
  <si>
    <t>991005116799702656</t>
  </si>
  <si>
    <t>2264234180002656</t>
  </si>
  <si>
    <t>9780080263212</t>
  </si>
  <si>
    <t>32285001605251</t>
  </si>
  <si>
    <t>893688616</t>
  </si>
  <si>
    <t>RC439.5 .S43</t>
  </si>
  <si>
    <t>0                      RC 0439500S  43</t>
  </si>
  <si>
    <t>The mentally ill in community-based sheltered care : a study of community care and social integration / [Steven P. Segal, Uri Aviram]</t>
  </si>
  <si>
    <t>Segal, Steven P., 1943-</t>
  </si>
  <si>
    <t>[New York : Wiley, c1978]</t>
  </si>
  <si>
    <t>2003-04-13</t>
  </si>
  <si>
    <t>231865221:eng</t>
  </si>
  <si>
    <t>3088658</t>
  </si>
  <si>
    <t>991004340039702656</t>
  </si>
  <si>
    <t>2265963530002656</t>
  </si>
  <si>
    <t>9780471774006</t>
  </si>
  <si>
    <t>32285001605269</t>
  </si>
  <si>
    <t>893593569</t>
  </si>
  <si>
    <t>RC439.5 .S53</t>
  </si>
  <si>
    <t>0                      RC 0439500S  53</t>
  </si>
  <si>
    <t>The Skills of career counseling / Richard M. Pierce ... [et al.].</t>
  </si>
  <si>
    <t>Baltimore, Md. : University Park Press, c1980.</t>
  </si>
  <si>
    <t>Psychiatric rehabilitation practice series ; book 4</t>
  </si>
  <si>
    <t>1995-07-01</t>
  </si>
  <si>
    <t>1992-10-16</t>
  </si>
  <si>
    <t>3859681482:eng</t>
  </si>
  <si>
    <t>5889344</t>
  </si>
  <si>
    <t>991004893199702656</t>
  </si>
  <si>
    <t>2271396010002656</t>
  </si>
  <si>
    <t>9780839115793</t>
  </si>
  <si>
    <t>32285001350239</t>
  </si>
  <si>
    <t>893248086</t>
  </si>
  <si>
    <t>RC439.5 .W67 1991</t>
  </si>
  <si>
    <t>0                      RC 0439500W  67          1991</t>
  </si>
  <si>
    <t>Worlds of the mentally ill : how deinstitutionalization works in the city / Dan A. Lewis ... [et al.].</t>
  </si>
  <si>
    <t>Carbondale : Southern Illinois University Press, c1991.</t>
  </si>
  <si>
    <t>2006-07-20</t>
  </si>
  <si>
    <t>1995-07-21</t>
  </si>
  <si>
    <t>797090163:eng</t>
  </si>
  <si>
    <t>19671692</t>
  </si>
  <si>
    <t>991001487959702656</t>
  </si>
  <si>
    <t>2264630950002656</t>
  </si>
  <si>
    <t>9780809314775</t>
  </si>
  <si>
    <t>32285002054970</t>
  </si>
  <si>
    <t>893709320</t>
  </si>
  <si>
    <t>RC440 .A38</t>
  </si>
  <si>
    <t>0                      RC 0440000A  38</t>
  </si>
  <si>
    <t>Review of psychiatric nursing / Donna Conant Aguilera.</t>
  </si>
  <si>
    <t>Aguilera, Donna C.</t>
  </si>
  <si>
    <t>1998-09-29</t>
  </si>
  <si>
    <t>5074082:eng</t>
  </si>
  <si>
    <t>2425046</t>
  </si>
  <si>
    <t>991001776869702656</t>
  </si>
  <si>
    <t>2264283590002656</t>
  </si>
  <si>
    <t>9780801600906</t>
  </si>
  <si>
    <t>32285001605293</t>
  </si>
  <si>
    <t>893250496</t>
  </si>
  <si>
    <t>RC440 .T74</t>
  </si>
  <si>
    <t>0                      RC 0440000T  74</t>
  </si>
  <si>
    <t>Intervention in psychiatric nursing: process in the one-to-one relationship / Joyce Travelbee.</t>
  </si>
  <si>
    <t>Travelbee, Joyce.</t>
  </si>
  <si>
    <t>Philadelphia : F. A. Davis, c1969, 1975 printing.</t>
  </si>
  <si>
    <t>2003-12-10</t>
  </si>
  <si>
    <t>1193444:eng</t>
  </si>
  <si>
    <t>34466</t>
  </si>
  <si>
    <t>991001776909702656</t>
  </si>
  <si>
    <t>2259799860002656</t>
  </si>
  <si>
    <t>32285001605368</t>
  </si>
  <si>
    <t>893709533</t>
  </si>
  <si>
    <t>RC440.8 .T56 2010</t>
  </si>
  <si>
    <t>0                      RC 0440800T  56          2010</t>
  </si>
  <si>
    <t>The ethics of supervision and consultation : practical guidance for mental health professionals / Janet T. Thomas.</t>
  </si>
  <si>
    <t>Thomas, Janet T.</t>
  </si>
  <si>
    <t>Washington, DC : American Psychological Association, c2010.</t>
  </si>
  <si>
    <t>2010-11-22</t>
  </si>
  <si>
    <t>315061257:eng</t>
  </si>
  <si>
    <t>427608867</t>
  </si>
  <si>
    <t>991000222379702656</t>
  </si>
  <si>
    <t>2258323130002656</t>
  </si>
  <si>
    <t>9781433807237</t>
  </si>
  <si>
    <t>32285005607220</t>
  </si>
  <si>
    <t>893496062</t>
  </si>
  <si>
    <t>RC443 .D415 1973</t>
  </si>
  <si>
    <t>0                      RC 0443000D  415         1973</t>
  </si>
  <si>
    <t>The shame of the States.</t>
  </si>
  <si>
    <t>Deutsch, Albert, 1905-1961.</t>
  </si>
  <si>
    <t>New York : Arno Press, 1973 [c1948]</t>
  </si>
  <si>
    <t>1993-11-11</t>
  </si>
  <si>
    <t>1747304:eng</t>
  </si>
  <si>
    <t>632287</t>
  </si>
  <si>
    <t>991003080129702656</t>
  </si>
  <si>
    <t>2263836450002656</t>
  </si>
  <si>
    <t>9780405052026</t>
  </si>
  <si>
    <t>32285001797892</t>
  </si>
  <si>
    <t>893774373</t>
  </si>
  <si>
    <t>RC443 .I53 1984</t>
  </si>
  <si>
    <t>0                      RC 0443000I  53          1984</t>
  </si>
  <si>
    <t>Informed consent : a study of decisionmaking in psychiatry / Charles W. Lidz ... [et al.] foreword by Alan A. Stone.</t>
  </si>
  <si>
    <t>New York : Guilford Press, c1984.</t>
  </si>
  <si>
    <t>The Guilford law and behavior series</t>
  </si>
  <si>
    <t>2008-01-19</t>
  </si>
  <si>
    <t>905864707:eng</t>
  </si>
  <si>
    <t>9489094</t>
  </si>
  <si>
    <t>991000205749702656</t>
  </si>
  <si>
    <t>2256370080002656</t>
  </si>
  <si>
    <t>9780898622751</t>
  </si>
  <si>
    <t>32285001605426</t>
  </si>
  <si>
    <t>893345479</t>
  </si>
  <si>
    <t>RC443 .P35</t>
  </si>
  <si>
    <t>0                      RC 0443000P  35</t>
  </si>
  <si>
    <t>Transactions in families / John Papajohn, John Spiegel.</t>
  </si>
  <si>
    <t>Papajohn, John.</t>
  </si>
  <si>
    <t>San Francisco : Jossey-Bass, 1975.</t>
  </si>
  <si>
    <t>Jossey-Bass behavioral science series</t>
  </si>
  <si>
    <t>1997-11-13</t>
  </si>
  <si>
    <t>1991-12-23</t>
  </si>
  <si>
    <t>2040270:eng</t>
  </si>
  <si>
    <t>1127985</t>
  </si>
  <si>
    <t>991003558659702656</t>
  </si>
  <si>
    <t>2267316590002656</t>
  </si>
  <si>
    <t>9780875892375</t>
  </si>
  <si>
    <t>32285000900091</t>
  </si>
  <si>
    <t>893441423</t>
  </si>
  <si>
    <t>RC443 .T67 2008</t>
  </si>
  <si>
    <t>0                      RC 0443000T  67          2008</t>
  </si>
  <si>
    <t>The insanity offense : how America's failure to treat the seriously mentally ill endangers its citizens / E. Fuller Torrey.</t>
  </si>
  <si>
    <t>Torrey, E. Fuller (Edwin Fuller), 1937-</t>
  </si>
  <si>
    <t>New York : W.W. Norton, c2008.</t>
  </si>
  <si>
    <t>2009-03-25</t>
  </si>
  <si>
    <t>1043466285:eng</t>
  </si>
  <si>
    <t>181139537</t>
  </si>
  <si>
    <t>991005301429702656</t>
  </si>
  <si>
    <t>2265000490002656</t>
  </si>
  <si>
    <t>9780393066586</t>
  </si>
  <si>
    <t>32285005509822</t>
  </si>
  <si>
    <t>893905364</t>
  </si>
  <si>
    <t>RC445.I28 F3 1965</t>
  </si>
  <si>
    <t>0                      RC 0445000I  28                 F  3           1965</t>
  </si>
  <si>
    <t>Mental disorders in urban areas : an ecological study of schizophrenia and other psychoses / Robert E.L. Faris, H. Warren Dunham.</t>
  </si>
  <si>
    <t>Faris, Robert E. L. (Robert E. Lee), 1907-1998.</t>
  </si>
  <si>
    <t>Chicago : University of Chicago Press, [1965, c1939]</t>
  </si>
  <si>
    <t>Phoenix books</t>
  </si>
  <si>
    <t>2006-09-18</t>
  </si>
  <si>
    <t>233757503:eng</t>
  </si>
  <si>
    <t>3136822</t>
  </si>
  <si>
    <t>991004355469702656</t>
  </si>
  <si>
    <t>2256186240002656</t>
  </si>
  <si>
    <t>32285003090379</t>
  </si>
  <si>
    <t>893429962</t>
  </si>
  <si>
    <t>RC445.N68 E4</t>
  </si>
  <si>
    <t>0                      RC 0445000N  68                 E  4</t>
  </si>
  <si>
    <t>Public image of mental health services / [by] Jack Elinson, Elena Padilla [and] Marvin E. Perkins.</t>
  </si>
  <si>
    <t>Elinson, Jack.</t>
  </si>
  <si>
    <t>New York : Mental Health Materials Center, 1967.</t>
  </si>
  <si>
    <t>1995-04-17</t>
  </si>
  <si>
    <t>1799869:eng</t>
  </si>
  <si>
    <t>642270</t>
  </si>
  <si>
    <t>991003092219702656</t>
  </si>
  <si>
    <t>2262289390002656</t>
  </si>
  <si>
    <t>32285001797884</t>
  </si>
  <si>
    <t>893604428</t>
  </si>
  <si>
    <t>RC449.I7 D65 1992</t>
  </si>
  <si>
    <t>0                      RC 0449000I  7                  D  65          1992</t>
  </si>
  <si>
    <t>Majnūn : the madman in medieval Islamic society / Michael W. Dols ; edited by Diana E. Immisch.</t>
  </si>
  <si>
    <t>Dols, Michael W. (Michael Walters), 1942-</t>
  </si>
  <si>
    <t>Oxford : Clarendon Press ; New York : Oxford University Press, 1992.</t>
  </si>
  <si>
    <t>1995-04-02</t>
  </si>
  <si>
    <t>1992-11-24</t>
  </si>
  <si>
    <t>505357484:eng</t>
  </si>
  <si>
    <t>25707836</t>
  </si>
  <si>
    <t>991002020509702656</t>
  </si>
  <si>
    <t>2260907780002656</t>
  </si>
  <si>
    <t>9780198202219</t>
  </si>
  <si>
    <t>32285001364842</t>
  </si>
  <si>
    <t>893347022</t>
  </si>
  <si>
    <t>RC450.A1 B4</t>
  </si>
  <si>
    <t>0                      RC 0450000A  1                  B  4</t>
  </si>
  <si>
    <t>Schizophrenia : a review of the syndrome / with the collaboration of Paul K. Benedict.</t>
  </si>
  <si>
    <t>Bellak, Leopold, 1916-2000 editor.</t>
  </si>
  <si>
    <t>New York : Grune &amp; Stratton, 1958.</t>
  </si>
  <si>
    <t>2006-03-03</t>
  </si>
  <si>
    <t>1992-02-26</t>
  </si>
  <si>
    <t>144828304:eng</t>
  </si>
  <si>
    <t>2732200</t>
  </si>
  <si>
    <t>991004226469702656</t>
  </si>
  <si>
    <t>2255951150002656</t>
  </si>
  <si>
    <t>32285000975507</t>
  </si>
  <si>
    <t>893500291</t>
  </si>
  <si>
    <t>RC450.A1 D6413 1981</t>
  </si>
  <si>
    <t>0                      RC 0450000A  1                  D  6413        1981</t>
  </si>
  <si>
    <t>Madmen and the bourgeoisie : a social history of insanity and psychiatry / Klaus Doerner ; translated by Joachim Neugroschel and Jean Steinberg.</t>
  </si>
  <si>
    <t>Dörner, Klaus.</t>
  </si>
  <si>
    <t>Oxford : B. Blackwell, 1981.</t>
  </si>
  <si>
    <t>2003-09-29</t>
  </si>
  <si>
    <t>3901242195:eng</t>
  </si>
  <si>
    <t>7912397</t>
  </si>
  <si>
    <t>991004139589702656</t>
  </si>
  <si>
    <t>2270606240002656</t>
  </si>
  <si>
    <t>9780631101819</t>
  </si>
  <si>
    <t>32285004785662</t>
  </si>
  <si>
    <t>893882105</t>
  </si>
  <si>
    <t>RC450.G72 N673 2003</t>
  </si>
  <si>
    <t>0                      RC 0450000G  72                 N  673         2003</t>
  </si>
  <si>
    <t>Mental health care in modern England : the Norfolk Lunatic Asylum/St. Andrew's Hospital c. 1810-1998 / Steven Cherry.</t>
  </si>
  <si>
    <t>Cherry, Steven.</t>
  </si>
  <si>
    <t>Woodbridge, Suffolk, UK ; Rochester, N.Y. : Boydell Press, 2003.</t>
  </si>
  <si>
    <t>2004-09-30</t>
  </si>
  <si>
    <t>1028852:eng</t>
  </si>
  <si>
    <t>50334045</t>
  </si>
  <si>
    <t>991004363959702656</t>
  </si>
  <si>
    <t>2261078660002656</t>
  </si>
  <si>
    <t>9780851159201</t>
  </si>
  <si>
    <t>32285005000293</t>
  </si>
  <si>
    <t>893612258</t>
  </si>
  <si>
    <t>RC451.4.A5 H38 1992</t>
  </si>
  <si>
    <t>0                      RC 0451400A  5                  H  38          1992</t>
  </si>
  <si>
    <t>Handbook of mental health and aging / editors, James E. Birren, R. Bruce Sloane, Gene D. Cohen ; associate editors, Nancy R. Hooyman, Barry D. Lebowitz, May Wykle.</t>
  </si>
  <si>
    <t>San Diego : Academic Press, c1992.</t>
  </si>
  <si>
    <t>2001-12-05</t>
  </si>
  <si>
    <t>1992-09-14</t>
  </si>
  <si>
    <t>54338416:eng</t>
  </si>
  <si>
    <t>24701105</t>
  </si>
  <si>
    <t>991001793879702656</t>
  </si>
  <si>
    <t>2268979890002656</t>
  </si>
  <si>
    <t>9780121012779</t>
  </si>
  <si>
    <t>32285001286599</t>
  </si>
  <si>
    <t>893256521</t>
  </si>
  <si>
    <t>RC451.4.A5 H87 1981</t>
  </si>
  <si>
    <t>0                      RC 0451400A  5                  H  87          1981</t>
  </si>
  <si>
    <t>Geriatric psychology : a behavioral perspective / Richard A. Hussian.</t>
  </si>
  <si>
    <t>Hussian, Richard A.</t>
  </si>
  <si>
    <t>New York : Van Nostrand Reinhold, c1981.</t>
  </si>
  <si>
    <t>1997-09-09</t>
  </si>
  <si>
    <t>427119184:eng</t>
  </si>
  <si>
    <t>7459500</t>
  </si>
  <si>
    <t>991005112589702656</t>
  </si>
  <si>
    <t>2255348180002656</t>
  </si>
  <si>
    <t>9780442219161</t>
  </si>
  <si>
    <t>32285001605509</t>
  </si>
  <si>
    <t>893719793</t>
  </si>
  <si>
    <t>RC451.4.A5 H88 1985</t>
  </si>
  <si>
    <t>0                      RC 0451400A  5                  H  88          1985</t>
  </si>
  <si>
    <t>Responsive care : behavioral interventions with elderly persons / Richard A. Hussian, Ronald L. Davis.</t>
  </si>
  <si>
    <t>Champaign, Ill. : Research Press, c1985.</t>
  </si>
  <si>
    <t>889534976:eng</t>
  </si>
  <si>
    <t>12638636</t>
  </si>
  <si>
    <t>991005292709702656</t>
  </si>
  <si>
    <t>2260695660002656</t>
  </si>
  <si>
    <t>9780878222452</t>
  </si>
  <si>
    <t>32285001605517</t>
  </si>
  <si>
    <t>893236605</t>
  </si>
  <si>
    <t>RC451.4.A5 L46 1990</t>
  </si>
  <si>
    <t>0                      RC 0451400A  5                  L  46          1990</t>
  </si>
  <si>
    <t>Psychological care in old age / Nicholas R.C. Leng.</t>
  </si>
  <si>
    <t>Leng, Nicholas R. C.</t>
  </si>
  <si>
    <t>New York : Hemisphere Pub. Corp., c1990.</t>
  </si>
  <si>
    <t>Series in death education, aging, and health care, 0275-3510</t>
  </si>
  <si>
    <t>1991-02-08</t>
  </si>
  <si>
    <t>22024728:eng</t>
  </si>
  <si>
    <t>20852618</t>
  </si>
  <si>
    <t>991001625979702656</t>
  </si>
  <si>
    <t>2264980980002656</t>
  </si>
  <si>
    <t>9781560320494</t>
  </si>
  <si>
    <t>32285000463710</t>
  </si>
  <si>
    <t>893444730</t>
  </si>
  <si>
    <t>RC451.4.A5 O84 1985</t>
  </si>
  <si>
    <t>0                      RC 0451400A  5                  O  84          1985</t>
  </si>
  <si>
    <t>Suicide in the elderly : a practioner's guide to diagnosis and mental health intervention / Nancy J. Osgood.</t>
  </si>
  <si>
    <t>Osgood, Nancy J.</t>
  </si>
  <si>
    <t>Rockville, Md. : Aspen Systems Corp., 1985.</t>
  </si>
  <si>
    <t>2005-10-03</t>
  </si>
  <si>
    <t>197889465:eng</t>
  </si>
  <si>
    <t>11677210</t>
  </si>
  <si>
    <t>991001767179702656</t>
  </si>
  <si>
    <t>2255179860002656</t>
  </si>
  <si>
    <t>9780871890887</t>
  </si>
  <si>
    <t>32285000088517</t>
  </si>
  <si>
    <t>893509894</t>
  </si>
  <si>
    <t>RC451.4.A5 P45</t>
  </si>
  <si>
    <t>0                      RC 0451400A  5                  P  45</t>
  </si>
  <si>
    <t>Physicians' handbook on psychotherapeutic drug use in the aged / edited by Thomas Crook and Gene D. Cohen.</t>
  </si>
  <si>
    <t>New Canaan, Conn. : Mark Powley Associates, c1981.</t>
  </si>
  <si>
    <t>1999-03-15</t>
  </si>
  <si>
    <t>29799915:eng</t>
  </si>
  <si>
    <t>7741005</t>
  </si>
  <si>
    <t>991005157039702656</t>
  </si>
  <si>
    <t>2262314460002656</t>
  </si>
  <si>
    <t>9780936048994</t>
  </si>
  <si>
    <t>32285001605541</t>
  </si>
  <si>
    <t>893694835</t>
  </si>
  <si>
    <t>RC451.4.A5 P778 1979</t>
  </si>
  <si>
    <t>0                      RC 0451400A  5                  P  778         1979</t>
  </si>
  <si>
    <t>Psychopathology of aging / edited by Oscar J. Kaplan.</t>
  </si>
  <si>
    <t>New York : Academic Press, 1979.</t>
  </si>
  <si>
    <t>1997-03-09</t>
  </si>
  <si>
    <t>409255:eng</t>
  </si>
  <si>
    <t>5496422</t>
  </si>
  <si>
    <t>991004840159702656</t>
  </si>
  <si>
    <t>2266386610002656</t>
  </si>
  <si>
    <t>9780123969507</t>
  </si>
  <si>
    <t>32285001605558</t>
  </si>
  <si>
    <t>893700740</t>
  </si>
  <si>
    <t>RC451.4.A5 T53 1996</t>
  </si>
  <si>
    <t>0                      RC 0451400A  5                  T  53          1996</t>
  </si>
  <si>
    <t>Mental health issues &amp; aging : building on the strengths of older persons / Carolyn J. Tice, Kathleen Perkins.</t>
  </si>
  <si>
    <t>Tice, Carolyn J.</t>
  </si>
  <si>
    <t>Pacific Grove, Cal. : Brooks/Cole, c1996.</t>
  </si>
  <si>
    <t>1996-06-05</t>
  </si>
  <si>
    <t>37608069:eng</t>
  </si>
  <si>
    <t>33360119</t>
  </si>
  <si>
    <t>991002567379702656</t>
  </si>
  <si>
    <t>2265684100002656</t>
  </si>
  <si>
    <t>9780534207540</t>
  </si>
  <si>
    <t>32285002187812</t>
  </si>
  <si>
    <t>893603744</t>
  </si>
  <si>
    <t>RC451.4.A5 Z374 1998</t>
  </si>
  <si>
    <t>0                      RC 0451400A  5                  Z  374         1998</t>
  </si>
  <si>
    <t>Mental disorders in older adults : fundamentals of assessment and treatment / Steven H. Zarit and Judy M. Zarit.</t>
  </si>
  <si>
    <t>Zarit, Steven H.</t>
  </si>
  <si>
    <t>New York : Guilford Press, c1998.</t>
  </si>
  <si>
    <t>2000-10-08</t>
  </si>
  <si>
    <t>1999-12-07</t>
  </si>
  <si>
    <t>795139513:eng</t>
  </si>
  <si>
    <t>39051751</t>
  </si>
  <si>
    <t>991002936059702656</t>
  </si>
  <si>
    <t>2255350170002656</t>
  </si>
  <si>
    <t>9781572303683</t>
  </si>
  <si>
    <t>32285003628780</t>
  </si>
  <si>
    <t>893685974</t>
  </si>
  <si>
    <t>RC451.4.A83 C68 1999</t>
  </si>
  <si>
    <t>0                      RC 0451400A  83                 C  68          1999</t>
  </si>
  <si>
    <t>Counseling in sports medicine / [editors], Richard Ray, Diane M. Wiese-Bjornstal.</t>
  </si>
  <si>
    <t>346796901:eng</t>
  </si>
  <si>
    <t>39714826</t>
  </si>
  <si>
    <t>991004512159702656</t>
  </si>
  <si>
    <t>2259800870002656</t>
  </si>
  <si>
    <t>9780880115278</t>
  </si>
  <si>
    <t>32285005049332</t>
  </si>
  <si>
    <t>893337828</t>
  </si>
  <si>
    <t>RC451.4.B57 B43 2007</t>
  </si>
  <si>
    <t>0                      RC 0451400B  57                 B  43          2007</t>
  </si>
  <si>
    <t>Becoming visible : counseling bisexuals across the lifespan / [edited by] Beth A. Firestein.</t>
  </si>
  <si>
    <t>New York : Columbia University Press, c2007.</t>
  </si>
  <si>
    <t>2008-01-29</t>
  </si>
  <si>
    <t>62686589:eng</t>
  </si>
  <si>
    <t>76937265</t>
  </si>
  <si>
    <t>991005167359702656</t>
  </si>
  <si>
    <t>2265700290002656</t>
  </si>
  <si>
    <t>9780231137249</t>
  </si>
  <si>
    <t>32285005390876</t>
  </si>
  <si>
    <t>893507716</t>
  </si>
  <si>
    <t>RC451.4.D4 D42</t>
  </si>
  <si>
    <t>0                      RC 0451400D  4                  D  42</t>
  </si>
  <si>
    <t>Deafness and mental health / edited by Laszlo K. Stein, Eugene D. Mindel, Theresa Jabaley.</t>
  </si>
  <si>
    <t>New York : Grune &amp; Stratton, c1981.</t>
  </si>
  <si>
    <t>1997-10-06</t>
  </si>
  <si>
    <t>1990-04-09</t>
  </si>
  <si>
    <t>29070238:eng</t>
  </si>
  <si>
    <t>7587097</t>
  </si>
  <si>
    <t>991005137849702656</t>
  </si>
  <si>
    <t>2272632120002656</t>
  </si>
  <si>
    <t>9780808913474</t>
  </si>
  <si>
    <t>32285000112978</t>
  </si>
  <si>
    <t>893424607</t>
  </si>
  <si>
    <t>RC451.4.M45 C68</t>
  </si>
  <si>
    <t>0                      RC 0451400M  45                 C  68</t>
  </si>
  <si>
    <t>Counseling men / edited by Thomas M. Skovholt, Paul G. Schauble, Richard Davis.</t>
  </si>
  <si>
    <t>Monterey, Calif. : Brooks/Cole Pub. Co., c1980.</t>
  </si>
  <si>
    <t>Brooks/Cole series in counseling psychology</t>
  </si>
  <si>
    <t>1998-03-28</t>
  </si>
  <si>
    <t>352000637:eng</t>
  </si>
  <si>
    <t>5889385</t>
  </si>
  <si>
    <t>991004893259702656</t>
  </si>
  <si>
    <t>2271392020002656</t>
  </si>
  <si>
    <t>9780818503726</t>
  </si>
  <si>
    <t>32285001605574</t>
  </si>
  <si>
    <t>893350472</t>
  </si>
  <si>
    <t>RC451.4.M47 E45</t>
  </si>
  <si>
    <t>0                      RC 0451400M  47                 E  45</t>
  </si>
  <si>
    <t>Emotional disorders of mentally retarded persons : assessment, treatment, and consultation / edited by Ludwik S. Szymanski and Peter E. Tanguay.</t>
  </si>
  <si>
    <t>Baltimore : University Park Press, c1980.</t>
  </si>
  <si>
    <t>2004-04-22</t>
  </si>
  <si>
    <t>891809155:eng</t>
  </si>
  <si>
    <t>6016390</t>
  </si>
  <si>
    <t>991004916269702656</t>
  </si>
  <si>
    <t>2269541430002656</t>
  </si>
  <si>
    <t>9780839115144</t>
  </si>
  <si>
    <t>32285001605582</t>
  </si>
  <si>
    <t>893344398</t>
  </si>
  <si>
    <t>RC451.4.M54 M5</t>
  </si>
  <si>
    <t>0                      RC 0451400M  54                 M  5</t>
  </si>
  <si>
    <t>Mid-life, developmental and clinical issues / edited by William H. Norman and Thomas J. Scaramella.</t>
  </si>
  <si>
    <t>New York : Brunner/Mazel, c1980.</t>
  </si>
  <si>
    <t>1993-11-23</t>
  </si>
  <si>
    <t>1992-01-24</t>
  </si>
  <si>
    <t>16857021:eng</t>
  </si>
  <si>
    <t>5706916</t>
  </si>
  <si>
    <t>991004861779702656</t>
  </si>
  <si>
    <t>2261436550002656</t>
  </si>
  <si>
    <t>9780876302217</t>
  </si>
  <si>
    <t>32285000917939</t>
  </si>
  <si>
    <t>893776530</t>
  </si>
  <si>
    <t>RC451.4.M54 Z35 1992</t>
  </si>
  <si>
    <t>0                      RC 0451400M  54                 Z  35          1992</t>
  </si>
  <si>
    <t>The sandwich generation : caught between growing children and aging parents / H. Michael Zal.</t>
  </si>
  <si>
    <t>Zal, H. Michael.</t>
  </si>
  <si>
    <t>New York : Insight Books, c1992.</t>
  </si>
  <si>
    <t>1992-10-19</t>
  </si>
  <si>
    <t>802793496:eng</t>
  </si>
  <si>
    <t>25163466</t>
  </si>
  <si>
    <t>991001981629702656</t>
  </si>
  <si>
    <t>2263493190002656</t>
  </si>
  <si>
    <t>9780306441240</t>
  </si>
  <si>
    <t>32285001318756</t>
  </si>
  <si>
    <t>893427077</t>
  </si>
  <si>
    <t>RC451.4.P68 C53 1993</t>
  </si>
  <si>
    <t>0                      RC 0451400P  68                 C  53          1993</t>
  </si>
  <si>
    <t>Clinical approaches to the mentally disordered offender / edited by Kevin Howells and Clive R. Hollin.</t>
  </si>
  <si>
    <t>Chichester ; New York : Wiley, c1993.</t>
  </si>
  <si>
    <t>Wiley series in clinical approaches to criminal behaviour</t>
  </si>
  <si>
    <t>2000-03-13</t>
  </si>
  <si>
    <t>1993-11-29</t>
  </si>
  <si>
    <t>350434398:eng</t>
  </si>
  <si>
    <t>27227982</t>
  </si>
  <si>
    <t>991002126239702656</t>
  </si>
  <si>
    <t>2265653900002656</t>
  </si>
  <si>
    <t>32285001812816</t>
  </si>
  <si>
    <t>893322593</t>
  </si>
  <si>
    <t>RC451.4.P68 E875 2004</t>
  </si>
  <si>
    <t>0                      RC 0451400P  68                 E  875         2004</t>
  </si>
  <si>
    <t>The essential handbook of offender assessment and treatment / edited by Clive R. Hollin.</t>
  </si>
  <si>
    <t>Chichester ; New York : Wiley, 2004.</t>
  </si>
  <si>
    <t>2005-05-01</t>
  </si>
  <si>
    <t>3855878846:eng</t>
  </si>
  <si>
    <t>51965370</t>
  </si>
  <si>
    <t>991004238419702656</t>
  </si>
  <si>
    <t>2256893410002656</t>
  </si>
  <si>
    <t>9780470854365</t>
  </si>
  <si>
    <t>32285004894589</t>
  </si>
  <si>
    <t>893429819</t>
  </si>
  <si>
    <t>RC451.4.P68 I67 2001</t>
  </si>
  <si>
    <t>0                      RC 0451400P  68                 I  67          2001</t>
  </si>
  <si>
    <t>Treating adult and juvenile offenders with special needs / edited by Josae B. Ashford, Bruce D. Sales, William H. Reid.</t>
  </si>
  <si>
    <t>Washington, D.C. : American Psychological Association, 2001.</t>
  </si>
  <si>
    <t>The law and public policy</t>
  </si>
  <si>
    <t>2004-09-23</t>
  </si>
  <si>
    <t>374019469:eng</t>
  </si>
  <si>
    <t>44420922</t>
  </si>
  <si>
    <t>991004352849702656</t>
  </si>
  <si>
    <t>2255508300002656</t>
  </si>
  <si>
    <t>9781557986672</t>
  </si>
  <si>
    <t>32285004988662</t>
  </si>
  <si>
    <t>893882372</t>
  </si>
  <si>
    <t>RC451.4.P68 V56 2000</t>
  </si>
  <si>
    <t>0                      RC 0451400P  68                 V  56          2000</t>
  </si>
  <si>
    <t>Violence, crime, and mentally disordered offenders : concepts and methods for effective treatment and prevention / edited by Sheilagh Hodgins, Rüdiger Müller-Isberner.</t>
  </si>
  <si>
    <t>Chichester ; New York : Wiley, c2000.</t>
  </si>
  <si>
    <t>Wiley series in forensic clinical psychology</t>
  </si>
  <si>
    <t>2005-05-24</t>
  </si>
  <si>
    <t>2005-04-11</t>
  </si>
  <si>
    <t>354650978:eng</t>
  </si>
  <si>
    <t>42692176</t>
  </si>
  <si>
    <t>991004510929702656</t>
  </si>
  <si>
    <t>2257864070002656</t>
  </si>
  <si>
    <t>9780471977278</t>
  </si>
  <si>
    <t>32285005049423</t>
  </si>
  <si>
    <t>893694020</t>
  </si>
  <si>
    <t>RC451.4.P7 M3</t>
  </si>
  <si>
    <t>0                      RC 0451400P  7                  M  3</t>
  </si>
  <si>
    <t>Massive psychic trauma. Edited by Henry Krystal.</t>
  </si>
  <si>
    <t>New York, International Universities Press [1969, c1968]</t>
  </si>
  <si>
    <t>1999-09-28</t>
  </si>
  <si>
    <t>479459427:eng</t>
  </si>
  <si>
    <t>991005273259702656</t>
  </si>
  <si>
    <t>2271339420002656</t>
  </si>
  <si>
    <t>32285003090452</t>
  </si>
  <si>
    <t>893883603</t>
  </si>
  <si>
    <t>RC451.4.P75 L33 1986</t>
  </si>
  <si>
    <t>0                      RC 0451400P  75                 L  33          1986</t>
  </si>
  <si>
    <t>Modern madness : the emotional fallout of success / Douglas LaBier.</t>
  </si>
  <si>
    <t>LaBier, Douglas.</t>
  </si>
  <si>
    <t>Reading, Mass. : Addison-Wesley Pub. Co., c1986.</t>
  </si>
  <si>
    <t>1996-11-04</t>
  </si>
  <si>
    <t>3372171304:eng</t>
  </si>
  <si>
    <t>12972991</t>
  </si>
  <si>
    <t>991000760759702656</t>
  </si>
  <si>
    <t>2263786740002656</t>
  </si>
  <si>
    <t>9780201117752</t>
  </si>
  <si>
    <t>32285001605590</t>
  </si>
  <si>
    <t>893426009</t>
  </si>
  <si>
    <t>RC451.4.W6 C47</t>
  </si>
  <si>
    <t>0                      RC 0451400W  6                  C  47</t>
  </si>
  <si>
    <t>Women and madness.</t>
  </si>
  <si>
    <t>Chesler, Phyllis.</t>
  </si>
  <si>
    <t>Garden City, N.Y., Doubleday [1972]</t>
  </si>
  <si>
    <t>2006-09-28</t>
  </si>
  <si>
    <t>427690:eng</t>
  </si>
  <si>
    <t>502052</t>
  </si>
  <si>
    <t>991002875079702656</t>
  </si>
  <si>
    <t>2264154880002656</t>
  </si>
  <si>
    <t>9780385026710</t>
  </si>
  <si>
    <t>32285003090460</t>
  </si>
  <si>
    <t>893867817</t>
  </si>
  <si>
    <t>RC451.4.W6 L47 1988</t>
  </si>
  <si>
    <t>0                      RC 0451400W  6                  L  47          1988</t>
  </si>
  <si>
    <t>Women in therapy : devaluation, anger, aggression, depression, self-sacrifice, mothering, mother blaming, self-betrayal, sex-role stereotypes, dependency, work and success inhibitions / Harriet Goldhor Lerner.</t>
  </si>
  <si>
    <t>Lerner, Harriet Goldhor.</t>
  </si>
  <si>
    <t>Northvale, N.J. : J. Aronson, c1988.</t>
  </si>
  <si>
    <t>2005-12-20</t>
  </si>
  <si>
    <t>18914740:eng</t>
  </si>
  <si>
    <t>16525022</t>
  </si>
  <si>
    <t>991001114859702656</t>
  </si>
  <si>
    <t>2258929310002656</t>
  </si>
  <si>
    <t>9780876689783</t>
  </si>
  <si>
    <t>32285001048361</t>
  </si>
  <si>
    <t>893885051</t>
  </si>
  <si>
    <t>RC451.4.W6 L58 1982</t>
  </si>
  <si>
    <t>0                      RC 0451400W  6                  L  58          1982</t>
  </si>
  <si>
    <t>Lives in stress : women and depression / edited by Deborah Belle ; foreword by Jessie Bernard.</t>
  </si>
  <si>
    <t>Beverly Hills : Sage Publications, c1982.</t>
  </si>
  <si>
    <t>Sage focus editions ; 45</t>
  </si>
  <si>
    <t>2000-02-22</t>
  </si>
  <si>
    <t>1992-03-03</t>
  </si>
  <si>
    <t>836680459:eng</t>
  </si>
  <si>
    <t>7948588</t>
  </si>
  <si>
    <t>991005183909702656</t>
  </si>
  <si>
    <t>2267040080002656</t>
  </si>
  <si>
    <t>9780803917682</t>
  </si>
  <si>
    <t>32285000990514</t>
  </si>
  <si>
    <t>893437299</t>
  </si>
  <si>
    <t>RC451.4.W6 M46</t>
  </si>
  <si>
    <t>0                      RC 0451400W  6                  M  46</t>
  </si>
  <si>
    <t>The Mental health of women / edited by Marcia Guttentag, Susan Salasin, and Deborah Belle.</t>
  </si>
  <si>
    <t>New York : Academic Press, 1980.</t>
  </si>
  <si>
    <t>Personality and psychopathology</t>
  </si>
  <si>
    <t>1999-02-22</t>
  </si>
  <si>
    <t>1992-04-24</t>
  </si>
  <si>
    <t>350081879:eng</t>
  </si>
  <si>
    <t>6088088</t>
  </si>
  <si>
    <t>991004928619702656</t>
  </si>
  <si>
    <t>2257520980002656</t>
  </si>
  <si>
    <t>9780123108500</t>
  </si>
  <si>
    <t>32285001071488</t>
  </si>
  <si>
    <t>893713230</t>
  </si>
  <si>
    <t>RC451.4.W6 W646 1984</t>
  </si>
  <si>
    <t>0                      RC 0451400W  6                  W  646         1984</t>
  </si>
  <si>
    <t>Women and mental health policy / edited by Lenore E. Walker.</t>
  </si>
  <si>
    <t>Beverly Hills : Sage Publications, c1984.</t>
  </si>
  <si>
    <t>Sage yearbooks in women's policy studies ; v. 9</t>
  </si>
  <si>
    <t>2004-02-19</t>
  </si>
  <si>
    <t>54641156:eng</t>
  </si>
  <si>
    <t>10753369</t>
  </si>
  <si>
    <t>991000426039702656</t>
  </si>
  <si>
    <t>2267569320002656</t>
  </si>
  <si>
    <t>9780803922587</t>
  </si>
  <si>
    <t>32285001605640</t>
  </si>
  <si>
    <t>893771617</t>
  </si>
  <si>
    <t>RC451.4.W6 W65</t>
  </si>
  <si>
    <t>0                      RC 0451400W  6                  W  65</t>
  </si>
  <si>
    <t>Women and psychotherapy : an assessment of research and practice / edited by Annette M. Brodsky and Rachel T. Hare-Mustin.</t>
  </si>
  <si>
    <t>New York : Guilford Press, 1980.</t>
  </si>
  <si>
    <t>2002-04-09</t>
  </si>
  <si>
    <t>889373535:eng</t>
  </si>
  <si>
    <t>6277724</t>
  </si>
  <si>
    <t>991004955079702656</t>
  </si>
  <si>
    <t>2268766700002656</t>
  </si>
  <si>
    <t>9780898626056</t>
  </si>
  <si>
    <t>32285001605657</t>
  </si>
  <si>
    <t>893520220</t>
  </si>
  <si>
    <t>RC451.4.W6 W656 1986</t>
  </si>
  <si>
    <t>0                      RC 0451400W  6                  W  656         1986</t>
  </si>
  <si>
    <t>Women in health &amp; illness : life experiences and crises / [edited by] Diane K. Kjervik, Ida M. Martinson.</t>
  </si>
  <si>
    <t>1995-03-15</t>
  </si>
  <si>
    <t>836628918:eng</t>
  </si>
  <si>
    <t>13395427</t>
  </si>
  <si>
    <t>991000821249702656</t>
  </si>
  <si>
    <t>2261975230002656</t>
  </si>
  <si>
    <t>9780721620862</t>
  </si>
  <si>
    <t>32285001063378</t>
  </si>
  <si>
    <t>893237634</t>
  </si>
  <si>
    <t>RC451.5.A2 C68</t>
  </si>
  <si>
    <t>0                      RC 0451500A  2                  C  68</t>
  </si>
  <si>
    <t>Counseling American minorities : a cross-cultural perspective / [edited by] Donald R. Atkinson, George Morten, Derald Wing Sue.</t>
  </si>
  <si>
    <t>Dubuque, Iowa : W. C. Brown Co., c1979.</t>
  </si>
  <si>
    <t>1994-12-05</t>
  </si>
  <si>
    <t>796296811:eng</t>
  </si>
  <si>
    <t>5103257</t>
  </si>
  <si>
    <t>991004780119702656</t>
  </si>
  <si>
    <t>2270638750002656</t>
  </si>
  <si>
    <t>9780697066299</t>
  </si>
  <si>
    <t>32285001605665</t>
  </si>
  <si>
    <t>893706837</t>
  </si>
  <si>
    <t>RC451.5.A2 C68 1983</t>
  </si>
  <si>
    <t>0                      RC 0451500A  2                  C  68          1983</t>
  </si>
  <si>
    <t>Counseling American minorities : a cross cultural perspective / [edited by] Donald R. Atkinson, George Morten, Derald Wing Sue.</t>
  </si>
  <si>
    <t>Dubuque, Iowa : W.C. Brown Co., c1983.</t>
  </si>
  <si>
    <t>2003-10-09</t>
  </si>
  <si>
    <t>1990-03-14</t>
  </si>
  <si>
    <t>9459429</t>
  </si>
  <si>
    <t>991005402519702656</t>
  </si>
  <si>
    <t>2261305100002656</t>
  </si>
  <si>
    <t>9780697066527</t>
  </si>
  <si>
    <t>32285000084920</t>
  </si>
  <si>
    <t>893902672</t>
  </si>
  <si>
    <t>RC451.5.A2 E83 1982</t>
  </si>
  <si>
    <t>0                      RC 0451500A  2                  E  83          1982</t>
  </si>
  <si>
    <t>Ethnicity and family therapy / edited by Monica McGoldrick, John K. Pearce and Joseph Giordano ; introduction by Irving M. Levine ; foreword by Harry Aponte.</t>
  </si>
  <si>
    <t>New York : Guilford Press, c1982.</t>
  </si>
  <si>
    <t>The Guilford family therapy series</t>
  </si>
  <si>
    <t>2004-06-21</t>
  </si>
  <si>
    <t>1994-09-28</t>
  </si>
  <si>
    <t>993697990:eng</t>
  </si>
  <si>
    <t>8110040</t>
  </si>
  <si>
    <t>991005203659702656</t>
  </si>
  <si>
    <t>2255864780002656</t>
  </si>
  <si>
    <t>9780898620405</t>
  </si>
  <si>
    <t>32285001948024</t>
  </si>
  <si>
    <t>893870691</t>
  </si>
  <si>
    <t>RC451.5.A2 P66 1991</t>
  </si>
  <si>
    <t>0                      RC 0451500A  2                  P  66          1991</t>
  </si>
  <si>
    <t>Handbook of racial/ethnic minority counseling research / Joseph G. Ponterotto, J. Manuel Casas ; with a foreword by Derald Wing Sue.</t>
  </si>
  <si>
    <t>Ponterotto, Joseph G.</t>
  </si>
  <si>
    <t>Springfield, Ill. : C.C. Thomas, U.S.A., c1991.</t>
  </si>
  <si>
    <t>2002-06-17</t>
  </si>
  <si>
    <t>24363004:eng</t>
  </si>
  <si>
    <t>22380578</t>
  </si>
  <si>
    <t>991005412739702656</t>
  </si>
  <si>
    <t>2269259740002656</t>
  </si>
  <si>
    <t>9780398057169</t>
  </si>
  <si>
    <t>32285001005304</t>
  </si>
  <si>
    <t>893783644</t>
  </si>
  <si>
    <t>RC451.5.A75 K39 2007</t>
  </si>
  <si>
    <t>0                      RC 0451500A  75                 K  39          2007</t>
  </si>
  <si>
    <t>Feminist reflections on growth and transformation : Asian American women in therapy / Debra M. Kawahara, Oliva M. Espin, editors.</t>
  </si>
  <si>
    <t>Kawahara, Debra M.</t>
  </si>
  <si>
    <t>Binghamton, NY : Haworth Press, c2007.</t>
  </si>
  <si>
    <t>1213516017:eng</t>
  </si>
  <si>
    <t>71173770</t>
  </si>
  <si>
    <t>991005269589702656</t>
  </si>
  <si>
    <t>2260362670002656</t>
  </si>
  <si>
    <t>9780789034335</t>
  </si>
  <si>
    <t>32285005464895</t>
  </si>
  <si>
    <t>893418657</t>
  </si>
  <si>
    <t>RC451.5.H57 F35 1998</t>
  </si>
  <si>
    <t>0                      RC 0451500H  57                 F  35          1998</t>
  </si>
  <si>
    <t>Latino families in therapy : a guide to multicultural practice / Celia Jaes Falicov.</t>
  </si>
  <si>
    <t>Falicov, Celia Jaes.</t>
  </si>
  <si>
    <t>New York : Gulford Press, c1998.</t>
  </si>
  <si>
    <t>2001-03-02</t>
  </si>
  <si>
    <t>1999-11-01</t>
  </si>
  <si>
    <t>2909393382:eng</t>
  </si>
  <si>
    <t>38249601</t>
  </si>
  <si>
    <t>991005427739702656</t>
  </si>
  <si>
    <t>2272318280002656</t>
  </si>
  <si>
    <t>9781572303645</t>
  </si>
  <si>
    <t>32285003615985</t>
  </si>
  <si>
    <t>893527609</t>
  </si>
  <si>
    <t>RC451.5.H57 L47</t>
  </si>
  <si>
    <t>0                      RC 0451500H  57                 L  47</t>
  </si>
  <si>
    <t>Crossing cultures in therapy : pluralistic counseling for the Hispanic / Elaine S. LeVine, Amado M. Padilla.</t>
  </si>
  <si>
    <t>LeVine, Elaine Sue.</t>
  </si>
  <si>
    <t>Monterey, Calif. : Brooks/Cole Pub. Corp., c1980</t>
  </si>
  <si>
    <t>2002-10-19</t>
  </si>
  <si>
    <t>1992-04-27</t>
  </si>
  <si>
    <t>425762955:eng</t>
  </si>
  <si>
    <t>5219661</t>
  </si>
  <si>
    <t>991004802329702656</t>
  </si>
  <si>
    <t>2268335680002656</t>
  </si>
  <si>
    <t>9780818503375</t>
  </si>
  <si>
    <t>32285001088763</t>
  </si>
  <si>
    <t>893350397</t>
  </si>
  <si>
    <t>RC451.5.H57 R64 1989</t>
  </si>
  <si>
    <t>0                      RC 0451500H  57                 R  64          1989</t>
  </si>
  <si>
    <t>Hispanics and mental health : a framework for research / Lloyd H. Rogler, Robert G. Malgady, Orlando Rodriguez.</t>
  </si>
  <si>
    <t>Rogler, Lloyd H. (Lloyd Henry), 1930-</t>
  </si>
  <si>
    <t>Malabar, Fla. : R.E. Krieger Pub. Co., 1989.</t>
  </si>
  <si>
    <t>Original ed.</t>
  </si>
  <si>
    <t>248709035:eng</t>
  </si>
  <si>
    <t>18948463</t>
  </si>
  <si>
    <t>991001415779702656</t>
  </si>
  <si>
    <t>2271859670002656</t>
  </si>
  <si>
    <t>9780894642487</t>
  </si>
  <si>
    <t>32285002075090</t>
  </si>
  <si>
    <t>893615062</t>
  </si>
  <si>
    <t>RC451.5.H57 S26 2001</t>
  </si>
  <si>
    <t>0                      RC 0451500H  57                 S  26          2001</t>
  </si>
  <si>
    <t>Medicalizing ethnicity : the construction of Latino identity in a psychiatric setting / Vilma Santiago-Irizarry.</t>
  </si>
  <si>
    <t>Santiago-Irizarry, Vilma.</t>
  </si>
  <si>
    <t>Ithaca, N.Y. : Cornell University Press, 2001.</t>
  </si>
  <si>
    <t>Anthropology of contemporary issues</t>
  </si>
  <si>
    <t>2002-10-02</t>
  </si>
  <si>
    <t>35277551:eng</t>
  </si>
  <si>
    <t>46359708</t>
  </si>
  <si>
    <t>991003869649702656</t>
  </si>
  <si>
    <t>2261131910002656</t>
  </si>
  <si>
    <t>9780801438219</t>
  </si>
  <si>
    <t>32285004651500</t>
  </si>
  <si>
    <t>893705721</t>
  </si>
  <si>
    <t>RC451.A4 M35 1995</t>
  </si>
  <si>
    <t>0                      RC 0451000A  4                  M  35          1995</t>
  </si>
  <si>
    <t>Colonial psychiatry and "the African mind" / Jock McCulloch.</t>
  </si>
  <si>
    <t>McCulloch, Jock, 1945-</t>
  </si>
  <si>
    <t>Cambridge ; New York : Cambridge University Press, 1995.</t>
  </si>
  <si>
    <t>2000-03-12</t>
  </si>
  <si>
    <t>1996-11-21</t>
  </si>
  <si>
    <t>31874312:eng</t>
  </si>
  <si>
    <t>30110035</t>
  </si>
  <si>
    <t>991002321229702656</t>
  </si>
  <si>
    <t>2255990740002656</t>
  </si>
  <si>
    <t>9780521453301</t>
  </si>
  <si>
    <t>32285002385135</t>
  </si>
  <si>
    <t>893257151</t>
  </si>
  <si>
    <t>RC451.C6 N67</t>
  </si>
  <si>
    <t>0                      RC 0451000C  6                  N  67</t>
  </si>
  <si>
    <t>Normal and abnormal behavior in Chinese culture / edited by Arthur Kleinman and Tsung-yi Lin.</t>
  </si>
  <si>
    <t>Dordrecht ; Boston : D. Reidel ; Hingham, MA : sold and distributed in the U.S.A. and by Kluwer Boston, c1981.</t>
  </si>
  <si>
    <t>Culture, illness, and healing ; v. 2</t>
  </si>
  <si>
    <t>1998-09-09</t>
  </si>
  <si>
    <t>350815294:eng</t>
  </si>
  <si>
    <t>7596559</t>
  </si>
  <si>
    <t>991005138819702656</t>
  </si>
  <si>
    <t>2255868880002656</t>
  </si>
  <si>
    <t>9789027711045</t>
  </si>
  <si>
    <t>32285001026698</t>
  </si>
  <si>
    <t>893418436</t>
  </si>
  <si>
    <t>RC451.M48 B36</t>
  </si>
  <si>
    <t>0                      RC 0451000M  48                 B  36</t>
  </si>
  <si>
    <t>Explorations in Chicano psychology / Augustine Barón, Jr.</t>
  </si>
  <si>
    <t>Baron, Augustine.</t>
  </si>
  <si>
    <t>431747:eng</t>
  </si>
  <si>
    <t>7461946</t>
  </si>
  <si>
    <t>991005115359702656</t>
  </si>
  <si>
    <t>2265899750002656</t>
  </si>
  <si>
    <t>9780030580161</t>
  </si>
  <si>
    <t>32285001026680</t>
  </si>
  <si>
    <t>893260574</t>
  </si>
  <si>
    <t>RC451.P6 .D35 2001</t>
  </si>
  <si>
    <t>0                      RC 0451000P  6                  D  35          2001</t>
  </si>
  <si>
    <t>Life at the bottom : the worldview that makes the underlcass / Theodore Dalrymple.</t>
  </si>
  <si>
    <t>Dalrymple, Theodore.</t>
  </si>
  <si>
    <t>Chicago : Dee, 2001.</t>
  </si>
  <si>
    <t>xxk</t>
  </si>
  <si>
    <t>2010-02-12</t>
  </si>
  <si>
    <t>2009-01-13</t>
  </si>
  <si>
    <t>366376436:eng</t>
  </si>
  <si>
    <t>66502637</t>
  </si>
  <si>
    <t>991005289979702656</t>
  </si>
  <si>
    <t>2270023400002656</t>
  </si>
  <si>
    <t>9781566635059</t>
  </si>
  <si>
    <t>32285005477525</t>
  </si>
  <si>
    <t>893883627</t>
  </si>
  <si>
    <t>RC454 .A324 1984</t>
  </si>
  <si>
    <t>0                      RC 0454000A  324         1984</t>
  </si>
  <si>
    <t>Adult psychopathology and diagnosis / edited by Samuel M. Turner, Michel Hersen.</t>
  </si>
  <si>
    <t>New York : Wiley, c1984.</t>
  </si>
  <si>
    <t>Wiley series on personality processes</t>
  </si>
  <si>
    <t>2006-10-23</t>
  </si>
  <si>
    <t>1990-03-13</t>
  </si>
  <si>
    <t>766653925:eng</t>
  </si>
  <si>
    <t>9894976</t>
  </si>
  <si>
    <t>991000276409702656</t>
  </si>
  <si>
    <t>2262792450002656</t>
  </si>
  <si>
    <t>9780471089698</t>
  </si>
  <si>
    <t>32285000085554</t>
  </si>
  <si>
    <t>893333352</t>
  </si>
  <si>
    <t>RC454 .A9</t>
  </si>
  <si>
    <t>0                      RC 0454000A  9</t>
  </si>
  <si>
    <t>Ego psychology and mental disorder : a developmental approach to psychopathology / David P. Ausubel, Daniel Kirk.</t>
  </si>
  <si>
    <t>Ausubel, David Paul.</t>
  </si>
  <si>
    <t>New York : Grune &amp; Stratton, c1977.</t>
  </si>
  <si>
    <t>363972454:eng</t>
  </si>
  <si>
    <t>2818933</t>
  </si>
  <si>
    <t>991004254749702656</t>
  </si>
  <si>
    <t>2267627600002656</t>
  </si>
  <si>
    <t>9780808910046</t>
  </si>
  <si>
    <t>32285001605681</t>
  </si>
  <si>
    <t>893318986</t>
  </si>
  <si>
    <t>RC454 .B85</t>
  </si>
  <si>
    <t>0                      RC 0454000B  85</t>
  </si>
  <si>
    <t>Psychopathology [by] Arnold H. Buss.</t>
  </si>
  <si>
    <t>Buss, Arnold H., 1924-</t>
  </si>
  <si>
    <t>New York, Wiley [1966]</t>
  </si>
  <si>
    <t>2003-10-28</t>
  </si>
  <si>
    <t>3856285883:eng</t>
  </si>
  <si>
    <t>243718</t>
  </si>
  <si>
    <t>991001916219702656</t>
  </si>
  <si>
    <t>2268911830002656</t>
  </si>
  <si>
    <t>32285003090494</t>
  </si>
  <si>
    <t>893879297</t>
  </si>
  <si>
    <t>RC454 .C27</t>
  </si>
  <si>
    <t>0                      RC 0454000C  27</t>
  </si>
  <si>
    <t>Personality development and psychopathology, a dynamic approach.</t>
  </si>
  <si>
    <t>Cameron, Norman, 1896-</t>
  </si>
  <si>
    <t>Boston, Houghton Mifflin Co. [1963]</t>
  </si>
  <si>
    <t>2007-03-13</t>
  </si>
  <si>
    <t>1652048:eng</t>
  </si>
  <si>
    <t>710258</t>
  </si>
  <si>
    <t>991005265229702656</t>
  </si>
  <si>
    <t>2262413780002656</t>
  </si>
  <si>
    <t>32285003090502</t>
  </si>
  <si>
    <t>893783312</t>
  </si>
  <si>
    <t>RC454 .C66</t>
  </si>
  <si>
    <t>0                      RC 0454000C  66</t>
  </si>
  <si>
    <t>Symptoms of psychopathology : a handbook / edited by Charles G. Costello.</t>
  </si>
  <si>
    <t>Costello, Charles G., 1929-</t>
  </si>
  <si>
    <t>New York : Wiley, [1970]</t>
  </si>
  <si>
    <t>1999-10-29</t>
  </si>
  <si>
    <t>1168319:eng</t>
  </si>
  <si>
    <t>50653</t>
  </si>
  <si>
    <t>991000122379702656</t>
  </si>
  <si>
    <t>2255762750002656</t>
  </si>
  <si>
    <t>9780471175209</t>
  </si>
  <si>
    <t>32285000426626</t>
  </si>
  <si>
    <t>893425445</t>
  </si>
  <si>
    <t>RC454 .D544 2008</t>
  </si>
  <si>
    <t>0                      RC 0454000D  544         2008</t>
  </si>
  <si>
    <t>Different people, different voices : a collection of essays on mental illness / compiled by Michael and Mary Van Fleteren.</t>
  </si>
  <si>
    <t>Rockford, Mich. : Outsider Press, c2008.</t>
  </si>
  <si>
    <t>2009-08-04</t>
  </si>
  <si>
    <t>314604976:eng</t>
  </si>
  <si>
    <t>426917887</t>
  </si>
  <si>
    <t>991005327699702656</t>
  </si>
  <si>
    <t>2255723050002656</t>
  </si>
  <si>
    <t>9780615210230</t>
  </si>
  <si>
    <t>32285005540348</t>
  </si>
  <si>
    <t>893600989</t>
  </si>
  <si>
    <t>RC454 .E4 1976</t>
  </si>
  <si>
    <t>0                      RC 0454000E  4           1976</t>
  </si>
  <si>
    <t>Psychiatry / by Merrill T. Eaton, Jr., Margaret H. Peterson, James A. Davis.</t>
  </si>
  <si>
    <t>Eaton, Merrill T. (Merrill Thomas), 1920-</t>
  </si>
  <si>
    <t>Flushing, N.Y. : Medical Examination Pub. Co., 1976.</t>
  </si>
  <si>
    <t>Medical outline series</t>
  </si>
  <si>
    <t>1992-12-05</t>
  </si>
  <si>
    <t>1992-04-08</t>
  </si>
  <si>
    <t>32314927:eng</t>
  </si>
  <si>
    <t>2541449</t>
  </si>
  <si>
    <t>991005265239702656</t>
  </si>
  <si>
    <t>2272770050002656</t>
  </si>
  <si>
    <t>9780874886214</t>
  </si>
  <si>
    <t>32285001056786</t>
  </si>
  <si>
    <t>893520740</t>
  </si>
  <si>
    <t>RC454 .E5 1964</t>
  </si>
  <si>
    <t>0                      RC 0454000E  5           1964</t>
  </si>
  <si>
    <t>Introduction to psychiatry / [by] O. Spurgeon English and Stuart M. Finch.</t>
  </si>
  <si>
    <t>English, O. Spurgeon (Oliver Spurgeon), 1901-1993.</t>
  </si>
  <si>
    <t>New York : Norton, [1964]</t>
  </si>
  <si>
    <t>[3d ed.]</t>
  </si>
  <si>
    <t>1997-03-16</t>
  </si>
  <si>
    <t>573064:eng</t>
  </si>
  <si>
    <t>422575</t>
  </si>
  <si>
    <t>991002745239702656</t>
  </si>
  <si>
    <t>2267194600002656</t>
  </si>
  <si>
    <t>32285001056778</t>
  </si>
  <si>
    <t>893603961</t>
  </si>
  <si>
    <t>RC454 .F742 1976</t>
  </si>
  <si>
    <t>0                      RC 0454000F  742         1976</t>
  </si>
  <si>
    <t>Modern synopsis of Comprehensive textbook of psychiatry, II / Alfred M. Freedman, Harold I. Kaplan, Benjamin J. Sadock.</t>
  </si>
  <si>
    <t>Freedman, Alfred M.</t>
  </si>
  <si>
    <t>Baltimore : Williams &amp; Wilkins, c1976.</t>
  </si>
  <si>
    <t>1996-04-30</t>
  </si>
  <si>
    <t>4915268201:eng</t>
  </si>
  <si>
    <t>2598449</t>
  </si>
  <si>
    <t>991004178539702656</t>
  </si>
  <si>
    <t>2265983180002656</t>
  </si>
  <si>
    <t>9780683033700</t>
  </si>
  <si>
    <t>32285001056935</t>
  </si>
  <si>
    <t>893442306</t>
  </si>
  <si>
    <t>RC454 .H353 1982, v.1</t>
  </si>
  <si>
    <t>0                      RC 0454000H  353         1982                                        v.1</t>
  </si>
  <si>
    <t>Clinical psychology and behavioral medicine : overlapping disciplines / Robert J. Gatchel, Andrew Baum, and Jerome E. Singer (editors).</t>
  </si>
  <si>
    <t>Hillsdale, N.J. : L. Erlbaum Associates, 1982.</t>
  </si>
  <si>
    <t>Handbook of psychology and health ; v. 1</t>
  </si>
  <si>
    <t>1999-08-20</t>
  </si>
  <si>
    <t>195485722:eng</t>
  </si>
  <si>
    <t>8171554</t>
  </si>
  <si>
    <t>991005213839702656</t>
  </si>
  <si>
    <t>2256855120002656</t>
  </si>
  <si>
    <t>9780898591835</t>
  </si>
  <si>
    <t>32285001605707</t>
  </si>
  <si>
    <t>893701212</t>
  </si>
  <si>
    <t>RC454 .H353 1982, v.2</t>
  </si>
  <si>
    <t>0                      RC 0454000H  353         1982                                        v.2</t>
  </si>
  <si>
    <t>Issues in child health and adolescent health / edited by Andrew Baum, Jerome E. Singer.</t>
  </si>
  <si>
    <t>Handbook of psychology and health ; v. 2</t>
  </si>
  <si>
    <t>355933287:eng</t>
  </si>
  <si>
    <t>8590594</t>
  </si>
  <si>
    <t>991000028839702656</t>
  </si>
  <si>
    <t>2272138870002656</t>
  </si>
  <si>
    <t>9780898591842</t>
  </si>
  <si>
    <t>32285001605715</t>
  </si>
  <si>
    <t>893589039</t>
  </si>
  <si>
    <t>RC454 .H353 1982, v.3</t>
  </si>
  <si>
    <t>0                      RC 0454000H  353         1982                                        v.3</t>
  </si>
  <si>
    <t>Cardiovascular disorders and behavior / edited by David S. Krantz, Andrew Baum, Jerome E. Singer.</t>
  </si>
  <si>
    <t>Hillsdale, N.J. : L. Erlbaum Associates, 1983.</t>
  </si>
  <si>
    <t>Handbook of psychology and health ; v. 3</t>
  </si>
  <si>
    <t>355933305:eng</t>
  </si>
  <si>
    <t>9255532</t>
  </si>
  <si>
    <t>991000158789702656</t>
  </si>
  <si>
    <t>2256437200002656</t>
  </si>
  <si>
    <t>9780898591859</t>
  </si>
  <si>
    <t>32285001605723</t>
  </si>
  <si>
    <t>893444230</t>
  </si>
  <si>
    <t>RC454 .H353 1982, v.4</t>
  </si>
  <si>
    <t>0                      RC 0454000H  353         1982                                        v.4</t>
  </si>
  <si>
    <t>Social psychological aspects of health / edited by Andrew Baum, Shelley E. Taylor, Jerome E. Singer.</t>
  </si>
  <si>
    <t>Hillsdale, N.J. : L. Erlbaum Associates, 1984.</t>
  </si>
  <si>
    <t>Handbook of psychology and health ; v. 4</t>
  </si>
  <si>
    <t>1991-11-13</t>
  </si>
  <si>
    <t>355933281:eng</t>
  </si>
  <si>
    <t>10559081</t>
  </si>
  <si>
    <t>991001785429702656</t>
  </si>
  <si>
    <t>2272049720002656</t>
  </si>
  <si>
    <t>9780898591866</t>
  </si>
  <si>
    <t>32285000823590</t>
  </si>
  <si>
    <t>893250506</t>
  </si>
  <si>
    <t>RC454 .H536 2005</t>
  </si>
  <si>
    <t>0                      RC 0454000H  536         2005</t>
  </si>
  <si>
    <t>Fifty signs of mental illness : a guide to understanding mental health / James Whitney Hicks.</t>
  </si>
  <si>
    <t>Hicks, James Whitney.</t>
  </si>
  <si>
    <t>New Haven : Yale University Press, c2005.</t>
  </si>
  <si>
    <t>Yale University Press health &amp; wellness</t>
  </si>
  <si>
    <t>2007-09-11</t>
  </si>
  <si>
    <t>2005-07-25</t>
  </si>
  <si>
    <t>796438932:eng</t>
  </si>
  <si>
    <t>56535198</t>
  </si>
  <si>
    <t>991004585839702656</t>
  </si>
  <si>
    <t>2264210210002656</t>
  </si>
  <si>
    <t>9780300106572</t>
  </si>
  <si>
    <t>32285005097679</t>
  </si>
  <si>
    <t>893229522</t>
  </si>
  <si>
    <t>RC454 .H675 2004</t>
  </si>
  <si>
    <t>0                      RC 0454000H  675         2004</t>
  </si>
  <si>
    <t>Interpersonal foundations of psychopathology / Leonard M. Horowitz.</t>
  </si>
  <si>
    <t>Horowitz, Leonard M.</t>
  </si>
  <si>
    <t>Washington, DC : American Psychological Association, 2004.</t>
  </si>
  <si>
    <t>2010-11-04</t>
  </si>
  <si>
    <t>2005-07-05</t>
  </si>
  <si>
    <t>808619:eng</t>
  </si>
  <si>
    <t>53231750</t>
  </si>
  <si>
    <t>991004545419702656</t>
  </si>
  <si>
    <t>2263922570002656</t>
  </si>
  <si>
    <t>9781591470816</t>
  </si>
  <si>
    <t>32285005094569</t>
  </si>
  <si>
    <t>893350143</t>
  </si>
  <si>
    <t>RC454 .L375 2001</t>
  </si>
  <si>
    <t>0                      RC 0454000L  375         2001</t>
  </si>
  <si>
    <t>The unbalanced mind / Julian Leff.</t>
  </si>
  <si>
    <t>Leff, Julian P.</t>
  </si>
  <si>
    <t>New York : Columbia University Press, c2001.</t>
  </si>
  <si>
    <t>Maps of the mind</t>
  </si>
  <si>
    <t>2006-03-02</t>
  </si>
  <si>
    <t>2002-08-14</t>
  </si>
  <si>
    <t>9415109208:eng</t>
  </si>
  <si>
    <t>48109531</t>
  </si>
  <si>
    <t>991003848869702656</t>
  </si>
  <si>
    <t>2272153710002656</t>
  </si>
  <si>
    <t>9780231120265</t>
  </si>
  <si>
    <t>32285004643317</t>
  </si>
  <si>
    <t>893499786</t>
  </si>
  <si>
    <t>RC454 .L63</t>
  </si>
  <si>
    <t>0                      RC 0454000L  63</t>
  </si>
  <si>
    <t>Foundations of abnormal psychology, edited by Perry London [and] David Rosenhan. Contributors: W. Ross Ashby [and others]</t>
  </si>
  <si>
    <t>London, Perry.</t>
  </si>
  <si>
    <t>New York, Holt, Rinehart and Winston [1968]</t>
  </si>
  <si>
    <t>3856651267:eng</t>
  </si>
  <si>
    <t>436627</t>
  </si>
  <si>
    <t>991002770079702656</t>
  </si>
  <si>
    <t>2268862000002656</t>
  </si>
  <si>
    <t>32285003090528</t>
  </si>
  <si>
    <t>893239465</t>
  </si>
  <si>
    <t>RC454 .M18</t>
  </si>
  <si>
    <t>0                      RC 0454000M  18</t>
  </si>
  <si>
    <t>The varieties of abnormality : a phenomenological analysis / by Raymond J. McCall.</t>
  </si>
  <si>
    <t>McCall, Raymond J. (Raymond Joseph), 1913-1990.</t>
  </si>
  <si>
    <t>Springfield, Ill. : Thomas, [1975]</t>
  </si>
  <si>
    <t>1999-01-25</t>
  </si>
  <si>
    <t>1992-03-13</t>
  </si>
  <si>
    <t>2051999:eng</t>
  </si>
  <si>
    <t>1085687</t>
  </si>
  <si>
    <t>991003523479702656</t>
  </si>
  <si>
    <t>2269476640002656</t>
  </si>
  <si>
    <t>9780398032807</t>
  </si>
  <si>
    <t>32285001020253</t>
  </si>
  <si>
    <t>893623580</t>
  </si>
  <si>
    <t>RC454 .P67</t>
  </si>
  <si>
    <t>0                      RC 0454000P  67</t>
  </si>
  <si>
    <t>Abnormal behavior : perspectives in conflict / [by] Richard H. Price.</t>
  </si>
  <si>
    <t>Price, Richard H.</t>
  </si>
  <si>
    <t>New York : Holt, Rinehart and Winston, [1972]</t>
  </si>
  <si>
    <t>1996-12-03</t>
  </si>
  <si>
    <t>1992-06-26</t>
  </si>
  <si>
    <t>1089549934:eng</t>
  </si>
  <si>
    <t>329569</t>
  </si>
  <si>
    <t>991002384839702656</t>
  </si>
  <si>
    <t>2267466130002656</t>
  </si>
  <si>
    <t>9780030849701</t>
  </si>
  <si>
    <t>32285001145571</t>
  </si>
  <si>
    <t>893597392</t>
  </si>
  <si>
    <t>RC454 .P787 1993</t>
  </si>
  <si>
    <t>0                      RC 0454000P  787         1993</t>
  </si>
  <si>
    <t>Psychopathology in adulthood / edited by Alan S. Bellack, Michel Hersen.</t>
  </si>
  <si>
    <t>Boston : Allyn and Bacon, c1993.</t>
  </si>
  <si>
    <t>2002-04-28</t>
  </si>
  <si>
    <t>1994-07-25</t>
  </si>
  <si>
    <t>364522809:eng</t>
  </si>
  <si>
    <t>27385762</t>
  </si>
  <si>
    <t>991002135969702656</t>
  </si>
  <si>
    <t>2260291240002656</t>
  </si>
  <si>
    <t>9780205145843</t>
  </si>
  <si>
    <t>32285001932895</t>
  </si>
  <si>
    <t>893892195</t>
  </si>
  <si>
    <t>RC454 .R38</t>
  </si>
  <si>
    <t>0                      RC 0454000R  38</t>
  </si>
  <si>
    <t>Readings in abnormal psychology : contemporary perspectives / edited by Lawrence R. Allman and Dennis T. Jaffe.</t>
  </si>
  <si>
    <t>[New York] : Harper and Row, c1976.</t>
  </si>
  <si>
    <t>1976-77 ed.</t>
  </si>
  <si>
    <t>Contemporary perspectives reader series</t>
  </si>
  <si>
    <t>1999-03-04</t>
  </si>
  <si>
    <t>1992-06-25</t>
  </si>
  <si>
    <t>5055348:eng</t>
  </si>
  <si>
    <t>2396089</t>
  </si>
  <si>
    <t>991004110449702656</t>
  </si>
  <si>
    <t>2272696330002656</t>
  </si>
  <si>
    <t>9780060432591</t>
  </si>
  <si>
    <t>32285001145563</t>
  </si>
  <si>
    <t>893253246</t>
  </si>
  <si>
    <t>RC454 .R57 1972</t>
  </si>
  <si>
    <t>0                      RC 0454000R  57          1972</t>
  </si>
  <si>
    <t>Abnormal psychology / [by] Ephraim Rosen, Ronald E. Fox [and] Ian Gregory.</t>
  </si>
  <si>
    <t>Rosen, Ephraim.</t>
  </si>
  <si>
    <t>Philadelphia : Saunders, 1972.</t>
  </si>
  <si>
    <t>2002-04-01</t>
  </si>
  <si>
    <t>1350243:eng</t>
  </si>
  <si>
    <t>303560</t>
  </si>
  <si>
    <t>991002259449702656</t>
  </si>
  <si>
    <t>2272541920002656</t>
  </si>
  <si>
    <t>9780721676968</t>
  </si>
  <si>
    <t>32285001025864</t>
  </si>
  <si>
    <t>893879675</t>
  </si>
  <si>
    <t>RC454 .S87 1975</t>
  </si>
  <si>
    <t>0                      RC 0454000S  87          1975</t>
  </si>
  <si>
    <t>Fundamentals of behavior pathology / Richard M Suinn.</t>
  </si>
  <si>
    <t>Suinn, Richard M.</t>
  </si>
  <si>
    <t>New York : Wiley, [1975]</t>
  </si>
  <si>
    <t>Series in psychology</t>
  </si>
  <si>
    <t>1997-10-19</t>
  </si>
  <si>
    <t>254184:eng</t>
  </si>
  <si>
    <t>1111471</t>
  </si>
  <si>
    <t>991003545779702656</t>
  </si>
  <si>
    <t>2269661460002656</t>
  </si>
  <si>
    <t>9780471835479</t>
  </si>
  <si>
    <t>32285003090569</t>
  </si>
  <si>
    <t>893623606</t>
  </si>
  <si>
    <t>RC454 .V46 1977, v.1</t>
  </si>
  <si>
    <t>0                      RC 0454000V  46          1977                                        v.1</t>
  </si>
  <si>
    <t>The issues : an overview of primary prevention / editors, George W. Albee, Justin M. Joffe.</t>
  </si>
  <si>
    <t>Hanover, N.H. : Published for the University of Vermont by the University Press of New England, c1977, 1980 printing.</t>
  </si>
  <si>
    <t>nhu</t>
  </si>
  <si>
    <t>Primary prevention of psychopathology ; v. 1</t>
  </si>
  <si>
    <t>2003-10-27</t>
  </si>
  <si>
    <t>1991-09-27</t>
  </si>
  <si>
    <t>356095613:eng</t>
  </si>
  <si>
    <t>5906820</t>
  </si>
  <si>
    <t>991004972169702656</t>
  </si>
  <si>
    <t>2269714690002656</t>
  </si>
  <si>
    <t>9780874511352</t>
  </si>
  <si>
    <t>32285000764513</t>
  </si>
  <si>
    <t>893700872</t>
  </si>
  <si>
    <t>RC454 .V46 1977, v.10</t>
  </si>
  <si>
    <t>0                      RC 0454000V  46          1977                                        v.10</t>
  </si>
  <si>
    <t>Prevention of delinquent behavior / editors John D. Burchard and Sara N. Burchard.</t>
  </si>
  <si>
    <t>V.10</t>
  </si>
  <si>
    <t>Beverly Hills : Sage Publications, c1987.</t>
  </si>
  <si>
    <t>Vermont conference on the primary prevention of psychopathology ; v. 10</t>
  </si>
  <si>
    <t>2005-05-06</t>
  </si>
  <si>
    <t>5218123431:eng</t>
  </si>
  <si>
    <t>14413971</t>
  </si>
  <si>
    <t>991000942459702656</t>
  </si>
  <si>
    <t>2264347080002656</t>
  </si>
  <si>
    <t>9780803929081</t>
  </si>
  <si>
    <t>32285000764596</t>
  </si>
  <si>
    <t>893528523</t>
  </si>
  <si>
    <t>RC454 .V46 1977, v.13</t>
  </si>
  <si>
    <t>0                      RC 0454000V  46          1977                                        v.13</t>
  </si>
  <si>
    <t>Primary prevention of AIDS : psychological approaches / editors, Vickie M. Mays, George W. Albee, Stanley F. Schneider.</t>
  </si>
  <si>
    <t>V.13</t>
  </si>
  <si>
    <t>Newbury Park : SAGE Publications, c1989.</t>
  </si>
  <si>
    <t>Primary prevention of psychopathology ; vol. 13</t>
  </si>
  <si>
    <t>1991-05-31</t>
  </si>
  <si>
    <t>890409887:eng</t>
  </si>
  <si>
    <t>20013570</t>
  </si>
  <si>
    <t>991001527259702656</t>
  </si>
  <si>
    <t>2262307070002656</t>
  </si>
  <si>
    <t>9780803936003</t>
  </si>
  <si>
    <t>32285000592153</t>
  </si>
  <si>
    <t>893414293</t>
  </si>
  <si>
    <t>RC454 .V46 1977, v.14</t>
  </si>
  <si>
    <t>0                      RC 0454000V  46          1977                                        v.14</t>
  </si>
  <si>
    <t>Improving children's lives : global perspectives on prevention / editors, George W. Albee, Lynne A. Bond, Toni V. Cook Monsey.</t>
  </si>
  <si>
    <t>V.14</t>
  </si>
  <si>
    <t>Newbury Park : Sage Publications, c1992.</t>
  </si>
  <si>
    <t>Primary prevention of psychopathology ; v. 14</t>
  </si>
  <si>
    <t>1992-05-21</t>
  </si>
  <si>
    <t>836733829:eng</t>
  </si>
  <si>
    <t>24543564</t>
  </si>
  <si>
    <t>991001942419702656</t>
  </si>
  <si>
    <t>2262980990002656</t>
  </si>
  <si>
    <t>9780803946101</t>
  </si>
  <si>
    <t>32285001125193</t>
  </si>
  <si>
    <t>893534761</t>
  </si>
  <si>
    <t>RC454 .V46 1977, v.15</t>
  </si>
  <si>
    <t>0                      RC 0454000V  46          1977                                        v.15</t>
  </si>
  <si>
    <t>The Present and future of prevention : in honor of George W. Albee / editors Marc Kessler, Stephen E. Goldston, Justin M. Joffe.</t>
  </si>
  <si>
    <t>V.15</t>
  </si>
  <si>
    <t>Newbury Park, Calif. : Sage Publications, c1992.</t>
  </si>
  <si>
    <t>Primary prevention of psychopathology ; v. 15</t>
  </si>
  <si>
    <t>2005-04-28</t>
  </si>
  <si>
    <t>1993-08-05</t>
  </si>
  <si>
    <t>836889592:eng</t>
  </si>
  <si>
    <t>25630316</t>
  </si>
  <si>
    <t>991002014179702656</t>
  </si>
  <si>
    <t>2266745690002656</t>
  </si>
  <si>
    <t>9780803945906</t>
  </si>
  <si>
    <t>32285001750776</t>
  </si>
  <si>
    <t>893427110</t>
  </si>
  <si>
    <t>RC454 .V46 1977, v.2</t>
  </si>
  <si>
    <t>0                      RC 0454000V  46          1977                                        v.2</t>
  </si>
  <si>
    <t>Environmental influences and strategies in primary prevention / Donald G. Forgays, editor.</t>
  </si>
  <si>
    <t>Hanover [N.H.] : Published for the University of Vermont by the University Press of New England, 1982, c1978.</t>
  </si>
  <si>
    <t>Primary prevention of psychopathology ; 2</t>
  </si>
  <si>
    <t>427606975:eng</t>
  </si>
  <si>
    <t>8806075</t>
  </si>
  <si>
    <t>991000076099702656</t>
  </si>
  <si>
    <t>2267272320002656</t>
  </si>
  <si>
    <t>9780874511536</t>
  </si>
  <si>
    <t>32285000764521</t>
  </si>
  <si>
    <t>893255157</t>
  </si>
  <si>
    <t>RC454 .V46 1977, v.3</t>
  </si>
  <si>
    <t>0                      RC 0454000V  46          1977                                        v.3</t>
  </si>
  <si>
    <t>Social competence in children / editors, Martha Whalen Kent, Jon E. Rolf.</t>
  </si>
  <si>
    <t>Hanover, N.H. : Published for the University of Vermont by the University Press of New England, c1979, 1980 printing.</t>
  </si>
  <si>
    <t>Primary prevention of psychopathology ; v. 3</t>
  </si>
  <si>
    <t>1992-02-06</t>
  </si>
  <si>
    <t>411454635:eng</t>
  </si>
  <si>
    <t>4549510</t>
  </si>
  <si>
    <t>991004677879702656</t>
  </si>
  <si>
    <t>2272621050002656</t>
  </si>
  <si>
    <t>32285000764539</t>
  </si>
  <si>
    <t>893532677</t>
  </si>
  <si>
    <t>RC454 .V46 1977, v.4</t>
  </si>
  <si>
    <t>0                      RC 0454000V  46          1977                                        v.4</t>
  </si>
  <si>
    <t>Competence and coping during adulthood / Lynne A. Bond and James C. Rosen, editors.</t>
  </si>
  <si>
    <t>Hanover, N.H. : Published for the Vermont Conference on the Primary Prevention of Psychopathology by the University Press of New England, 1980.</t>
  </si>
  <si>
    <t>Primary prevention of psychopathology</t>
  </si>
  <si>
    <t>1997-09-16</t>
  </si>
  <si>
    <t>375401991:eng</t>
  </si>
  <si>
    <t>6355510</t>
  </si>
  <si>
    <t>991004968399702656</t>
  </si>
  <si>
    <t>2256644710002656</t>
  </si>
  <si>
    <t>9780874511598</t>
  </si>
  <si>
    <t>32285000764547</t>
  </si>
  <si>
    <t>893876757</t>
  </si>
  <si>
    <t>RC454 .V46 1977, v.5</t>
  </si>
  <si>
    <t>0                      RC 0454000V  46          1977                                        v.5</t>
  </si>
  <si>
    <t>Prevention through political action and social change / Justin M. Joffe and George W. Albee, editors.</t>
  </si>
  <si>
    <t>V.5</t>
  </si>
  <si>
    <t>Vermont Conference on the Primary Prevention of Psychopathology (5th : 1979 : University of Vermont)</t>
  </si>
  <si>
    <t>Hanover, NH ; London : published for the Vermont Conference on the Primary Prevention of Psychopathology by the University Press of New England, 1981.</t>
  </si>
  <si>
    <t>Primary prevention of psychopathology ; 5</t>
  </si>
  <si>
    <t>522108:eng</t>
  </si>
  <si>
    <t>7717020</t>
  </si>
  <si>
    <t>991005121939702656</t>
  </si>
  <si>
    <t>2255415930002656</t>
  </si>
  <si>
    <t>9780874511871</t>
  </si>
  <si>
    <t>32285000764554</t>
  </si>
  <si>
    <t>893902151</t>
  </si>
  <si>
    <t>RC454 .V46 1977, v.7</t>
  </si>
  <si>
    <t>0                      RC 0454000V  46          1977                                        v.7</t>
  </si>
  <si>
    <t>Promoting sexual responsibility and preventing sexual problems / George W. Albee, Sol Gordon, and Harold Leitenberg, editors.</t>
  </si>
  <si>
    <t>V.7</t>
  </si>
  <si>
    <t>Vermont Conference on the Primary Prevention of Psychopathology (7th : 1981 : University of Vermont)</t>
  </si>
  <si>
    <t>Hanover, NH : Published for the Vermont Conference on the Primary Prevention of Psychopathology by University Press of New England, 1983.</t>
  </si>
  <si>
    <t>Primary prevention of psychopathology ; 7</t>
  </si>
  <si>
    <t>42964322:eng</t>
  </si>
  <si>
    <t>9440958</t>
  </si>
  <si>
    <t>991000195329702656</t>
  </si>
  <si>
    <t>2264566820002656</t>
  </si>
  <si>
    <t>9780874512489</t>
  </si>
  <si>
    <t>32285000764570</t>
  </si>
  <si>
    <t>893230959</t>
  </si>
  <si>
    <t>RC454 .V46 1977, v.8</t>
  </si>
  <si>
    <t>0                      RC 0454000V  46          1977                                        v.8</t>
  </si>
  <si>
    <t>Prevention in health psychology / James C. Rosen and Laura J. Solomon, editors.</t>
  </si>
  <si>
    <t>V.8</t>
  </si>
  <si>
    <t>Vermont Conference on the Primary Prevention of Psychopathology (8th : 1983 : University of Vermont)</t>
  </si>
  <si>
    <t>Hanover [N.H.] : Published for the University of Vermont and the Vermont Conference on the Primary Prevention of Psychopathology by University Press of New England, 1985.</t>
  </si>
  <si>
    <t>Primary prevention of psychopathology ; 8</t>
  </si>
  <si>
    <t>1995-03-21</t>
  </si>
  <si>
    <t>356001062:eng</t>
  </si>
  <si>
    <t>11813909</t>
  </si>
  <si>
    <t>991000597029702656</t>
  </si>
  <si>
    <t>2260421300002656</t>
  </si>
  <si>
    <t>9780874513202</t>
  </si>
  <si>
    <t>32285000764588</t>
  </si>
  <si>
    <t>893508923</t>
  </si>
  <si>
    <t>RC454.4 .A38 1984</t>
  </si>
  <si>
    <t>0                      RC 0454400A  38          1984</t>
  </si>
  <si>
    <t>Adult psychopathology : a social work perspective / edited by Francis J. Turner.</t>
  </si>
  <si>
    <t>New York : Free Press ; London : Collier Macmillan, c1984.</t>
  </si>
  <si>
    <t>1997-11-02</t>
  </si>
  <si>
    <t>836626275:eng</t>
  </si>
  <si>
    <t>9784098</t>
  </si>
  <si>
    <t>991000257599702656</t>
  </si>
  <si>
    <t>2268666140002656</t>
  </si>
  <si>
    <t>9780029330005</t>
  </si>
  <si>
    <t>32285001605749</t>
  </si>
  <si>
    <t>893425559</t>
  </si>
  <si>
    <t>RC454.4 .A46 1979</t>
  </si>
  <si>
    <t>0                      RC 0454400A  46          1979</t>
  </si>
  <si>
    <t>Stress and mental disorder / editor, James E. Barrett, associate editors, Robert M. Rose, Gerald L. Klerman.</t>
  </si>
  <si>
    <t>American Psychopathological Association.</t>
  </si>
  <si>
    <t>New York : Raven Press, c1979.</t>
  </si>
  <si>
    <t>American Psychopathological Association series</t>
  </si>
  <si>
    <t>1998-03-16</t>
  </si>
  <si>
    <t>15211519:eng</t>
  </si>
  <si>
    <t>4982860</t>
  </si>
  <si>
    <t>991001773109702656</t>
  </si>
  <si>
    <t>2265745900002656</t>
  </si>
  <si>
    <t>9780890043844</t>
  </si>
  <si>
    <t>32285001027449</t>
  </si>
  <si>
    <t>893803887</t>
  </si>
  <si>
    <t>RC454.4 .C56 1995</t>
  </si>
  <si>
    <t>0                      RC 0454400C  56          1995</t>
  </si>
  <si>
    <t>Origins of mental illness : temperament, deviance, and disorder / Gordon Claridge.</t>
  </si>
  <si>
    <t>Claridge, Gordon, 1932-</t>
  </si>
  <si>
    <t>Cambridge, MA : ISHK, 1995.</t>
  </si>
  <si>
    <t>1999-09-24</t>
  </si>
  <si>
    <t>1996-12-18</t>
  </si>
  <si>
    <t>836713496:eng</t>
  </si>
  <si>
    <t>34835142</t>
  </si>
  <si>
    <t>991002663989702656</t>
  </si>
  <si>
    <t>2261876520002656</t>
  </si>
  <si>
    <t>9781883536015</t>
  </si>
  <si>
    <t>32285002394954</t>
  </si>
  <si>
    <t>893427849</t>
  </si>
  <si>
    <t>RC454.4 .D68</t>
  </si>
  <si>
    <t>0                      RC 0454400D  68</t>
  </si>
  <si>
    <t>Double bind : the foundation of the communicational approach to the family / edited by Carlos E. Sluzki, Donald C. Ransom.</t>
  </si>
  <si>
    <t>New York : Grune &amp; Stratton ; London : distributed in the United Kingdom by Academic Press, c1976.</t>
  </si>
  <si>
    <t>2007-06-04</t>
  </si>
  <si>
    <t>3945660620:eng</t>
  </si>
  <si>
    <t>2719002</t>
  </si>
  <si>
    <t>991004223109702656</t>
  </si>
  <si>
    <t>2272468770002656</t>
  </si>
  <si>
    <t>9780808909507</t>
  </si>
  <si>
    <t>32285003090585</t>
  </si>
  <si>
    <t>893229078</t>
  </si>
  <si>
    <t>RC454.4 .P76</t>
  </si>
  <si>
    <t>0                      RC 0454400P  76</t>
  </si>
  <si>
    <t>Psychologists in health care settings / guest editors, Simon H. Budman and Donald Wertlieb.</t>
  </si>
  <si>
    <t>Washington : American Psychological Association, c1979.</t>
  </si>
  <si>
    <t>Professional psychology ; v. 10, no. 4</t>
  </si>
  <si>
    <t>1997-10-20</t>
  </si>
  <si>
    <t>20460447:eng</t>
  </si>
  <si>
    <t>6050057</t>
  </si>
  <si>
    <t>991004921779702656</t>
  </si>
  <si>
    <t>2267008110002656</t>
  </si>
  <si>
    <t>32285001605764</t>
  </si>
  <si>
    <t>893418146</t>
  </si>
  <si>
    <t>RC454.4 .R87 1993</t>
  </si>
  <si>
    <t>0                      RC 0454400R  87          1993</t>
  </si>
  <si>
    <t>Developing minds : challenge and continuity across the life span / Michael and Marjorie Rutter.</t>
  </si>
  <si>
    <t>Rutter, Michael, 1953-</t>
  </si>
  <si>
    <t>New York, NY : BasicBooks, c1993.</t>
  </si>
  <si>
    <t>1995-11-30</t>
  </si>
  <si>
    <t>1993-11-02</t>
  </si>
  <si>
    <t>820037808:eng</t>
  </si>
  <si>
    <t>26766986</t>
  </si>
  <si>
    <t>991002086359702656</t>
  </si>
  <si>
    <t>2269128560002656</t>
  </si>
  <si>
    <t>9780465010370</t>
  </si>
  <si>
    <t>32285001789865</t>
  </si>
  <si>
    <t>893697320</t>
  </si>
  <si>
    <t>RC454.4 .W37 1982</t>
  </si>
  <si>
    <t>0                      RC 0454400W  37          1982</t>
  </si>
  <si>
    <t>Psychopathology, from infancy through adolescence : a developmental approach / Charles Wenar.</t>
  </si>
  <si>
    <t>Wenar, Charles, 1922-</t>
  </si>
  <si>
    <t>New York, NY : Random House, c1982.</t>
  </si>
  <si>
    <t>1995-02-15</t>
  </si>
  <si>
    <t>1992-01-14</t>
  </si>
  <si>
    <t>3901769120:eng</t>
  </si>
  <si>
    <t>8452477</t>
  </si>
  <si>
    <t>991005245939702656</t>
  </si>
  <si>
    <t>2262913980002656</t>
  </si>
  <si>
    <t>9780394323961</t>
  </si>
  <si>
    <t>32285000913029</t>
  </si>
  <si>
    <t>893613379</t>
  </si>
  <si>
    <t>RC455 .B3313</t>
  </si>
  <si>
    <t>0                      RC 0455000B  3313</t>
  </si>
  <si>
    <t>The sociology of mental disorder / translated by Jean McNeil.</t>
  </si>
  <si>
    <t>Bastide, Roger, 1898-1974.</t>
  </si>
  <si>
    <t>New York : D. McKay Co., [1972]</t>
  </si>
  <si>
    <t>1999-04-06</t>
  </si>
  <si>
    <t>1367144:eng</t>
  </si>
  <si>
    <t>309353</t>
  </si>
  <si>
    <t>991002273579702656</t>
  </si>
  <si>
    <t>2264688500002656</t>
  </si>
  <si>
    <t>32285001910719</t>
  </si>
  <si>
    <t>893244977</t>
  </si>
  <si>
    <t>RC455 .F6</t>
  </si>
  <si>
    <t>0                      RC 0455000F  6</t>
  </si>
  <si>
    <t>Personality and personal illness [by] G.A. Foulds, in collaboration with T.M. Caine and with the assistance of Anne Adams and Anna Owen.</t>
  </si>
  <si>
    <t>Foulds, G. A.</t>
  </si>
  <si>
    <t>[London] Tavistock Publications [1965]</t>
  </si>
  <si>
    <t>1997-09-24</t>
  </si>
  <si>
    <t>1785162:eng</t>
  </si>
  <si>
    <t>640142</t>
  </si>
  <si>
    <t>991003089659702656</t>
  </si>
  <si>
    <t>2263469280002656</t>
  </si>
  <si>
    <t>32285003090627</t>
  </si>
  <si>
    <t>893704891</t>
  </si>
  <si>
    <t>RC455 .G23</t>
  </si>
  <si>
    <t>0                      RC 0455000G  23</t>
  </si>
  <si>
    <t>A sociology of mental illness / Bernard J. Gallagher.</t>
  </si>
  <si>
    <t>Gallagher, Bernard J., 1936-</t>
  </si>
  <si>
    <t>Englewood Cliffs, N.J. : Prentice-hall, c1980.</t>
  </si>
  <si>
    <t>2006-10-02</t>
  </si>
  <si>
    <t>8750139:eng</t>
  </si>
  <si>
    <t>5498142</t>
  </si>
  <si>
    <t>991004840969702656</t>
  </si>
  <si>
    <t>2263308020002656</t>
  </si>
  <si>
    <t>9780138209285</t>
  </si>
  <si>
    <t>32285001605798</t>
  </si>
  <si>
    <t>893883014</t>
  </si>
  <si>
    <t>RC455 .H295</t>
  </si>
  <si>
    <t>0                      RC 0455000H  295</t>
  </si>
  <si>
    <t>Psychopathy: theory and research [by] Robert D. Hare.</t>
  </si>
  <si>
    <t>Hare, Robert D., 1934-</t>
  </si>
  <si>
    <t>New York, Wiley [1970]</t>
  </si>
  <si>
    <t>Approaches to behavior pathology series</t>
  </si>
  <si>
    <t>1999-04-05</t>
  </si>
  <si>
    <t>3901575054:eng</t>
  </si>
  <si>
    <t>93872</t>
  </si>
  <si>
    <t>991000564589702656</t>
  </si>
  <si>
    <t>22131709800002656</t>
  </si>
  <si>
    <t>9780471351467</t>
  </si>
  <si>
    <t>32285003090650</t>
  </si>
  <si>
    <t>893231211</t>
  </si>
  <si>
    <t>RC455 .K5 1974</t>
  </si>
  <si>
    <t>0                      RC 0455000K  5           1974</t>
  </si>
  <si>
    <t>Magic, faith, and healing; studies in primitive psychiatry today. With a foreword by Jerome D. Frank.</t>
  </si>
  <si>
    <t>Kiev, Ari editor.</t>
  </si>
  <si>
    <t>New York, Free Press of Glencoe [1974, c1964]</t>
  </si>
  <si>
    <t>[1st Free Press paperback ed.]</t>
  </si>
  <si>
    <t>___</t>
  </si>
  <si>
    <t>2001-04-17</t>
  </si>
  <si>
    <t>1991-12-06</t>
  </si>
  <si>
    <t>836690437:eng</t>
  </si>
  <si>
    <t>1382114</t>
  </si>
  <si>
    <t>991003730779702656</t>
  </si>
  <si>
    <t>2261552840002656</t>
  </si>
  <si>
    <t>32285000837913</t>
  </si>
  <si>
    <t>893598914</t>
  </si>
  <si>
    <t>RC455 .M275</t>
  </si>
  <si>
    <t>0                      RC 0455000M  275</t>
  </si>
  <si>
    <t>The social dimensions of mental illness, alchoholism [sic] and drug dependence / [by] Don Martindale and Edith Martindale.</t>
  </si>
  <si>
    <t>Martindale, Don.</t>
  </si>
  <si>
    <t>Westport, Conn. : Greenwood Pub. Co., [1971]</t>
  </si>
  <si>
    <t>Contributions in sociology ; no. 9</t>
  </si>
  <si>
    <t>2004-11-21</t>
  </si>
  <si>
    <t>2286999844:eng</t>
  </si>
  <si>
    <t>262398</t>
  </si>
  <si>
    <t>991002056879702656</t>
  </si>
  <si>
    <t>2266875520002656</t>
  </si>
  <si>
    <t>9780837151755</t>
  </si>
  <si>
    <t>32285003658514</t>
  </si>
  <si>
    <t>893804178</t>
  </si>
  <si>
    <t>RC455 .P735 1993</t>
  </si>
  <si>
    <t>0                      RC 0455000P  735         1993</t>
  </si>
  <si>
    <t>The social organization of mental illness / Lindsay Prior.</t>
  </si>
  <si>
    <t>Prior, Lindsay, 1947-</t>
  </si>
  <si>
    <t>London ; Newbury Park : Sage Publications, 1993.</t>
  </si>
  <si>
    <t>2004-02-09</t>
  </si>
  <si>
    <t>1995-08-14</t>
  </si>
  <si>
    <t>31098166:eng</t>
  </si>
  <si>
    <t>28964935</t>
  </si>
  <si>
    <t>991002245809702656</t>
  </si>
  <si>
    <t>2255289460002656</t>
  </si>
  <si>
    <t>9780803984998</t>
  </si>
  <si>
    <t>32285002077369</t>
  </si>
  <si>
    <t>893262175</t>
  </si>
  <si>
    <t>RC455 .R47</t>
  </si>
  <si>
    <t>0                      RC 0455000R  47</t>
  </si>
  <si>
    <t>Research and practice in social skills training / edited by Alan S. Bellack and Michel Hersen.</t>
  </si>
  <si>
    <t>2006-09-05</t>
  </si>
  <si>
    <t>375341830:eng</t>
  </si>
  <si>
    <t>4857525</t>
  </si>
  <si>
    <t>991004735809702656</t>
  </si>
  <si>
    <t>2266691460002656</t>
  </si>
  <si>
    <t>9780306402333</t>
  </si>
  <si>
    <t>32285001605830</t>
  </si>
  <si>
    <t>893436681</t>
  </si>
  <si>
    <t>RC455 .S27</t>
  </si>
  <si>
    <t>0                      RC 0455000S  27</t>
  </si>
  <si>
    <t>Saints, scholars, and schizophrenics : mental illness in rural Ireland / by Nancy Scheper-Hughes.</t>
  </si>
  <si>
    <t>Scheper-Hughes, Nancy.</t>
  </si>
  <si>
    <t>Berkeley : University of California Press, c1979.</t>
  </si>
  <si>
    <t>2010-10-12</t>
  </si>
  <si>
    <t>1992-07-20</t>
  </si>
  <si>
    <t>796527590:eng</t>
  </si>
  <si>
    <t>4791057</t>
  </si>
  <si>
    <t>991004719109702656</t>
  </si>
  <si>
    <t>2272713460002656</t>
  </si>
  <si>
    <t>9780520034440</t>
  </si>
  <si>
    <t>32285001211696</t>
  </si>
  <si>
    <t>893782574</t>
  </si>
  <si>
    <t>RC455 .S64 v.5</t>
  </si>
  <si>
    <t>0                      RC 0455000S  64                                                      v.5</t>
  </si>
  <si>
    <t>Old age / edited by Lennart Levi.</t>
  </si>
  <si>
    <t>V. 5</t>
  </si>
  <si>
    <t>Oxford [Oxfordshire] ; New York : Oxford University Press, 1987.</t>
  </si>
  <si>
    <t>Society, stress, and disease ; v. 5</t>
  </si>
  <si>
    <t>1999-11-23</t>
  </si>
  <si>
    <t>54776452:eng</t>
  </si>
  <si>
    <t>13063021</t>
  </si>
  <si>
    <t>991001799339702656</t>
  </si>
  <si>
    <t>2257162480002656</t>
  </si>
  <si>
    <t>9780192644220</t>
  </si>
  <si>
    <t>32285001605855</t>
  </si>
  <si>
    <t>893709555</t>
  </si>
  <si>
    <t>RC455 .S8</t>
  </si>
  <si>
    <t>0                      RC 0455000S  8</t>
  </si>
  <si>
    <t>The third revolution; a study of psychiatry and religion.</t>
  </si>
  <si>
    <t>Stern, Karl.</t>
  </si>
  <si>
    <t>New York, Harcourt, Brace [1954]</t>
  </si>
  <si>
    <t>1954</t>
  </si>
  <si>
    <t>2009-07-08</t>
  </si>
  <si>
    <t>1410558:eng</t>
  </si>
  <si>
    <t>275477</t>
  </si>
  <si>
    <t>991002166319702656</t>
  </si>
  <si>
    <t>2263310030002656</t>
  </si>
  <si>
    <t>32285003090726</t>
  </si>
  <si>
    <t>893510381</t>
  </si>
  <si>
    <t>RC455.2.C4 C37 1995</t>
  </si>
  <si>
    <t>0                      RC 0455200C  4                  C  37          1995</t>
  </si>
  <si>
    <t>They say you're crazy : how the world's most powerful psychiatrists decide who's normal / Paula J. Caplan.</t>
  </si>
  <si>
    <t>Caplan, Paula J.</t>
  </si>
  <si>
    <t>Reading, Mass. : Addison-Wesley, c1995.</t>
  </si>
  <si>
    <t>1997-09-08</t>
  </si>
  <si>
    <t>1996-08-09</t>
  </si>
  <si>
    <t>2551705:eng</t>
  </si>
  <si>
    <t>31375134</t>
  </si>
  <si>
    <t>991002410279702656</t>
  </si>
  <si>
    <t>2256553790002656</t>
  </si>
  <si>
    <t>9780201407587</t>
  </si>
  <si>
    <t>32285002273299</t>
  </si>
  <si>
    <t>893622252</t>
  </si>
  <si>
    <t>RC455.2.C4 K57 1992</t>
  </si>
  <si>
    <t>0                      RC 0455200C  4                  K  57          1992</t>
  </si>
  <si>
    <t>The selling of DSM : the rhetoric of science in psychiatry / Stuart A. Kirk, Herb Kutchins.</t>
  </si>
  <si>
    <t>Kirk, Stuart A., 1945-</t>
  </si>
  <si>
    <t>New York : A. de Gruyter, c1992.</t>
  </si>
  <si>
    <t>Social problems and social issues</t>
  </si>
  <si>
    <t>2010-06-04</t>
  </si>
  <si>
    <t>196730583:eng</t>
  </si>
  <si>
    <t>25914018</t>
  </si>
  <si>
    <t>991002033749702656</t>
  </si>
  <si>
    <t>2272084600002656</t>
  </si>
  <si>
    <t>9780202304311</t>
  </si>
  <si>
    <t>32285001813467</t>
  </si>
  <si>
    <t>893621839</t>
  </si>
  <si>
    <t>RC455.2.C4 R465 2002</t>
  </si>
  <si>
    <t>0                      RC 0455200C  4                  R  465         2002</t>
  </si>
  <si>
    <t>Rethinking the DSM : a psychological perspective / edited by Larry E. Beutler and Mary L. Malik.</t>
  </si>
  <si>
    <t>Washington, DC : American Psychological Association, c2002.</t>
  </si>
  <si>
    <t>2004-06-09</t>
  </si>
  <si>
    <t>796334833:eng</t>
  </si>
  <si>
    <t>48871200</t>
  </si>
  <si>
    <t>991004265489702656</t>
  </si>
  <si>
    <t>2255777300002656</t>
  </si>
  <si>
    <t>9781557988416</t>
  </si>
  <si>
    <t>32285004908298</t>
  </si>
  <si>
    <t>893882269</t>
  </si>
  <si>
    <t>RC455.2.E8 C66</t>
  </si>
  <si>
    <t>0                      RC 0455200E  8                  C  66</t>
  </si>
  <si>
    <t>Professional and ethical issues in counseling and psychotherapy / Gerald Corey, Marianne Schneider Corey, Patrick Callanan.</t>
  </si>
  <si>
    <t>Corey, Gerald.</t>
  </si>
  <si>
    <t>Monterey, Calif. : Brooks/Cole Pub. Co., c1979.</t>
  </si>
  <si>
    <t>2007-11-21</t>
  </si>
  <si>
    <t>1990-02-21</t>
  </si>
  <si>
    <t>482716:eng</t>
  </si>
  <si>
    <t>4775885</t>
  </si>
  <si>
    <t>991004715649702656</t>
  </si>
  <si>
    <t>2255410660002656</t>
  </si>
  <si>
    <t>9780818503269</t>
  </si>
  <si>
    <t>32285000056597</t>
  </si>
  <si>
    <t>893594009</t>
  </si>
  <si>
    <t>RC455.2.E8 D94 1988</t>
  </si>
  <si>
    <t>0                      RC 0455200E  8                  D  94          1988</t>
  </si>
  <si>
    <t>Ethics and psychiatry : toward professional definition / Allen R. Dyer.</t>
  </si>
  <si>
    <t>Dyer, Allen R.</t>
  </si>
  <si>
    <t>Washington, DC : American Psychiatric Press, c1988.</t>
  </si>
  <si>
    <t>1996-12-02</t>
  </si>
  <si>
    <t>370707697:eng</t>
  </si>
  <si>
    <t>15518144</t>
  </si>
  <si>
    <t>991001031329702656</t>
  </si>
  <si>
    <t>2264853970002656</t>
  </si>
  <si>
    <t>9780880482257</t>
  </si>
  <si>
    <t>32285000191493</t>
  </si>
  <si>
    <t>893891248</t>
  </si>
  <si>
    <t>RC455.2.E8 E82 1985</t>
  </si>
  <si>
    <t>0                      RC 0455200E  8                  E  82          1985</t>
  </si>
  <si>
    <t>Ethical issues in clinical psychology / edited by Richard E. Jensen.</t>
  </si>
  <si>
    <t>Lanham, MD : University Press of America, c1985.</t>
  </si>
  <si>
    <t>1990-01-02</t>
  </si>
  <si>
    <t>5028566:eng</t>
  </si>
  <si>
    <t>12370834</t>
  </si>
  <si>
    <t>991000678149702656</t>
  </si>
  <si>
    <t>2261445350002656</t>
  </si>
  <si>
    <t>9780819149107</t>
  </si>
  <si>
    <t>32285000019892</t>
  </si>
  <si>
    <t>893802988</t>
  </si>
  <si>
    <t>RC455.2.E8 E83</t>
  </si>
  <si>
    <t>0                      RC 0455200E  8                  E  83</t>
  </si>
  <si>
    <t>Ethical issues in sex therapy and research / Reproductive Biology Research Foundation conference ; edited by William H. Masters, Virginia E. Johnson, Robert C. Kolodny.</t>
  </si>
  <si>
    <t>Boston : Little, Brown, c1977-c1980.</t>
  </si>
  <si>
    <t>1994-09-29</t>
  </si>
  <si>
    <t>1993-03-02</t>
  </si>
  <si>
    <t>346904793:eng</t>
  </si>
  <si>
    <t>3313473</t>
  </si>
  <si>
    <t>991001766029702656</t>
  </si>
  <si>
    <t>2272513520002656</t>
  </si>
  <si>
    <t>9780316549837</t>
  </si>
  <si>
    <t>32285001541787</t>
  </si>
  <si>
    <t>893420587</t>
  </si>
  <si>
    <t>RC455.2.E8 E834 1983</t>
  </si>
  <si>
    <t>0                      RC 0455200E  8                  E  834         1983</t>
  </si>
  <si>
    <t>Ethical questions in brain and behavior : problems and opportunities / edited by Donald W. Pfaff.</t>
  </si>
  <si>
    <t>New York : Springer-Verlag, c1983.</t>
  </si>
  <si>
    <t>2004-05-04</t>
  </si>
  <si>
    <t>896290763:eng</t>
  </si>
  <si>
    <t>9762433</t>
  </si>
  <si>
    <t>991000254549702656</t>
  </si>
  <si>
    <t>2260667810002656</t>
  </si>
  <si>
    <t>9780387908700</t>
  </si>
  <si>
    <t>32285001414837</t>
  </si>
  <si>
    <t>893327170</t>
  </si>
  <si>
    <t>RC455.2.E8 E838 1986</t>
  </si>
  <si>
    <t>0                      RC 0455200E  8                  E  838         1986</t>
  </si>
  <si>
    <t>Ethics in mental health practice / edited by David K. Kentsmith, Susan A. Salladay, Pamela A. Miya.</t>
  </si>
  <si>
    <t>Orlando : Grune &amp; Stratton, c1986.</t>
  </si>
  <si>
    <t>2006-11-01</t>
  </si>
  <si>
    <t>1990-06-19</t>
  </si>
  <si>
    <t>356000668:eng</t>
  </si>
  <si>
    <t>12558600</t>
  </si>
  <si>
    <t>991000707939702656</t>
  </si>
  <si>
    <t>2257027730002656</t>
  </si>
  <si>
    <t>9780808917380</t>
  </si>
  <si>
    <t>32285000199702</t>
  </si>
  <si>
    <t>893225228</t>
  </si>
  <si>
    <t>RC455.2.E8 F56</t>
  </si>
  <si>
    <t>0                      RC 0455200E  8                  F  56</t>
  </si>
  <si>
    <t>Therapy and ethics : the courtship of law and psychology / Norman J. Finkel.</t>
  </si>
  <si>
    <t>Finkel, Norman J.</t>
  </si>
  <si>
    <t>Current issues in behavioral psychology</t>
  </si>
  <si>
    <t>2008-12-07</t>
  </si>
  <si>
    <t>1993-03-22</t>
  </si>
  <si>
    <t>375547696:eng</t>
  </si>
  <si>
    <t>5750222</t>
  </si>
  <si>
    <t>991004869149702656</t>
  </si>
  <si>
    <t>2270724490002656</t>
  </si>
  <si>
    <t>9780808912224</t>
  </si>
  <si>
    <t>32285001605905</t>
  </si>
  <si>
    <t>893446432</t>
  </si>
  <si>
    <t>RC455.2.E8 L4 1984</t>
  </si>
  <si>
    <t>0                      RC 0455200E  8                  L  4           1984</t>
  </si>
  <si>
    <t>Mental health and human conscience : the true and the false self / by E.K. Ledermann.</t>
  </si>
  <si>
    <t>Ledermann, E. K. (Erich Kurt), 1908-</t>
  </si>
  <si>
    <t>Amersham, England : Avebury, 1984.</t>
  </si>
  <si>
    <t>4618153:eng</t>
  </si>
  <si>
    <t>11932033</t>
  </si>
  <si>
    <t>991000615449702656</t>
  </si>
  <si>
    <t>2268112560002656</t>
  </si>
  <si>
    <t>9780861270071</t>
  </si>
  <si>
    <t>32285001605913</t>
  </si>
  <si>
    <t>893339722</t>
  </si>
  <si>
    <t>RC455.2.E8 P8 1982</t>
  </si>
  <si>
    <t>0                      RC 0455200E  8                  P  8           1982</t>
  </si>
  <si>
    <t>Psychiatry and ethics : insanity, rational autonomy, and mental health care / edited by Rem B. Edwards.</t>
  </si>
  <si>
    <t>Buffalo, N.Y. : Prometheus Books, 1982.</t>
  </si>
  <si>
    <t>Health care and medical ethics series</t>
  </si>
  <si>
    <t>2004-02-17</t>
  </si>
  <si>
    <t>43690065:eng</t>
  </si>
  <si>
    <t>9139233</t>
  </si>
  <si>
    <t>991001791459702656</t>
  </si>
  <si>
    <t>2264954370002656</t>
  </si>
  <si>
    <t>9780879751784</t>
  </si>
  <si>
    <t>32285001063717</t>
  </si>
  <si>
    <t>893420629</t>
  </si>
  <si>
    <t>RC455.2.F35 C35 1998</t>
  </si>
  <si>
    <t>0                      RC 0455200F  35                 C  35          1998</t>
  </si>
  <si>
    <t>Smoke and mirrors : the devastating effect of false sexual abuse claims / Terence W. Campbell.</t>
  </si>
  <si>
    <t>Campbell, Terence W.</t>
  </si>
  <si>
    <t>New York : Insight Books, c1998.</t>
  </si>
  <si>
    <t>2009-05-27</t>
  </si>
  <si>
    <t>372426626:eng</t>
  </si>
  <si>
    <t>39313449</t>
  </si>
  <si>
    <t>991002950389702656</t>
  </si>
  <si>
    <t>2269314440002656</t>
  </si>
  <si>
    <t>9780306459849</t>
  </si>
  <si>
    <t>32285003494241</t>
  </si>
  <si>
    <t>893899443</t>
  </si>
  <si>
    <t>RC455.2.F35 S33 2009</t>
  </si>
  <si>
    <t>0                      RC 0455200F  35                 S  33          2009</t>
  </si>
  <si>
    <t>Remembering our childhood : how memory betrays us / by Karl Sabbagh.</t>
  </si>
  <si>
    <t>Sabbagh, Karl.</t>
  </si>
  <si>
    <t>Oxford ; New York : Oxford University Press, 2009.</t>
  </si>
  <si>
    <t>2010-04-14</t>
  </si>
  <si>
    <t>2010-03-24</t>
  </si>
  <si>
    <t>800829834:eng</t>
  </si>
  <si>
    <t>260204552</t>
  </si>
  <si>
    <t>991005375859702656</t>
  </si>
  <si>
    <t>2267867730002656</t>
  </si>
  <si>
    <t>9780199218400</t>
  </si>
  <si>
    <t>32285005579650</t>
  </si>
  <si>
    <t>893613600</t>
  </si>
  <si>
    <t>RC455.2.F35 S67 1996</t>
  </si>
  <si>
    <t>0                      RC 0455200F  35                 S  67          1996</t>
  </si>
  <si>
    <t>Multiple identities &amp; false memories : a sociocognitive perspective / Nicholas P. Spanos.</t>
  </si>
  <si>
    <t>Spanos, Nicholas P.</t>
  </si>
  <si>
    <t>Washington, DC : American Psychological Association, c1996.</t>
  </si>
  <si>
    <t>2006-10-09</t>
  </si>
  <si>
    <t>1997-01-03</t>
  </si>
  <si>
    <t>40586904:eng</t>
  </si>
  <si>
    <t>35084823</t>
  </si>
  <si>
    <t>991002685039702656</t>
  </si>
  <si>
    <t>2255259760002656</t>
  </si>
  <si>
    <t>9781557983404</t>
  </si>
  <si>
    <t>32285002405107</t>
  </si>
  <si>
    <t>893440384</t>
  </si>
  <si>
    <t>RC455.2.F35 T78 1998</t>
  </si>
  <si>
    <t>0                      RC 0455200F  35                 T  78          1998</t>
  </si>
  <si>
    <t>Truth in memory / edited by Steven Jay Lynn, Kevin M. McConkey.</t>
  </si>
  <si>
    <t>2007-11-30</t>
  </si>
  <si>
    <t>350463887:eng</t>
  </si>
  <si>
    <t>38884056</t>
  </si>
  <si>
    <t>991002925419702656</t>
  </si>
  <si>
    <t>2259988520002656</t>
  </si>
  <si>
    <t>9781572303454</t>
  </si>
  <si>
    <t>32285003517231</t>
  </si>
  <si>
    <t>893348105</t>
  </si>
  <si>
    <t>RC455.2.F35 V36 1997</t>
  </si>
  <si>
    <t>0                      RC 0455200F  35                 V  36          1997</t>
  </si>
  <si>
    <t>Lost daughters : recovered memory therapy and the people it hurts / Reinder Van Til ; [foreword by Martin E. Marty].</t>
  </si>
  <si>
    <t>Van Til, Reinder.</t>
  </si>
  <si>
    <t>Grand Rapids, Mich. : William B. Eerdmans, c1997.</t>
  </si>
  <si>
    <t>2004-04-20</t>
  </si>
  <si>
    <t>1998-08-05</t>
  </si>
  <si>
    <t>611631:eng</t>
  </si>
  <si>
    <t>36915675</t>
  </si>
  <si>
    <t>991002810119702656</t>
  </si>
  <si>
    <t>2259415570002656</t>
  </si>
  <si>
    <t>9780802842725</t>
  </si>
  <si>
    <t>32285003449369</t>
  </si>
  <si>
    <t>893504833</t>
  </si>
  <si>
    <t>RC455.2.F67 C53 1990</t>
  </si>
  <si>
    <t>0                      RC 0455200F  67                 C  53          1990</t>
  </si>
  <si>
    <t>On being mad or merely angry : John W. Hinckley, Jr., and other dangerous people / James W. Clarke.</t>
  </si>
  <si>
    <t>Clarke, James W., 1937-</t>
  </si>
  <si>
    <t>Princeton, N.J. : Princeton University Press, c1990.</t>
  </si>
  <si>
    <t>1995-05-02</t>
  </si>
  <si>
    <t>312732794:eng</t>
  </si>
  <si>
    <t>20318550</t>
  </si>
  <si>
    <t>991001562739702656</t>
  </si>
  <si>
    <t>2257853040002656</t>
  </si>
  <si>
    <t>9780691078526</t>
  </si>
  <si>
    <t>32285000593581</t>
  </si>
  <si>
    <t>893232068</t>
  </si>
  <si>
    <t>RC455.2.M38 W543 2005</t>
  </si>
  <si>
    <t>0                      RC 0455200M  38                 W  543         2005</t>
  </si>
  <si>
    <t>The psychotherapy documentation primer / Donald E. Wiger.</t>
  </si>
  <si>
    <t>Wiger, Donald E., 1953-</t>
  </si>
  <si>
    <t>Hoboken, N.J. : John Wiley &amp; Sons, c2005.</t>
  </si>
  <si>
    <t>Practice planners</t>
  </si>
  <si>
    <t>2006-12-11</t>
  </si>
  <si>
    <t>2006-02-24</t>
  </si>
  <si>
    <t>1020456:eng</t>
  </si>
  <si>
    <t>57754403</t>
  </si>
  <si>
    <t>991004750919702656</t>
  </si>
  <si>
    <t>2267109190002656</t>
  </si>
  <si>
    <t>9780471730163</t>
  </si>
  <si>
    <t>32285005163380</t>
  </si>
  <si>
    <t>893810674</t>
  </si>
  <si>
    <t>RC455.2.P85 J56 1987</t>
  </si>
  <si>
    <t>0                      RC 0455200P  85                 J  56          1987</t>
  </si>
  <si>
    <t>Changing faces of madness : early American attitudes and treatment of the insane / Mary Ann Jimenez.</t>
  </si>
  <si>
    <t>Jimenez, Mary Ann.</t>
  </si>
  <si>
    <t>Hanover, NH : Published for Brandeis University Press by University Press of New England, 1987.</t>
  </si>
  <si>
    <t>2004-10-14</t>
  </si>
  <si>
    <t>2852169:eng</t>
  </si>
  <si>
    <t>14098578</t>
  </si>
  <si>
    <t>991000906299702656</t>
  </si>
  <si>
    <t>2264908020002656</t>
  </si>
  <si>
    <t>9780874513752</t>
  </si>
  <si>
    <t>32285000113521</t>
  </si>
  <si>
    <t>893602155</t>
  </si>
  <si>
    <t>RC455.2.P85 O5 2005</t>
  </si>
  <si>
    <t>0                      RC 0455200P  85                 O  5           2005</t>
  </si>
  <si>
    <t>On the stigma of mental illness : practical strategies for research and social change / edited by Patrick W. Corrigan.</t>
  </si>
  <si>
    <t>Washington, DC : American Psychological Association, c2005.</t>
  </si>
  <si>
    <t>2009-10-12</t>
  </si>
  <si>
    <t>2005-04-19</t>
  </si>
  <si>
    <t>796384807:eng</t>
  </si>
  <si>
    <t>55729724</t>
  </si>
  <si>
    <t>991004510799702656</t>
  </si>
  <si>
    <t>2271936740002656</t>
  </si>
  <si>
    <t>9781591471899</t>
  </si>
  <si>
    <t>32285005032023</t>
  </si>
  <si>
    <t>893801033</t>
  </si>
  <si>
    <t>RC455.4.A77 M33 1989</t>
  </si>
  <si>
    <t>0                      RC 0455400A  77                 M  33          1989</t>
  </si>
  <si>
    <t>The discovery of the art of the insane / John M. MacGregor.</t>
  </si>
  <si>
    <t>MacGregor, John M. (John Monroe)</t>
  </si>
  <si>
    <t>Princeton, N.J. : Princeton University Press, c1989.</t>
  </si>
  <si>
    <t>2007-11-02</t>
  </si>
  <si>
    <t>2006-11-20</t>
  </si>
  <si>
    <t>13304384:eng</t>
  </si>
  <si>
    <t>18779232</t>
  </si>
  <si>
    <t>991004986749702656</t>
  </si>
  <si>
    <t>2256559850002656</t>
  </si>
  <si>
    <t>9780691000367</t>
  </si>
  <si>
    <t>32285005260483</t>
  </si>
  <si>
    <t>893870327</t>
  </si>
  <si>
    <t>RC455.4.B5 A53 1984</t>
  </si>
  <si>
    <t>0                      RC 0455400B  5                  A  53          1984</t>
  </si>
  <si>
    <t>The broken brain : the biological revolution in psychiatry / by Nancy C. Andreasen.</t>
  </si>
  <si>
    <t>Andreasen, Nancy C.</t>
  </si>
  <si>
    <t>New York : Harper &amp; Row, c1984.</t>
  </si>
  <si>
    <t>2004-02-28</t>
  </si>
  <si>
    <t>1991-11-08</t>
  </si>
  <si>
    <t>796527498:eng</t>
  </si>
  <si>
    <t>10890535</t>
  </si>
  <si>
    <t>991000451549702656</t>
  </si>
  <si>
    <t>2259782410002656</t>
  </si>
  <si>
    <t>9780060152819</t>
  </si>
  <si>
    <t>32285000821156</t>
  </si>
  <si>
    <t>893345665</t>
  </si>
  <si>
    <t>RC455.4.B5 T38 2000</t>
  </si>
  <si>
    <t>0                      RC 0455400B  5                  T  38          2000</t>
  </si>
  <si>
    <t>Distinguishing psychological from organic disorders : screening for psychological masquerade / Robert L. Taylor.</t>
  </si>
  <si>
    <t>Taylor, Robert L., 1942-</t>
  </si>
  <si>
    <t>New York : Springer Pub. Co., c2000.</t>
  </si>
  <si>
    <t>2000-11-16</t>
  </si>
  <si>
    <t>966364:eng</t>
  </si>
  <si>
    <t>42969482</t>
  </si>
  <si>
    <t>991003284339702656</t>
  </si>
  <si>
    <t>2266581510002656</t>
  </si>
  <si>
    <t>9780826113290</t>
  </si>
  <si>
    <t>32285004266598</t>
  </si>
  <si>
    <t>893592371</t>
  </si>
  <si>
    <t>RC455.4.C6 K8</t>
  </si>
  <si>
    <t>0                      RC 0455400C  6                  K  8</t>
  </si>
  <si>
    <t>Psychology experiments on animals : [a critique of animal modes of human psychopathology] / by Brandon Kuker-Reines for New England Anti-Vivisection Society.</t>
  </si>
  <si>
    <t>Kuker-Reines, Brandon.</t>
  </si>
  <si>
    <t>Boston, MA : The Society, c1982.</t>
  </si>
  <si>
    <t>1996-11-03</t>
  </si>
  <si>
    <t>4524165:eng</t>
  </si>
  <si>
    <t>11972314</t>
  </si>
  <si>
    <t>991000128849702656</t>
  </si>
  <si>
    <t>2263751480002656</t>
  </si>
  <si>
    <t>32285001605954</t>
  </si>
  <si>
    <t>893626215</t>
  </si>
  <si>
    <t>RC455.4.E46 J64 1990</t>
  </si>
  <si>
    <t>0                      RC 0455400E  46                 J  64          1990</t>
  </si>
  <si>
    <t>The deadly emotions : the role of anger, hostility, and aggression in health and emotional well-being / Ernest H. Johnson.</t>
  </si>
  <si>
    <t>Johnson, Ernest H.</t>
  </si>
  <si>
    <t>New York : Praeger, 1990.</t>
  </si>
  <si>
    <t>2003-04-15</t>
  </si>
  <si>
    <t>1992-02-27</t>
  </si>
  <si>
    <t>3194356:eng</t>
  </si>
  <si>
    <t>21374777</t>
  </si>
  <si>
    <t>991001683009702656</t>
  </si>
  <si>
    <t>2263057660002656</t>
  </si>
  <si>
    <t>9780275935900</t>
  </si>
  <si>
    <t>32285000936731</t>
  </si>
  <si>
    <t>893322147</t>
  </si>
  <si>
    <t>RC455.4.E8 .B85 2008</t>
  </si>
  <si>
    <t>0                      RC 0455400E  8                  B  85          2008</t>
  </si>
  <si>
    <t>Building multicultural competency : development, training, and practice / edited by Joseph L. White and Sheila J. Henderson.</t>
  </si>
  <si>
    <t>Lanham, Md. : Rowman &amp; Littlefield Publishers, c2008.</t>
  </si>
  <si>
    <t>2010-12-06</t>
  </si>
  <si>
    <t>2009-11-19</t>
  </si>
  <si>
    <t>799411920:eng</t>
  </si>
  <si>
    <t>195766968</t>
  </si>
  <si>
    <t>991005341499702656</t>
  </si>
  <si>
    <t>2263015900002656</t>
  </si>
  <si>
    <t>9780742563384</t>
  </si>
  <si>
    <t>32285005551766</t>
  </si>
  <si>
    <t>893601009</t>
  </si>
  <si>
    <t>RC455.4.E8 C77 1986</t>
  </si>
  <si>
    <t>0                      RC 0455400E  8                  C  77          1986</t>
  </si>
  <si>
    <t>Cross-cultural training for mental health professionals / edited by Harriet P. Lefley and Paul B. Pedersen.</t>
  </si>
  <si>
    <t>Springfield, Ill., U.S.A. : C. Thomas, c1986.</t>
  </si>
  <si>
    <t>2001-02-16</t>
  </si>
  <si>
    <t>1995-08-31</t>
  </si>
  <si>
    <t>439709273:eng</t>
  </si>
  <si>
    <t>13497783</t>
  </si>
  <si>
    <t>991000836639702656</t>
  </si>
  <si>
    <t>2261987480002656</t>
  </si>
  <si>
    <t>9780398052577</t>
  </si>
  <si>
    <t>32285002091683</t>
  </si>
  <si>
    <t>893243640</t>
  </si>
  <si>
    <t>RC455.4.E8 C8 1982</t>
  </si>
  <si>
    <t>0                      RC 0455400E  8                  C  8           1982</t>
  </si>
  <si>
    <t>Cultural conceptions of mental health and therapy / edited by Anthony J. Marsella and Geoffrey M. White.</t>
  </si>
  <si>
    <t>Dordrecht ; Boston : D. Reidel ; Hingham, MA : Sold and distributed in the U.S.A and Canada by Kluwer Boston, c1982.</t>
  </si>
  <si>
    <t>Culture, illness, and healing ; v. 4</t>
  </si>
  <si>
    <t>2005-11-27</t>
  </si>
  <si>
    <t>366079660:eng</t>
  </si>
  <si>
    <t>8281884</t>
  </si>
  <si>
    <t>991005225619702656</t>
  </si>
  <si>
    <t>2266772660002656</t>
  </si>
  <si>
    <t>9789027713629</t>
  </si>
  <si>
    <t>32285001605970</t>
  </si>
  <si>
    <t>893789649</t>
  </si>
  <si>
    <t>RC455.4.E8 C87</t>
  </si>
  <si>
    <t>0                      RC 0455400E  8                  C  87</t>
  </si>
  <si>
    <t>Current perspectives in cultural psychiatry / edited by Edward F. Foulks ... [et al.].</t>
  </si>
  <si>
    <t>New York : SP Books Division of Spectrum Publications : distributed by Halsted Press, c1977.</t>
  </si>
  <si>
    <t>8086443:eng</t>
  </si>
  <si>
    <t>3119632</t>
  </si>
  <si>
    <t>991004350529702656</t>
  </si>
  <si>
    <t>2269092130002656</t>
  </si>
  <si>
    <t>9780893350277</t>
  </si>
  <si>
    <t>32285001605988</t>
  </si>
  <si>
    <t>893500448</t>
  </si>
  <si>
    <t>RC455.4.E8 H36 1995</t>
  </si>
  <si>
    <t>0                      RC 0455400E  8                  H  36          1995</t>
  </si>
  <si>
    <t>Handbook of culture and mental illness : an international perspective / edited by Ihsan Al-Issa.</t>
  </si>
  <si>
    <t>Madison, Conn. : International Universities Press, c1995.</t>
  </si>
  <si>
    <t>1998-03-21</t>
  </si>
  <si>
    <t>1996-09-12</t>
  </si>
  <si>
    <t>890207885:eng</t>
  </si>
  <si>
    <t>31606098</t>
  </si>
  <si>
    <t>991002423759702656</t>
  </si>
  <si>
    <t>2262745650002656</t>
  </si>
  <si>
    <t>9780823622887</t>
  </si>
  <si>
    <t>32285002317542</t>
  </si>
  <si>
    <t>893529965</t>
  </si>
  <si>
    <t>RC455.4.E8 L58 2000</t>
  </si>
  <si>
    <t>0                      RC 0455400E  8                  L  58          2000</t>
  </si>
  <si>
    <t>Cultural psychiatry and medical anthropology : an introduction and reader / edited by Roland Littlewood and Simon Dein.</t>
  </si>
  <si>
    <t>Littlewood, Roland.</t>
  </si>
  <si>
    <t>London ; New Brunswick, NJ : Athlone Press, 2000.</t>
  </si>
  <si>
    <t>2004-11-02</t>
  </si>
  <si>
    <t>891342339:eng</t>
  </si>
  <si>
    <t>42309762</t>
  </si>
  <si>
    <t>991004397699702656</t>
  </si>
  <si>
    <t>2254880330002656</t>
  </si>
  <si>
    <t>9780485115277</t>
  </si>
  <si>
    <t>32285005008254</t>
  </si>
  <si>
    <t>893325336</t>
  </si>
  <si>
    <t>RC455.4.E8 M55 2002</t>
  </si>
  <si>
    <t>0                      RC 0455400E  8                  M  55          2002</t>
  </si>
  <si>
    <t>Multiculturalism and the therapeutic process / Judith Mishne.</t>
  </si>
  <si>
    <t>Mishne, Judith Marks.</t>
  </si>
  <si>
    <t>New York : The Guilford Press, c2002.</t>
  </si>
  <si>
    <t>2003-08-28</t>
  </si>
  <si>
    <t>1053061:eng</t>
  </si>
  <si>
    <t>49558888</t>
  </si>
  <si>
    <t>991004101739702656</t>
  </si>
  <si>
    <t>2262527790002656</t>
  </si>
  <si>
    <t>9781572307759</t>
  </si>
  <si>
    <t>32285004780440</t>
  </si>
  <si>
    <t>893693517</t>
  </si>
  <si>
    <t>RC455.4.E8 S77 2005</t>
  </si>
  <si>
    <t>0                      RC 0455400E  8                  S  77          2005</t>
  </si>
  <si>
    <t>Strategies for building multicultural competence in mental health and educational settings / edited by Madonna G. Constantine and Derald Wing Sue.</t>
  </si>
  <si>
    <t>Hoboken, N.J. : John Wiley, c2005.</t>
  </si>
  <si>
    <t>2008-06-04</t>
  </si>
  <si>
    <t>2005-03-30</t>
  </si>
  <si>
    <t>1007178247:eng</t>
  </si>
  <si>
    <t>56840821</t>
  </si>
  <si>
    <t>991004517889702656</t>
  </si>
  <si>
    <t>2256186170002656</t>
  </si>
  <si>
    <t>9780471667322</t>
  </si>
  <si>
    <t>32285005045892</t>
  </si>
  <si>
    <t>893794952</t>
  </si>
  <si>
    <t>RC455.4.F3 F36 1987</t>
  </si>
  <si>
    <t>0                      RC 0455400F  3                  F  36          1987</t>
  </si>
  <si>
    <t>Families of the mentally ill : coping and adaptation / edited by Agnes B. Hatfield, Harriet P. Lefley.</t>
  </si>
  <si>
    <t>New York, N.Y. : Guilford Press, c1987.</t>
  </si>
  <si>
    <t>1999-11-03</t>
  </si>
  <si>
    <t>836629181:eng</t>
  </si>
  <si>
    <t>14214572</t>
  </si>
  <si>
    <t>991000923019702656</t>
  </si>
  <si>
    <t>2267455570002656</t>
  </si>
  <si>
    <t>9780898626834</t>
  </si>
  <si>
    <t>32285002098357</t>
  </si>
  <si>
    <t>893878463</t>
  </si>
  <si>
    <t>RC455.4.F3 H354 1998</t>
  </si>
  <si>
    <t>0                      RC 0455400F  3                  H  354         1998</t>
  </si>
  <si>
    <t>Family psychopathology : the relational roots of dysfunctional behavior / edited by Luciano L'Abate.</t>
  </si>
  <si>
    <t>New York, NY : The Guilford Press, c1998.</t>
  </si>
  <si>
    <t>2006-03-13</t>
  </si>
  <si>
    <t>1999-11-09</t>
  </si>
  <si>
    <t>865304094:eng</t>
  </si>
  <si>
    <t>38550851</t>
  </si>
  <si>
    <t>991002915699702656</t>
  </si>
  <si>
    <t>2268309640002656</t>
  </si>
  <si>
    <t>9781572303690</t>
  </si>
  <si>
    <t>32285003619649</t>
  </si>
  <si>
    <t>893780386</t>
  </si>
  <si>
    <t>RC455.4.F3 H356 1996</t>
  </si>
  <si>
    <t>0                      RC 0455400F  3                  H  356         1996</t>
  </si>
  <si>
    <t>Handbook of relational diagnosis and dysfunctional family patterns / edited by Florence W. Kaslow.</t>
  </si>
  <si>
    <t>New York : John Wiley, c1996.</t>
  </si>
  <si>
    <t>Wiley series in couples and family dynamics and treatment</t>
  </si>
  <si>
    <t>2009-03-05</t>
  </si>
  <si>
    <t>1996-09-27</t>
  </si>
  <si>
    <t>36317838:eng</t>
  </si>
  <si>
    <t>32703768</t>
  </si>
  <si>
    <t>991002515609702656</t>
  </si>
  <si>
    <t>2271738970002656</t>
  </si>
  <si>
    <t>9780471080787</t>
  </si>
  <si>
    <t>32285002321023</t>
  </si>
  <si>
    <t>893421470</t>
  </si>
  <si>
    <t>RC455.4.F3 L35 1992</t>
  </si>
  <si>
    <t>0                      RC 0455400F  3                  L  35          1992</t>
  </si>
  <si>
    <t>Transcending turmoil : survivors of dysfunctional families / Donna F. LaMar.</t>
  </si>
  <si>
    <t>LaMar, Donna F.</t>
  </si>
  <si>
    <t>New York : Plenum Press, c1992.</t>
  </si>
  <si>
    <t>1999-10-23</t>
  </si>
  <si>
    <t>27983480:eng</t>
  </si>
  <si>
    <t>25164069</t>
  </si>
  <si>
    <t>991001982259702656</t>
  </si>
  <si>
    <t>2263767580002656</t>
  </si>
  <si>
    <t>9780306441271</t>
  </si>
  <si>
    <t>32285001318822</t>
  </si>
  <si>
    <t>893715914</t>
  </si>
  <si>
    <t>RC455.4.F3 M4</t>
  </si>
  <si>
    <t>0                      RC 0455400F  3                  M  4</t>
  </si>
  <si>
    <t>Mentally ill mothers and their children / Henry Grunebaum ... [et al.].</t>
  </si>
  <si>
    <t>Chicago : University of Chicago Press, 1975.</t>
  </si>
  <si>
    <t>54035705:eng</t>
  </si>
  <si>
    <t>1248715</t>
  </si>
  <si>
    <t>991003646729702656</t>
  </si>
  <si>
    <t>2264059940002656</t>
  </si>
  <si>
    <t>9780226310213</t>
  </si>
  <si>
    <t>32285003090767</t>
  </si>
  <si>
    <t>893518719</t>
  </si>
  <si>
    <t>RC455.4.F3 P47</t>
  </si>
  <si>
    <t>0                      RC 0455400F  3                  P  47</t>
  </si>
  <si>
    <t>The family roots of adolescent delinquency / Joseph F. Perez.</t>
  </si>
  <si>
    <t>Perez, Joseph F. (Joseph Francis)</t>
  </si>
  <si>
    <t>New York : Van Nostrand Reinhold, c1978.</t>
  </si>
  <si>
    <t>2002-09-26</t>
  </si>
  <si>
    <t>14679947:eng</t>
  </si>
  <si>
    <t>4318353</t>
  </si>
  <si>
    <t>991004623529702656</t>
  </si>
  <si>
    <t>2269902080002656</t>
  </si>
  <si>
    <t>9780442265359</t>
  </si>
  <si>
    <t>32285001606002</t>
  </si>
  <si>
    <t>893411763</t>
  </si>
  <si>
    <t>RC455.4.F3 U53 1987</t>
  </si>
  <si>
    <t>0                      RC 0455400F  3                  U  53          1987</t>
  </si>
  <si>
    <t>Understanding major mental disorder : the contribution of family interaction research / edited by Kurt Hahlweg, Michael J. Goldstein.</t>
  </si>
  <si>
    <t>New York : Family Process Press, 1987.</t>
  </si>
  <si>
    <t>1995-03-14</t>
  </si>
  <si>
    <t>1992-07-02</t>
  </si>
  <si>
    <t>836714712:eng</t>
  </si>
  <si>
    <t>15428441</t>
  </si>
  <si>
    <t>991001024219702656</t>
  </si>
  <si>
    <t>2261880530002656</t>
  </si>
  <si>
    <t>9780961551957</t>
  </si>
  <si>
    <t>32285001147734</t>
  </si>
  <si>
    <t>893503030</t>
  </si>
  <si>
    <t>RC455.4.F3 W62 1993</t>
  </si>
  <si>
    <t>0                      RC 0455400F  3                  W  62          1993</t>
  </si>
  <si>
    <t>The resilient self : how survivors of troubled families rise above adversity / Steven J. Wolin and Sybil Wolin.</t>
  </si>
  <si>
    <t>Wolin, Steven J.</t>
  </si>
  <si>
    <t>New York : Villard Books, 1993.</t>
  </si>
  <si>
    <t>2002-03-08</t>
  </si>
  <si>
    <t>1994-11-07</t>
  </si>
  <si>
    <t>889666824:eng</t>
  </si>
  <si>
    <t>26722216</t>
  </si>
  <si>
    <t>991002083109702656</t>
  </si>
  <si>
    <t>2270137820002656</t>
  </si>
  <si>
    <t>9780394583570</t>
  </si>
  <si>
    <t>32285001956498</t>
  </si>
  <si>
    <t>893716028</t>
  </si>
  <si>
    <t>RC455.4.L53 L52 1992</t>
  </si>
  <si>
    <t>0                      RC 0455400L  53                 L  52          1992</t>
  </si>
  <si>
    <t>Life crises and experiences of loss in adulthood / edited by Leo Montada, Sigrun-Heide Filipp, Melvin J. Lerner.</t>
  </si>
  <si>
    <t>Hillsdale, N.J. : L. Erlbaum Associates, 1992.</t>
  </si>
  <si>
    <t>2003-06-14</t>
  </si>
  <si>
    <t>1993-09-30</t>
  </si>
  <si>
    <t>351229422:eng</t>
  </si>
  <si>
    <t>24670941</t>
  </si>
  <si>
    <t>991001951889702656</t>
  </si>
  <si>
    <t>2267377900002656</t>
  </si>
  <si>
    <t>9780805810011</t>
  </si>
  <si>
    <t>32285001759991</t>
  </si>
  <si>
    <t>893523013</t>
  </si>
  <si>
    <t>RC455.4.L53 L54 1986</t>
  </si>
  <si>
    <t>0                      RC 0455400L  53                 L  54          1986</t>
  </si>
  <si>
    <t>Life events and psychiatric disorders : controversial issues / edited by Heinz Katschnig.</t>
  </si>
  <si>
    <t>Cambridge ; New York : Cambridge Univrsity Press, 1986.</t>
  </si>
  <si>
    <t>2001-10-23</t>
  </si>
  <si>
    <t>836680856:eng</t>
  </si>
  <si>
    <t>12421239</t>
  </si>
  <si>
    <t>991000686629702656</t>
  </si>
  <si>
    <t>2254986310002656</t>
  </si>
  <si>
    <t>9780521255967</t>
  </si>
  <si>
    <t>32285001606010</t>
  </si>
  <si>
    <t>893534273</t>
  </si>
  <si>
    <t>RC455.4.L67 G36 2009</t>
  </si>
  <si>
    <t>0                      RC 0455400L  67                 G  36          2009</t>
  </si>
  <si>
    <t>Ethical practice in grief counseling / Louis A. Gamino, R. Hal Ritter, Jr.</t>
  </si>
  <si>
    <t>Gamino, Louis A., 1953-</t>
  </si>
  <si>
    <t>New York : Springer Pub., c2009.</t>
  </si>
  <si>
    <t>2009-06-11</t>
  </si>
  <si>
    <t>149530948:eng</t>
  </si>
  <si>
    <t>255903305</t>
  </si>
  <si>
    <t>991005321839702656</t>
  </si>
  <si>
    <t>2263915740002656</t>
  </si>
  <si>
    <t>9780826100832</t>
  </si>
  <si>
    <t>32285005534069</t>
  </si>
  <si>
    <t>893520833</t>
  </si>
  <si>
    <t>RC455.4.L67 H35 1990</t>
  </si>
  <si>
    <t>0                      RC 0455400L  67                 H  35          1990</t>
  </si>
  <si>
    <t>The anatomy of grief : biopsychosocial and therapeutic perspectives / by Robin Andrew Haig.</t>
  </si>
  <si>
    <t>Haig, Robin Andrew.</t>
  </si>
  <si>
    <t>Springfield, Ill., U.S.A. : Thomas, c1990.</t>
  </si>
  <si>
    <t>American series in behavioral science and law</t>
  </si>
  <si>
    <t>1999-09-22</t>
  </si>
  <si>
    <t>1992-02-13</t>
  </si>
  <si>
    <t>23200112:eng</t>
  </si>
  <si>
    <t>21672375</t>
  </si>
  <si>
    <t>991001714719702656</t>
  </si>
  <si>
    <t>2261861830002656</t>
  </si>
  <si>
    <t>9780398057046</t>
  </si>
  <si>
    <t>32285000869619</t>
  </si>
  <si>
    <t>893809158</t>
  </si>
  <si>
    <t>RC455.4.L67 L4513 1991</t>
  </si>
  <si>
    <t>0                      RC 0455400L  67                 L  4513        1991</t>
  </si>
  <si>
    <t>Healing pain : attachment, loss, and grief therapy / Nini Leick and Marianne Davidsen-Nielsen ; translated from Danish by David Stoner.</t>
  </si>
  <si>
    <t>Leick, Nini, 1940-</t>
  </si>
  <si>
    <t>London ; New York : Routledge, 1991.</t>
  </si>
  <si>
    <t>1992-07-28</t>
  </si>
  <si>
    <t>14185897:eng</t>
  </si>
  <si>
    <t>21482025</t>
  </si>
  <si>
    <t>991001694639702656</t>
  </si>
  <si>
    <t>2260096720002656</t>
  </si>
  <si>
    <t>9780415060875</t>
  </si>
  <si>
    <t>32285001195451</t>
  </si>
  <si>
    <t>893879091</t>
  </si>
  <si>
    <t>RC455.4.L67 M398 2003</t>
  </si>
  <si>
    <t>0                      RC 0455400L  67                 M  398         2003</t>
  </si>
  <si>
    <t>The paradox of loss : toward a relational theory of grief / Marilyn McCabe ; foreword by Donald Polkinghorne.</t>
  </si>
  <si>
    <t>McCabe, Marilyn, 1958-</t>
  </si>
  <si>
    <t>Westport, Conn. : Praeger, 2003.</t>
  </si>
  <si>
    <t>2005-01-10</t>
  </si>
  <si>
    <t>843709:eng</t>
  </si>
  <si>
    <t>51810420</t>
  </si>
  <si>
    <t>991004426389702656</t>
  </si>
  <si>
    <t>2256766400002656</t>
  </si>
  <si>
    <t>9780275979867</t>
  </si>
  <si>
    <t>32285005020093</t>
  </si>
  <si>
    <t>893235480</t>
  </si>
  <si>
    <t>RC455.4.L67 S38 1986</t>
  </si>
  <si>
    <t>0                      RC 0455400L  67                 S  38          1986</t>
  </si>
  <si>
    <t>Dimensions of grief : adjusting to the death of a spouse / Stephen R. Shuchter.</t>
  </si>
  <si>
    <t>Shuchter, Stephen R.</t>
  </si>
  <si>
    <t>San Francisco : Jossey-Bass, 1986.</t>
  </si>
  <si>
    <t>The Jossey-Bass social and behavioral science series</t>
  </si>
  <si>
    <t>2002-11-07</t>
  </si>
  <si>
    <t>1990-06-05</t>
  </si>
  <si>
    <t>836654163:eng</t>
  </si>
  <si>
    <t>13703112</t>
  </si>
  <si>
    <t>991000864309702656</t>
  </si>
  <si>
    <t>2261509310002656</t>
  </si>
  <si>
    <t>9781555420031</t>
  </si>
  <si>
    <t>32285000182021</t>
  </si>
  <si>
    <t>893772048</t>
  </si>
  <si>
    <t>RC455.4.R56 B56 1991</t>
  </si>
  <si>
    <t>0                      RC 0455400R  56                 B  56          1991</t>
  </si>
  <si>
    <t>Biological risk factors for psychosocial disorders / edited by Michael Rutter, Paul Casaer.</t>
  </si>
  <si>
    <t>Cambridge ; New York : Cambridge University Press, 1991.</t>
  </si>
  <si>
    <t>2001-03-20</t>
  </si>
  <si>
    <t>1994-12-22</t>
  </si>
  <si>
    <t>365242044:eng</t>
  </si>
  <si>
    <t>23287800</t>
  </si>
  <si>
    <t>991001857019702656</t>
  </si>
  <si>
    <t>2271972390002656</t>
  </si>
  <si>
    <t>9780521401036</t>
  </si>
  <si>
    <t>32285001978245</t>
  </si>
  <si>
    <t>893522918</t>
  </si>
  <si>
    <t>RC455.4.R56 R57 1990</t>
  </si>
  <si>
    <t>0                      RC 0455400R  56                 R  57          1990</t>
  </si>
  <si>
    <t>Risk and protective factors in the development of psychopathology / edited by Jon Rolf ... [et al.].</t>
  </si>
  <si>
    <t>Cambridge ; New York : Cambridge University Press, 1990.</t>
  </si>
  <si>
    <t>2002-11-18</t>
  </si>
  <si>
    <t>1992-05-22</t>
  </si>
  <si>
    <t>350139419:eng</t>
  </si>
  <si>
    <t>19922832</t>
  </si>
  <si>
    <t>991001516579702656</t>
  </si>
  <si>
    <t>2269926550002656</t>
  </si>
  <si>
    <t>9780521350990</t>
  </si>
  <si>
    <t>32285001118057</t>
  </si>
  <si>
    <t>893225896</t>
  </si>
  <si>
    <t>RC455.4.S42 G85 1987</t>
  </si>
  <si>
    <t>0                      RC 0455400S  42                 G  85          1987</t>
  </si>
  <si>
    <t>Complexity of the self : a developmental approach to psychopathology and therapy / Vittorio F. Guidano.</t>
  </si>
  <si>
    <t>Guidano, V. F.</t>
  </si>
  <si>
    <t>New York : Guilford Press, c1987.</t>
  </si>
  <si>
    <t>The Guilford clinical psychology and psychotherapy series</t>
  </si>
  <si>
    <t>890409317:eng</t>
  </si>
  <si>
    <t>15220957</t>
  </si>
  <si>
    <t>991001002469702656</t>
  </si>
  <si>
    <t>2262745990002656</t>
  </si>
  <si>
    <t>9780898620122</t>
  </si>
  <si>
    <t>32285001606036</t>
  </si>
  <si>
    <t>893237798</t>
  </si>
  <si>
    <t>RC455.4.S42 K78 1989</t>
  </si>
  <si>
    <t>0                      RC 0455400S  42                 K  78          1989</t>
  </si>
  <si>
    <t>Body self &amp; psychological self : a developmental and clinical integration of disorders of the self / by David W. Krueger.</t>
  </si>
  <si>
    <t>Krueger, David W.</t>
  </si>
  <si>
    <t>New York : Brunner/Mazel, c1989.</t>
  </si>
  <si>
    <t>1999-04-20</t>
  </si>
  <si>
    <t>1990-01-23</t>
  </si>
  <si>
    <t>309021153:eng</t>
  </si>
  <si>
    <t>18413551</t>
  </si>
  <si>
    <t>991001345679702656</t>
  </si>
  <si>
    <t>2255525930002656</t>
  </si>
  <si>
    <t>9780876305430</t>
  </si>
  <si>
    <t>32285000029537</t>
  </si>
  <si>
    <t>893238054</t>
  </si>
  <si>
    <t>RC455.4.S42 S443 1993</t>
  </si>
  <si>
    <t>0                      RC 0455400S  42                 S  443         1993</t>
  </si>
  <si>
    <t>Self-esteem : the puzzle of low self-regard / edited by Roy F. Baumeister.</t>
  </si>
  <si>
    <t>The Plenum series in social/clinical psychology</t>
  </si>
  <si>
    <t>2002-02-09</t>
  </si>
  <si>
    <t>1996-09-09</t>
  </si>
  <si>
    <t>836727462:eng</t>
  </si>
  <si>
    <t>27729279</t>
  </si>
  <si>
    <t>991002152949702656</t>
  </si>
  <si>
    <t>2265850430002656</t>
  </si>
  <si>
    <t>9780306443732</t>
  </si>
  <si>
    <t>32285002316171</t>
  </si>
  <si>
    <t>893685024</t>
  </si>
  <si>
    <t>RC455.4.S42 S74 1987</t>
  </si>
  <si>
    <t>0                      RC 0455400S  42                 S  74          1987</t>
  </si>
  <si>
    <t>The social dynamics of self-esteem : theory to therapy / R.A. Steffenhagen and Jeff D. Burns.</t>
  </si>
  <si>
    <t>Steffenhagen, R. A.</t>
  </si>
  <si>
    <t>New York : Praeger, 1987.</t>
  </si>
  <si>
    <t>2010-11-10</t>
  </si>
  <si>
    <t>1991-12-04</t>
  </si>
  <si>
    <t>2562370:eng</t>
  </si>
  <si>
    <t>15252050</t>
  </si>
  <si>
    <t>991001007119702656</t>
  </si>
  <si>
    <t>2255166920002656</t>
  </si>
  <si>
    <t>9780275923259</t>
  </si>
  <si>
    <t>32285000845494</t>
  </si>
  <si>
    <t>893231615</t>
  </si>
  <si>
    <t>RC455.4.S45 G46</t>
  </si>
  <si>
    <t>0                      RC 0455400S  45                 G  46</t>
  </si>
  <si>
    <t>Gender and disordered behavior : sex differences in psychopathology / edited by Edith S. Gomberg and Violet Franks.</t>
  </si>
  <si>
    <t>New York : Brunner/Mazel, c1979.</t>
  </si>
  <si>
    <t>1997-10-11</t>
  </si>
  <si>
    <t>890386914:eng</t>
  </si>
  <si>
    <t>4515367</t>
  </si>
  <si>
    <t>991004670439702656</t>
  </si>
  <si>
    <t>2265567620002656</t>
  </si>
  <si>
    <t>9780876301883</t>
  </si>
  <si>
    <t>32285001606044</t>
  </si>
  <si>
    <t>893500834</t>
  </si>
  <si>
    <t>RC455.4.S53 B73 1988</t>
  </si>
  <si>
    <t>0                      RC 0455400S  53                 B  73          1988</t>
  </si>
  <si>
    <t>Healing the shame that binds you / John Bradshaw.</t>
  </si>
  <si>
    <t>Bradshaw, John, 1933-2016.</t>
  </si>
  <si>
    <t>Deerfield Beach, Fla. : Health Communications, c1988.</t>
  </si>
  <si>
    <t>2006-06-18</t>
  </si>
  <si>
    <t>2002-11-14</t>
  </si>
  <si>
    <t>882152:eng</t>
  </si>
  <si>
    <t>18162520</t>
  </si>
  <si>
    <t>991003933349702656</t>
  </si>
  <si>
    <t>2260104600002656</t>
  </si>
  <si>
    <t>9780932194862</t>
  </si>
  <si>
    <t>32285004663737</t>
  </si>
  <si>
    <t>893593083</t>
  </si>
  <si>
    <t>RC455.4.S53 G65 1991</t>
  </si>
  <si>
    <t>0                      RC 0455400S  53                 G  65          1991</t>
  </si>
  <si>
    <t>Understanding shame / Carl Goldberg.</t>
  </si>
  <si>
    <t>Goldberg, Carl.</t>
  </si>
  <si>
    <t>Northvale, N.J. : J. Aronson, c1991.</t>
  </si>
  <si>
    <t>1996-07-19</t>
  </si>
  <si>
    <t>24947980:eng</t>
  </si>
  <si>
    <t>23463289</t>
  </si>
  <si>
    <t>991001866179702656</t>
  </si>
  <si>
    <t>2255736990002656</t>
  </si>
  <si>
    <t>9780876685419</t>
  </si>
  <si>
    <t>32285001118602</t>
  </si>
  <si>
    <t>893885604</t>
  </si>
  <si>
    <t>RC455.4.S53 H37 1990</t>
  </si>
  <si>
    <t>0                      RC 0455400S  53                 H  37          1990</t>
  </si>
  <si>
    <t>Uncovering shame : an approach integrating individuals and their family systems / James M. Harper and Margaret H. Hoopes.</t>
  </si>
  <si>
    <t>Harper, James M.</t>
  </si>
  <si>
    <t>New York : Norton, c1990.</t>
  </si>
  <si>
    <t>2003-08-25</t>
  </si>
  <si>
    <t>2003-09-09</t>
  </si>
  <si>
    <t>311894655:eng</t>
  </si>
  <si>
    <t>21520496</t>
  </si>
  <si>
    <t>991001767859702656</t>
  </si>
  <si>
    <t>2257301480002656</t>
  </si>
  <si>
    <t>9780393701005</t>
  </si>
  <si>
    <t>32285000868900</t>
  </si>
  <si>
    <t>893721137</t>
  </si>
  <si>
    <t>RC455.4.S87 A38 1989</t>
  </si>
  <si>
    <t>0                      RC 0455400S  87                 A  38          1989</t>
  </si>
  <si>
    <t>Advances in the investigation of psychological stress / edited by Richard W.J. Neufeld.</t>
  </si>
  <si>
    <t>New York : Wiley, c1989.</t>
  </si>
  <si>
    <t>Wiley series on health psychology/behavioral medicine</t>
  </si>
  <si>
    <t>2002-04-19</t>
  </si>
  <si>
    <t>16914860:eng</t>
  </si>
  <si>
    <t>18134591</t>
  </si>
  <si>
    <t>991001308329702656</t>
  </si>
  <si>
    <t>2259835980002656</t>
  </si>
  <si>
    <t>9780471815983</t>
  </si>
  <si>
    <t>32285000075399</t>
  </si>
  <si>
    <t>893903380</t>
  </si>
  <si>
    <t>RC455.4.S87 B47 1986</t>
  </si>
  <si>
    <t>0                      RC 0455400S  87                 B  47          1986</t>
  </si>
  <si>
    <t>The success syndrome : hitting bottom when you reach the top / Steven Berglas.</t>
  </si>
  <si>
    <t>Berglas, Steven.</t>
  </si>
  <si>
    <t>New York : Plenum Press, c1986.</t>
  </si>
  <si>
    <t>2008-12-15</t>
  </si>
  <si>
    <t>7855049:eng</t>
  </si>
  <si>
    <t>13792595</t>
  </si>
  <si>
    <t>991000870979702656</t>
  </si>
  <si>
    <t>2272711240002656</t>
  </si>
  <si>
    <t>9780306423499</t>
  </si>
  <si>
    <t>32285001606051</t>
  </si>
  <si>
    <t>893589818</t>
  </si>
  <si>
    <t>RC455.4.S87 D64 1995</t>
  </si>
  <si>
    <t>0                      RC 0455400S  87                 D  64          1995</t>
  </si>
  <si>
    <t>Does stress cause psychiatric illness? / edited by Carolyn M. Mazure.</t>
  </si>
  <si>
    <t>Washington, DC : American Psychiatric Press, c1995.</t>
  </si>
  <si>
    <t>Progress in psychiatry ; no. 46</t>
  </si>
  <si>
    <t>1996-05-16</t>
  </si>
  <si>
    <t>10032650738:eng</t>
  </si>
  <si>
    <t>30737738</t>
  </si>
  <si>
    <t>991002364169702656</t>
  </si>
  <si>
    <t>2266512090002656</t>
  </si>
  <si>
    <t>9780880484824</t>
  </si>
  <si>
    <t>32285002169083</t>
  </si>
  <si>
    <t>893622199</t>
  </si>
  <si>
    <t>RC456 .H35 1993</t>
  </si>
  <si>
    <t>0                      RC 0456000H  35          1993</t>
  </si>
  <si>
    <t>Handbook of effective psychotherapy / edited by Thomas R. Giles.</t>
  </si>
  <si>
    <t>The Plenum behavior therapy series</t>
  </si>
  <si>
    <t>2006-02-21</t>
  </si>
  <si>
    <t>1994-01-13</t>
  </si>
  <si>
    <t>330007:eng</t>
  </si>
  <si>
    <t>28224509</t>
  </si>
  <si>
    <t>991002196249702656</t>
  </si>
  <si>
    <t>2260698200002656</t>
  </si>
  <si>
    <t>9780306444289</t>
  </si>
  <si>
    <t>32285001831444</t>
  </si>
  <si>
    <t>893703780</t>
  </si>
  <si>
    <t>RC457 .D28 1966</t>
  </si>
  <si>
    <t>0                      RC 0457000D  28          1966</t>
  </si>
  <si>
    <t>An introduction to psychopathology [by] D. Russell Davis.</t>
  </si>
  <si>
    <t>Davis, Derek Russell.</t>
  </si>
  <si>
    <t>London, New York [etc] Oxford U. P., 1966.</t>
  </si>
  <si>
    <t>1995-10-28</t>
  </si>
  <si>
    <t>1515093:eng</t>
  </si>
  <si>
    <t>14492218</t>
  </si>
  <si>
    <t>991004039639702656</t>
  </si>
  <si>
    <t>2261475830002656</t>
  </si>
  <si>
    <t>32285001606069</t>
  </si>
  <si>
    <t>893324864</t>
  </si>
  <si>
    <t>RC458 .A73</t>
  </si>
  <si>
    <t>0                      RC 0458000A  73</t>
  </si>
  <si>
    <t>On schizophrenia, phobias, depression, psychotherapy, and the farther shores of psychiatry : selected papers of Silvano Arieti.</t>
  </si>
  <si>
    <t>Arieti, Silvano.</t>
  </si>
  <si>
    <t>New York : Brunner/Mazel, c1978.</t>
  </si>
  <si>
    <t>285138769:eng</t>
  </si>
  <si>
    <t>3481175</t>
  </si>
  <si>
    <t>991004445179702656</t>
  </si>
  <si>
    <t>2264440740002656</t>
  </si>
  <si>
    <t>9780876301616</t>
  </si>
  <si>
    <t>32285001606077</t>
  </si>
  <si>
    <t>893350004</t>
  </si>
  <si>
    <t>RC458 .N8</t>
  </si>
  <si>
    <t>0                      RC 0458000N  8</t>
  </si>
  <si>
    <t>Human values and abnormal behavior; readings in abnormal psychology [edited by] Walter D. Nunokawa.</t>
  </si>
  <si>
    <t>Nunokawa, Walter D., editor.</t>
  </si>
  <si>
    <t>Chicago, Scott, Foresman [1965]</t>
  </si>
  <si>
    <t>1345019:eng</t>
  </si>
  <si>
    <t>252999</t>
  </si>
  <si>
    <t>991001955079702656</t>
  </si>
  <si>
    <t>2270096200002656</t>
  </si>
  <si>
    <t>32285003090791</t>
  </si>
  <si>
    <t>893797990</t>
  </si>
  <si>
    <t>RC458 .P75 1975</t>
  </si>
  <si>
    <t>0                      RC 0458000P  75          1975</t>
  </si>
  <si>
    <t>Psychotherapy and multiple personality : selected essays / Morton Prince ; edited with an introductory essay by Nathan G. Hale, Jr.</t>
  </si>
  <si>
    <t>Prince, Morton, 1854-1929.</t>
  </si>
  <si>
    <t>Cambridge, Mass. : Harvard University Press, 1975.</t>
  </si>
  <si>
    <t>2002-09-24</t>
  </si>
  <si>
    <t>346858089:eng</t>
  </si>
  <si>
    <t>1254051</t>
  </si>
  <si>
    <t>991003650479702656</t>
  </si>
  <si>
    <t>2261498170002656</t>
  </si>
  <si>
    <t>32285000411339</t>
  </si>
  <si>
    <t>893318224</t>
  </si>
  <si>
    <t>RC458 .S23</t>
  </si>
  <si>
    <t>0                      RC 0458000S  23</t>
  </si>
  <si>
    <t>Psychopathology today : experimentation, theory and research / [by] William S. Sahakian.</t>
  </si>
  <si>
    <t>Sahakian, William S., compiler.</t>
  </si>
  <si>
    <t>Itasca, Ill. : F. E. Peacock Publishers, [c1970], 1972 printing.</t>
  </si>
  <si>
    <t>2000-02-07</t>
  </si>
  <si>
    <t>198752528:eng</t>
  </si>
  <si>
    <t>90112</t>
  </si>
  <si>
    <t>991000538869702656</t>
  </si>
  <si>
    <t>2266217170002656</t>
  </si>
  <si>
    <t>32285001056752</t>
  </si>
  <si>
    <t>893771730</t>
  </si>
  <si>
    <t>RC458 .S85 1964</t>
  </si>
  <si>
    <t>0                      RC 0458000S  85          1964</t>
  </si>
  <si>
    <t>The fusion of psychiatry and social science. With introd. and commentaries by Helen Swick Perry.</t>
  </si>
  <si>
    <t>Sullivan, Harry Stack, 1892-1949.</t>
  </si>
  <si>
    <t>New York, Norton [1964]</t>
  </si>
  <si>
    <t>1508273:eng</t>
  </si>
  <si>
    <t>518350</t>
  </si>
  <si>
    <t>991002903549702656</t>
  </si>
  <si>
    <t>2255842610002656</t>
  </si>
  <si>
    <t>32285003090833</t>
  </si>
  <si>
    <t>893251759</t>
  </si>
  <si>
    <t>RC460 .G55 1961</t>
  </si>
  <si>
    <t>0                      RC 0460000G  55          1961</t>
  </si>
  <si>
    <t>Mental health or mental illness? : Psychiatry for practical action / by William Glasser.</t>
  </si>
  <si>
    <t>Glasser, William, 1925-2013.</t>
  </si>
  <si>
    <t>New York : Harper, [1961, c1960]</t>
  </si>
  <si>
    <t>2001-04-08</t>
  </si>
  <si>
    <t>1803675:eng</t>
  </si>
  <si>
    <t>643397</t>
  </si>
  <si>
    <t>991003093129702656</t>
  </si>
  <si>
    <t>2258267310002656</t>
  </si>
  <si>
    <t>32285001060614</t>
  </si>
  <si>
    <t>893805415</t>
  </si>
  <si>
    <t>RC460 .J63</t>
  </si>
  <si>
    <t>0                      RC 0460000J  63</t>
  </si>
  <si>
    <t>Mental health &amp; mental illness [by] Mabyl K. Johnston.</t>
  </si>
  <si>
    <t>Johnston, Mabyl K.</t>
  </si>
  <si>
    <t>Philadelphia, Lippincott [1971]</t>
  </si>
  <si>
    <t>1996-04-17</t>
  </si>
  <si>
    <t>1992-04-02</t>
  </si>
  <si>
    <t>3768586644:eng</t>
  </si>
  <si>
    <t>144528</t>
  </si>
  <si>
    <t>991000820449702656</t>
  </si>
  <si>
    <t>2257526500002656</t>
  </si>
  <si>
    <t>32285001050946</t>
  </si>
  <si>
    <t>893683784</t>
  </si>
  <si>
    <t>RC460 .M53</t>
  </si>
  <si>
    <t>0                      RC 0460000M  53</t>
  </si>
  <si>
    <t>Your inner child of the past.</t>
  </si>
  <si>
    <t>Missildine, W. Hugh (Whitney Hugh), 1915-</t>
  </si>
  <si>
    <t>New York : Simon and Schuster, 1963.</t>
  </si>
  <si>
    <t>2000-08-28</t>
  </si>
  <si>
    <t>1993-04-14</t>
  </si>
  <si>
    <t>348485287:eng</t>
  </si>
  <si>
    <t>275685</t>
  </si>
  <si>
    <t>991005266349702656</t>
  </si>
  <si>
    <t>2263409210002656</t>
  </si>
  <si>
    <t>32285001618759</t>
  </si>
  <si>
    <t>893713767</t>
  </si>
  <si>
    <t>RC461 .H812 1986</t>
  </si>
  <si>
    <t>0                      RC 0461000H  812         1986</t>
  </si>
  <si>
    <t>Dianetics, the modern science of mental health : a handbook of Dianetics procedure / L. Ron Hubbard.</t>
  </si>
  <si>
    <t>Hubbard, L. Ron (La Fayette Ron), 1911-1986.</t>
  </si>
  <si>
    <t>Los Angeles, CA : Bridge Publications, 1986, c1985.</t>
  </si>
  <si>
    <t>2nd ed., commemorative ed.</t>
  </si>
  <si>
    <t>2003-11-20</t>
  </si>
  <si>
    <t>3969239710:eng</t>
  </si>
  <si>
    <t>15709381</t>
  </si>
  <si>
    <t>991001058329702656</t>
  </si>
  <si>
    <t>2255658970002656</t>
  </si>
  <si>
    <t>9780884042693</t>
  </si>
  <si>
    <t>32285000065952</t>
  </si>
  <si>
    <t>893683981</t>
  </si>
  <si>
    <t>RC463 .K3</t>
  </si>
  <si>
    <t>0                      RC 0463000K  3</t>
  </si>
  <si>
    <t>The inner world of mental illness : a series of first-person accounts of what it was like.</t>
  </si>
  <si>
    <t>Kaplan, Bert, 1919-2006 editor.</t>
  </si>
  <si>
    <t>New York : Harper and Row, [1964]</t>
  </si>
  <si>
    <t>2008-07-22</t>
  </si>
  <si>
    <t>403593:eng</t>
  </si>
  <si>
    <t>276211</t>
  </si>
  <si>
    <t>991002168769702656</t>
  </si>
  <si>
    <t>2261812560002656</t>
  </si>
  <si>
    <t>32285000104553</t>
  </si>
  <si>
    <t>893322635</t>
  </si>
  <si>
    <t>RC463 .K7 1961</t>
  </si>
  <si>
    <t>0                      RC 0463000K  7           1961</t>
  </si>
  <si>
    <t>My fight for sanity / by Judith Kruger.</t>
  </si>
  <si>
    <t>Kruger, Judith.</t>
  </si>
  <si>
    <t>London : Hammond, Hammond, 1961, c1959.</t>
  </si>
  <si>
    <t>2242549:eng</t>
  </si>
  <si>
    <t>5271968</t>
  </si>
  <si>
    <t>991004810429702656</t>
  </si>
  <si>
    <t>2271223210002656</t>
  </si>
  <si>
    <t>32285000104546</t>
  </si>
  <si>
    <t>893248011</t>
  </si>
  <si>
    <t>RC464.R4 A33</t>
  </si>
  <si>
    <t>0                      RC 0464000R  4                  A  33</t>
  </si>
  <si>
    <t>Anna / by David Reed.</t>
  </si>
  <si>
    <t>Reed, David, 1944-</t>
  </si>
  <si>
    <t>New York : Basic Books, c1976.</t>
  </si>
  <si>
    <t>1992-11-05</t>
  </si>
  <si>
    <t>188371:eng</t>
  </si>
  <si>
    <t>1991093</t>
  </si>
  <si>
    <t>991003968799702656</t>
  </si>
  <si>
    <t>2264098640002656</t>
  </si>
  <si>
    <t>9780465003310</t>
  </si>
  <si>
    <t>32285001381028</t>
  </si>
  <si>
    <t>893318646</t>
  </si>
  <si>
    <t>RC465 .E55 1989</t>
  </si>
  <si>
    <t>0                      RC 0465000E  55          1989</t>
  </si>
  <si>
    <t>Institutionalizing madness : families, therapy, and society / Joel Elizur, Salvador Minuchin ; with a chapter by Mordecai Kaffman.</t>
  </si>
  <si>
    <t>Elizur, Joel, 1952-</t>
  </si>
  <si>
    <t>New York : BasicBooks, [1989]</t>
  </si>
  <si>
    <t>22029648:eng</t>
  </si>
  <si>
    <t>20258909</t>
  </si>
  <si>
    <t>991001553029702656</t>
  </si>
  <si>
    <t>2262579580002656</t>
  </si>
  <si>
    <t>9780465033225</t>
  </si>
  <si>
    <t>32285001195253</t>
  </si>
  <si>
    <t>893791505</t>
  </si>
  <si>
    <t>RC465 .L3 1965b</t>
  </si>
  <si>
    <t>0                      RC 0465000L  3           1965b</t>
  </si>
  <si>
    <t>The divided self : an existential study in sanity and madness / R. D. Laing.</t>
  </si>
  <si>
    <t>Laing, R. D. (Ronald David), 1927-1989.</t>
  </si>
  <si>
    <t>Harmondsworth, Middlesex ; Baltimore : Penguin Books, 1965.</t>
  </si>
  <si>
    <t>Pelican book ; A734</t>
  </si>
  <si>
    <t>2008-10-07</t>
  </si>
  <si>
    <t>1992-08-31</t>
  </si>
  <si>
    <t>196594298:eng</t>
  </si>
  <si>
    <t>5212085</t>
  </si>
  <si>
    <t>991004800439702656</t>
  </si>
  <si>
    <t>2269547510002656</t>
  </si>
  <si>
    <t>9780140207347</t>
  </si>
  <si>
    <t>32285001275212</t>
  </si>
  <si>
    <t>893229850</t>
  </si>
  <si>
    <t>RC465 .L44 1977</t>
  </si>
  <si>
    <t>0                      RC 0465000L  44          1977</t>
  </si>
  <si>
    <t>Case histories of deviant behavior : an interactional perspective / by Gloria Rakita Leon.</t>
  </si>
  <si>
    <t>Leon, Gloria Rakita.</t>
  </si>
  <si>
    <t>Boston : Allyn and Bacon, c1977, 1978 printing.</t>
  </si>
  <si>
    <t>2007-08-28</t>
  </si>
  <si>
    <t>2260832344:eng</t>
  </si>
  <si>
    <t>3003150</t>
  </si>
  <si>
    <t>991004314529702656</t>
  </si>
  <si>
    <t>2270961040002656</t>
  </si>
  <si>
    <t>9780205058471</t>
  </si>
  <si>
    <t>32285004805304</t>
  </si>
  <si>
    <t>893624586</t>
  </si>
  <si>
    <t>RC465 .R63</t>
  </si>
  <si>
    <t>0                      RC 0465000R  63</t>
  </si>
  <si>
    <t>The three Christs of Ypsilanti; a psychological study.</t>
  </si>
  <si>
    <t>Rokeach, Milton.</t>
  </si>
  <si>
    <t>New York, Knopf, 1964.</t>
  </si>
  <si>
    <t>2005-10-10</t>
  </si>
  <si>
    <t>420439:eng</t>
  </si>
  <si>
    <t>171349</t>
  </si>
  <si>
    <t>991000995709702656</t>
  </si>
  <si>
    <t>2267232250002656</t>
  </si>
  <si>
    <t>32285003090890</t>
  </si>
  <si>
    <t>893419963</t>
  </si>
  <si>
    <t>RC465 .T48 1990</t>
  </si>
  <si>
    <t>0                      RC 0465000T  48          1990</t>
  </si>
  <si>
    <t>Therapy wars : contention and convergence in differing clinical approaches / Nolan Saltzman and John C. Norcross, editors.</t>
  </si>
  <si>
    <t>San Francisco : Jossey-Brass, c1990.</t>
  </si>
  <si>
    <t>1999-04-17</t>
  </si>
  <si>
    <t>1991-04-03</t>
  </si>
  <si>
    <t>894396121:eng</t>
  </si>
  <si>
    <t>21524160</t>
  </si>
  <si>
    <t>991001701439702656</t>
  </si>
  <si>
    <t>2256836870002656</t>
  </si>
  <si>
    <t>9781555422592</t>
  </si>
  <si>
    <t>32285000565225</t>
  </si>
  <si>
    <t>893791634</t>
  </si>
  <si>
    <t>RC465.5 .W57 1995</t>
  </si>
  <si>
    <t>0                      RC 0465500W  57          1995</t>
  </si>
  <si>
    <t>Psychiatry, the ultimate betrayal / by Bruce Wiseman.</t>
  </si>
  <si>
    <t>Wiseman, Bruce.</t>
  </si>
  <si>
    <t>Los Angeles : Freedom Pub., c1995.</t>
  </si>
  <si>
    <t>2007-05-14</t>
  </si>
  <si>
    <t>40709896:eng</t>
  </si>
  <si>
    <t>34497836</t>
  </si>
  <si>
    <t>991005080869702656</t>
  </si>
  <si>
    <t>2270114250002656</t>
  </si>
  <si>
    <t>9780964890909</t>
  </si>
  <si>
    <t>32285005311955</t>
  </si>
  <si>
    <t>893533127</t>
  </si>
  <si>
    <t>RC465.6 .M36 1999</t>
  </si>
  <si>
    <t>0                      RC 0465600M  36          1999</t>
  </si>
  <si>
    <t>Managed care in human services / edited by Stephen P. Wernet.</t>
  </si>
  <si>
    <t>Chicago, Ill : Lyceum Books, c1999.</t>
  </si>
  <si>
    <t>2000-12-26</t>
  </si>
  <si>
    <t>987233:eng</t>
  </si>
  <si>
    <t>40830280</t>
  </si>
  <si>
    <t>991003330129702656</t>
  </si>
  <si>
    <t>2254869720002656</t>
  </si>
  <si>
    <t>9780925065308</t>
  </si>
  <si>
    <t>32285004278619</t>
  </si>
  <si>
    <t>893868307</t>
  </si>
  <si>
    <t>RC466 .B76 1998</t>
  </si>
  <si>
    <t>0                      RC 0466000B  76          1998</t>
  </si>
  <si>
    <t>Psychoeducational groups / Nina W. Brown.</t>
  </si>
  <si>
    <t>Brown, Nina W.</t>
  </si>
  <si>
    <t>Philadelphia, PA : Accelerated Development, c1998.</t>
  </si>
  <si>
    <t>2001-01-08</t>
  </si>
  <si>
    <t>796116128:eng</t>
  </si>
  <si>
    <t>38010546</t>
  </si>
  <si>
    <t>991003330069702656</t>
  </si>
  <si>
    <t>2261066360002656</t>
  </si>
  <si>
    <t>9781560326762</t>
  </si>
  <si>
    <t>32285004280755</t>
  </si>
  <si>
    <t>893617237</t>
  </si>
  <si>
    <t>RC466.8 .H57 1991, v...</t>
  </si>
  <si>
    <t>0                      RC 0466800H  57          1991                                        v...</t>
  </si>
  <si>
    <t>The History of clinical psychology in autobiography / edited by C. Eugene Walker.</t>
  </si>
  <si>
    <t>Pacific Grove, Calif. : Brooks/Cole Pub. Co., c1991-</t>
  </si>
  <si>
    <t>Brooks/Cole professional books</t>
  </si>
  <si>
    <t>9565570619:eng</t>
  </si>
  <si>
    <t>21678919</t>
  </si>
  <si>
    <t>991001720329702656</t>
  </si>
  <si>
    <t>2255620170002656</t>
  </si>
  <si>
    <t>9780534144364</t>
  </si>
  <si>
    <t>32285001195576</t>
  </si>
  <si>
    <t>893256442</t>
  </si>
  <si>
    <t>RC467 .C46</t>
  </si>
  <si>
    <t>0                      RC 0467000C  46</t>
  </si>
  <si>
    <t>Manual for clinical psychology practicums / James Choca.</t>
  </si>
  <si>
    <t>Choca, James, 1945-</t>
  </si>
  <si>
    <t>Larchmont, N.Y. : Brunner/Mazel, c1980.</t>
  </si>
  <si>
    <t>533870:eng</t>
  </si>
  <si>
    <t>6532309</t>
  </si>
  <si>
    <t>991004998209702656</t>
  </si>
  <si>
    <t>2262008300002656</t>
  </si>
  <si>
    <t>9780876302408</t>
  </si>
  <si>
    <t>32285001606176</t>
  </si>
  <si>
    <t>893332258</t>
  </si>
  <si>
    <t>RC467 .P3</t>
  </si>
  <si>
    <t>0                      RC 0467000P  3</t>
  </si>
  <si>
    <t>The psychological assessment of children / [by] James O. Palmer.</t>
  </si>
  <si>
    <t>Palmer, James O.</t>
  </si>
  <si>
    <t>1995-04-03</t>
  </si>
  <si>
    <t>1244871:eng</t>
  </si>
  <si>
    <t>73529</t>
  </si>
  <si>
    <t>991000401689702656</t>
  </si>
  <si>
    <t>2269912780002656</t>
  </si>
  <si>
    <t>9780471657729</t>
  </si>
  <si>
    <t>32285002014685</t>
  </si>
  <si>
    <t>893224952</t>
  </si>
  <si>
    <t>RC467 .S58 1988</t>
  </si>
  <si>
    <t>0                      RC 0467000S  58          1988</t>
  </si>
  <si>
    <t>Social cognition and clinical psychology : a synthesis / edited by Lyn Y. Abramson.</t>
  </si>
  <si>
    <t>New York : Guilford Press, c1988.</t>
  </si>
  <si>
    <t>1991-01-04</t>
  </si>
  <si>
    <t>54846365:eng</t>
  </si>
  <si>
    <t>14003274</t>
  </si>
  <si>
    <t>991001793779702656</t>
  </si>
  <si>
    <t>2255926650002656</t>
  </si>
  <si>
    <t>9780898620115</t>
  </si>
  <si>
    <t>32285000407691</t>
  </si>
  <si>
    <t>893316073</t>
  </si>
  <si>
    <t>RC467 .W6</t>
  </si>
  <si>
    <t>0                      RC 0467000W  6</t>
  </si>
  <si>
    <t>Handbook of clinical psychology / edited by Benjamin B. Wolman with consulting editors Gordon F. Derner [and others]</t>
  </si>
  <si>
    <t>Wolman, Benjamin B. editor.</t>
  </si>
  <si>
    <t>New York : McGraw-Hill, [1965]</t>
  </si>
  <si>
    <t>2000-03-20</t>
  </si>
  <si>
    <t>346594301:eng</t>
  </si>
  <si>
    <t>241975</t>
  </si>
  <si>
    <t>991001779379702656</t>
  </si>
  <si>
    <t>2271721760002656</t>
  </si>
  <si>
    <t>32285003658506</t>
  </si>
  <si>
    <t>893615374</t>
  </si>
  <si>
    <t>RC467.7 .I58 1987</t>
  </si>
  <si>
    <t>0                      RC 0467700I  58          1987</t>
  </si>
  <si>
    <t>Internship training in professional psychology / edited by Richard H. Dana, W. Theodore May.</t>
  </si>
  <si>
    <t>Washington : Hemisphere Pub. Corp., c1987.</t>
  </si>
  <si>
    <t>The Series in clinical and community psychology, 0146-0846</t>
  </si>
  <si>
    <t>1992-10-06</t>
  </si>
  <si>
    <t>351752130:eng</t>
  </si>
  <si>
    <t>14068424</t>
  </si>
  <si>
    <t>991000902259702656</t>
  </si>
  <si>
    <t>2256755770002656</t>
  </si>
  <si>
    <t>9780891167730</t>
  </si>
  <si>
    <t>32285001326684</t>
  </si>
  <si>
    <t>893432410</t>
  </si>
  <si>
    <t>RC467.97 .P745 2003</t>
  </si>
  <si>
    <t>0                      RC 0467970P  745         2003</t>
  </si>
  <si>
    <t>Prescriptive authority for psychologists : a history and guide / edited by Morgan T. Sammons, Ronald F. Levant, and Ruth Ullmann Paige.</t>
  </si>
  <si>
    <t>Washington, DC : American Psychological Association, c2003.</t>
  </si>
  <si>
    <t>2863434713:eng</t>
  </si>
  <si>
    <t>50725481</t>
  </si>
  <si>
    <t>991003977869702656</t>
  </si>
  <si>
    <t>2258372360002656</t>
  </si>
  <si>
    <t>9781557989772</t>
  </si>
  <si>
    <t>32285004696836</t>
  </si>
  <si>
    <t>893875540</t>
  </si>
  <si>
    <t>RC469 . R58 2000</t>
  </si>
  <si>
    <t>0                      RC 0469000R  58          2000</t>
  </si>
  <si>
    <t>Conducting insanity evaluations / Richard Rogers, Daniel W. Shuman.</t>
  </si>
  <si>
    <t>Rogers, Richard, 1950-</t>
  </si>
  <si>
    <t>New York : Guilford Press, c2000.</t>
  </si>
  <si>
    <t>2007-02-28</t>
  </si>
  <si>
    <t>2005-04-04</t>
  </si>
  <si>
    <t>109390:eng</t>
  </si>
  <si>
    <t>42683386</t>
  </si>
  <si>
    <t>991004511069702656</t>
  </si>
  <si>
    <t>2263528030002656</t>
  </si>
  <si>
    <t>9781572305212</t>
  </si>
  <si>
    <t>32285005047468</t>
  </si>
  <si>
    <t>893687817</t>
  </si>
  <si>
    <t>RC469 .A8</t>
  </si>
  <si>
    <t>0                      RC 0469000A  8</t>
  </si>
  <si>
    <t>Assessment strategies for cognitive-behavioral interventions / edited by Philip C. Kendall, Steven D. Hollon.</t>
  </si>
  <si>
    <t>New York : Academic Press, c1981.</t>
  </si>
  <si>
    <t>1999-11-07</t>
  </si>
  <si>
    <t>1990-06-29</t>
  </si>
  <si>
    <t>351751716:eng</t>
  </si>
  <si>
    <t>6891128</t>
  </si>
  <si>
    <t>991005055149702656</t>
  </si>
  <si>
    <t>2261976610002656</t>
  </si>
  <si>
    <t>9780124044609</t>
  </si>
  <si>
    <t>32285000217538</t>
  </si>
  <si>
    <t>893694682</t>
  </si>
  <si>
    <t>RC469 .B56 1997</t>
  </si>
  <si>
    <t>0                      RC 0469000B  56          1997</t>
  </si>
  <si>
    <t>Understanding troubled minds : a guide to mental illness and its treatment / Sidney Bloch and Bruce S. Singh.</t>
  </si>
  <si>
    <t>Bloch, Sidney.</t>
  </si>
  <si>
    <t>Carlton South, Vic. : Melbourne University Press, 1997.</t>
  </si>
  <si>
    <t xml:space="preserve">at </t>
  </si>
  <si>
    <t>1998-08-27</t>
  </si>
  <si>
    <t>866236965:eng</t>
  </si>
  <si>
    <t>37879019</t>
  </si>
  <si>
    <t>991002874469702656</t>
  </si>
  <si>
    <t>2264398060002656</t>
  </si>
  <si>
    <t>32285003463246</t>
  </si>
  <si>
    <t>893535232</t>
  </si>
  <si>
    <t>RC469 .D3</t>
  </si>
  <si>
    <t>0                      RC 0469000D  3</t>
  </si>
  <si>
    <t>An MMPI handbook; a guide to use in clinical practice and research, by W. Grant Dahlstrom and George Schlager Welsh.</t>
  </si>
  <si>
    <t>Dahlstrom, W. Grant (William Grant)</t>
  </si>
  <si>
    <t>Minneapolis, Univ. of Minnesota Press [c1960]</t>
  </si>
  <si>
    <t>2006-10-27</t>
  </si>
  <si>
    <t>2829625495:eng</t>
  </si>
  <si>
    <t>14616866</t>
  </si>
  <si>
    <t>991000949279702656</t>
  </si>
  <si>
    <t>2268043280002656</t>
  </si>
  <si>
    <t>32285003090973</t>
  </si>
  <si>
    <t>893808884</t>
  </si>
  <si>
    <t>RC469 .M35</t>
  </si>
  <si>
    <t>0                      RC 0469000M  35</t>
  </si>
  <si>
    <t>Psychological assessment : a conceptual approach / Michael P. Maloney, Michael P. Ward.</t>
  </si>
  <si>
    <t>Maloney, Michael P.</t>
  </si>
  <si>
    <t>New York : Oxford University Press, 1976.</t>
  </si>
  <si>
    <t>2008-12-04</t>
  </si>
  <si>
    <t>196543176:eng</t>
  </si>
  <si>
    <t>2328511</t>
  </si>
  <si>
    <t>991004080889702656</t>
  </si>
  <si>
    <t>2262324900002656</t>
  </si>
  <si>
    <t>9780195020274</t>
  </si>
  <si>
    <t>32285001441236</t>
  </si>
  <si>
    <t>893605601</t>
  </si>
  <si>
    <t>RC469 .T47 1985</t>
  </si>
  <si>
    <t>0                      RC 0469000T  47          1985</t>
  </si>
  <si>
    <t>Testing adults : a reference guide for special psychodiagnostic assessments / Dennis P. Swiercinsky, general editor.</t>
  </si>
  <si>
    <t>Kansas City, MO : Test Corporation of America, 1985.</t>
  </si>
  <si>
    <t>1996-10-24</t>
  </si>
  <si>
    <t>2001-12-03</t>
  </si>
  <si>
    <t>1992-12-11</t>
  </si>
  <si>
    <t>54742463:eng</t>
  </si>
  <si>
    <t>12420832</t>
  </si>
  <si>
    <t>991001792729702656</t>
  </si>
  <si>
    <t>2254776810002656</t>
  </si>
  <si>
    <t>9780961128692</t>
  </si>
  <si>
    <t>32285001441228</t>
  </si>
  <si>
    <t>893779086</t>
  </si>
  <si>
    <t>RC471 .E33 1988</t>
  </si>
  <si>
    <t>0                      RC 0471000E  33          1988</t>
  </si>
  <si>
    <t>The EEG of mental activities / editors, D. Giannitrapani, L. Murri.</t>
  </si>
  <si>
    <t>Basel, Switzerland ; New York : Karger, 1988.</t>
  </si>
  <si>
    <t>1999-04-08</t>
  </si>
  <si>
    <t>346229643:eng</t>
  </si>
  <si>
    <t>18327356</t>
  </si>
  <si>
    <t>991001333279702656</t>
  </si>
  <si>
    <t>2260586560002656</t>
  </si>
  <si>
    <t>9783805548120</t>
  </si>
  <si>
    <t>32285000659713</t>
  </si>
  <si>
    <t>893891500</t>
  </si>
  <si>
    <t>RC473.B7 N477 1999</t>
  </si>
  <si>
    <t>0                      RC 0473000B  7                  N  477         1999</t>
  </si>
  <si>
    <t>Neuroimaging and memory / edited by Jonathan K. Foster.</t>
  </si>
  <si>
    <t>Hove : Psychology Press, c1999.</t>
  </si>
  <si>
    <t>44950069:eng</t>
  </si>
  <si>
    <t>43378220</t>
  </si>
  <si>
    <t>991003910009702656</t>
  </si>
  <si>
    <t>2257466940002656</t>
  </si>
  <si>
    <t>9780863776564</t>
  </si>
  <si>
    <t>32285004661855</t>
  </si>
  <si>
    <t>893794254</t>
  </si>
  <si>
    <t>RC473.M47 C48 2004</t>
  </si>
  <si>
    <t>0                      RC 0473000M  47                 C  48          2004</t>
  </si>
  <si>
    <t>Interpretive guide to the Millon Clinical Multiaxial Inventory / James P. Choca.</t>
  </si>
  <si>
    <t>Washington, DC : American Psychological Association, c2004.</t>
  </si>
  <si>
    <t>2008-11-20</t>
  </si>
  <si>
    <t>2004-05-19</t>
  </si>
  <si>
    <t>4919208034:eng</t>
  </si>
  <si>
    <t>54029393</t>
  </si>
  <si>
    <t>991004265369702656</t>
  </si>
  <si>
    <t>2271618720002656</t>
  </si>
  <si>
    <t>9781591470403</t>
  </si>
  <si>
    <t>32285004906573</t>
  </si>
  <si>
    <t>893535888</t>
  </si>
  <si>
    <t>RC473.M47 J36 2002</t>
  </si>
  <si>
    <t>0                      RC 0473000M  47                 J  36          2002</t>
  </si>
  <si>
    <t>A beginner's guide to the MCMI-III / Dan Jankowski ; foreword by Theodore Millon.</t>
  </si>
  <si>
    <t>Jankowski, Dan.</t>
  </si>
  <si>
    <t>2008-11-08</t>
  </si>
  <si>
    <t>2003-03-18</t>
  </si>
  <si>
    <t>1085540:eng</t>
  </si>
  <si>
    <t>47690535</t>
  </si>
  <si>
    <t>991003978109702656</t>
  </si>
  <si>
    <t>2269743050002656</t>
  </si>
  <si>
    <t>9781557988430</t>
  </si>
  <si>
    <t>32285004684675</t>
  </si>
  <si>
    <t>893506227</t>
  </si>
  <si>
    <t>RC473.M5 B87 1990</t>
  </si>
  <si>
    <t>0                      RC 0473000M  5                  B  87          1990</t>
  </si>
  <si>
    <t>The MMPI-2 in psychological treatment / James Neal Butcher.</t>
  </si>
  <si>
    <t>Butcher, James Neal, 1933-</t>
  </si>
  <si>
    <t>New York : Oxford University Press, 1990.</t>
  </si>
  <si>
    <t>2009-04-02</t>
  </si>
  <si>
    <t>22552719:eng</t>
  </si>
  <si>
    <t>20933056</t>
  </si>
  <si>
    <t>991005307729702656</t>
  </si>
  <si>
    <t>2262788930002656</t>
  </si>
  <si>
    <t>9780195063448</t>
  </si>
  <si>
    <t>32285005513410</t>
  </si>
  <si>
    <t>893248703</t>
  </si>
  <si>
    <t>RC473.M5 F75 1989</t>
  </si>
  <si>
    <t>0                      RC 0473000M  5                  F  75          1989</t>
  </si>
  <si>
    <t>Psychological assessment with the MMPI / Alan F. Friedman, James T. Webb, Richard Lewak.</t>
  </si>
  <si>
    <t>Friedman, Alan F.</t>
  </si>
  <si>
    <t>Hillsdale, N.J. : Lawrence Erlbaum Associates, 1989.</t>
  </si>
  <si>
    <t>2006-11-21</t>
  </si>
  <si>
    <t>2864201775:eng</t>
  </si>
  <si>
    <t>19723812</t>
  </si>
  <si>
    <t>991001491589702656</t>
  </si>
  <si>
    <t>2260481310002656</t>
  </si>
  <si>
    <t>9780805803105</t>
  </si>
  <si>
    <t>32285001195550</t>
  </si>
  <si>
    <t>893439172</t>
  </si>
  <si>
    <t>RC473.M5 F755 1989</t>
  </si>
  <si>
    <t>0                      RC 0473000M  5                  F  755         1989</t>
  </si>
  <si>
    <t>Workbook for Psychological assessment with the MMPI / Alan F. Friedman ... [et al.].</t>
  </si>
  <si>
    <t>2002-11-26</t>
  </si>
  <si>
    <t>3901179697:eng</t>
  </si>
  <si>
    <t>21422650</t>
  </si>
  <si>
    <t>991001689309702656</t>
  </si>
  <si>
    <t>2263885140002656</t>
  </si>
  <si>
    <t>9780805803112</t>
  </si>
  <si>
    <t>32285001195568</t>
  </si>
  <si>
    <t>893803806</t>
  </si>
  <si>
    <t>RC473.P79 D36 1993</t>
  </si>
  <si>
    <t>0                      RC 0473000P  79                 D  36          1993</t>
  </si>
  <si>
    <t>Multicultural assessment perspectives for professional psychology / Richard H. Dana.</t>
  </si>
  <si>
    <t>Dana, Richard H. (Richard Henry), 1927-</t>
  </si>
  <si>
    <t>1998-08-31</t>
  </si>
  <si>
    <t>1994-12-13</t>
  </si>
  <si>
    <t>28685706:eng</t>
  </si>
  <si>
    <t>25874389</t>
  </si>
  <si>
    <t>991002032889702656</t>
  </si>
  <si>
    <t>2267604060002656</t>
  </si>
  <si>
    <t>9780205140923</t>
  </si>
  <si>
    <t>32285001976728</t>
  </si>
  <si>
    <t>893603126</t>
  </si>
  <si>
    <t>RC473.R6 R67 1996</t>
  </si>
  <si>
    <t>0                      RC 0473000R  6                  R  67          1996</t>
  </si>
  <si>
    <t>Rorschach test : theory and practice / Rajendra K. Misra ... [et al.] ; with an introduction by Paul M. Lerner.</t>
  </si>
  <si>
    <t>New Delhi ; Thousand Oaks, Calif. : Sage Publications, 1996.</t>
  </si>
  <si>
    <t xml:space="preserve">ii </t>
  </si>
  <si>
    <t>2010-09-29</t>
  </si>
  <si>
    <t>1999-04-26</t>
  </si>
  <si>
    <t>836987882:eng</t>
  </si>
  <si>
    <t>35025848</t>
  </si>
  <si>
    <t>991002679819702656</t>
  </si>
  <si>
    <t>2265713410002656</t>
  </si>
  <si>
    <t>9780803993280</t>
  </si>
  <si>
    <t>32285003555298</t>
  </si>
  <si>
    <t>893710546</t>
  </si>
  <si>
    <t>RC473.T48 C73 1996</t>
  </si>
  <si>
    <t>0                      RC 0473000T  48                 C  73          1996</t>
  </si>
  <si>
    <t>Storytelling, narrative, and the thematic apperception test / Phebe Cramer.</t>
  </si>
  <si>
    <t>Cramer, Phebe.</t>
  </si>
  <si>
    <t>New York : The Guilford Press, c1996.</t>
  </si>
  <si>
    <t>Clinical psychology a guilford series</t>
  </si>
  <si>
    <t>2001-10-09</t>
  </si>
  <si>
    <t>1996-11-19</t>
  </si>
  <si>
    <t>9657933946:eng</t>
  </si>
  <si>
    <t>34411361</t>
  </si>
  <si>
    <t>991002625309702656</t>
  </si>
  <si>
    <t>2263137610002656</t>
  </si>
  <si>
    <t>9781572300941</t>
  </si>
  <si>
    <t>32285002374170</t>
  </si>
  <si>
    <t>893780023</t>
  </si>
  <si>
    <t>RC480 .B37</t>
  </si>
  <si>
    <t>0                      RC 0480000B  37</t>
  </si>
  <si>
    <t>Contemporary psychotherapies / Gary S. Belkin.</t>
  </si>
  <si>
    <t>Belkin, Gary S.</t>
  </si>
  <si>
    <t>Chicago : Rand McNally College Pub. Co., c1980.</t>
  </si>
  <si>
    <t>1994-11-16</t>
  </si>
  <si>
    <t>1990-07-18</t>
  </si>
  <si>
    <t>54384897:eng</t>
  </si>
  <si>
    <t>6448501</t>
  </si>
  <si>
    <t>991004971239702656</t>
  </si>
  <si>
    <t>2255277900002656</t>
  </si>
  <si>
    <t>9780528620706</t>
  </si>
  <si>
    <t>32285000239086</t>
  </si>
  <si>
    <t>893600435</t>
  </si>
  <si>
    <t>RC480 .B375</t>
  </si>
  <si>
    <t>0                      RC 0480000B  375</t>
  </si>
  <si>
    <t>Changing frontiers in the science of psychotherapy / [by] Allen E. Bergin [and] Hans H. Strupp.</t>
  </si>
  <si>
    <t>Bergin, Allen E., 1934-</t>
  </si>
  <si>
    <t>Chicago : Aldine·Atherton, [1972]</t>
  </si>
  <si>
    <t>Modern applications of psychology</t>
  </si>
  <si>
    <t>1997-03-17</t>
  </si>
  <si>
    <t>1994-11-28</t>
  </si>
  <si>
    <t>1484133:eng</t>
  </si>
  <si>
    <t>342987</t>
  </si>
  <si>
    <t>991002421479702656</t>
  </si>
  <si>
    <t>2266191980002656</t>
  </si>
  <si>
    <t>9780202260310</t>
  </si>
  <si>
    <t>32285001967479</t>
  </si>
  <si>
    <t>893239012</t>
  </si>
  <si>
    <t>RC480 .B67</t>
  </si>
  <si>
    <t>0                      RC 0480000B  67</t>
  </si>
  <si>
    <t>Approaches to counseling &amp; psychotherapy : a brief overview of issues, systems, and applications / Michael Braswell, Thomas Seay, Eugene Anderson.</t>
  </si>
  <si>
    <t>Braswell, Michael.</t>
  </si>
  <si>
    <t>Washington, D.C. : University Press of America, c1980.</t>
  </si>
  <si>
    <t>1999-05-02</t>
  </si>
  <si>
    <t>1780202994:eng</t>
  </si>
  <si>
    <t>5941018</t>
  </si>
  <si>
    <t>991004902049702656</t>
  </si>
  <si>
    <t>2270095190002656</t>
  </si>
  <si>
    <t>9780819109644</t>
  </si>
  <si>
    <t>32285000801984</t>
  </si>
  <si>
    <t>893412050</t>
  </si>
  <si>
    <t>RC480 .B7 1963</t>
  </si>
  <si>
    <t>0                      RC 0480000B  7           1963</t>
  </si>
  <si>
    <t>The mind of man : a history of psychotherapy and psychoanalysis / Walter Bromberg.</t>
  </si>
  <si>
    <t>Bromberg, Walter, 1900-2000.</t>
  </si>
  <si>
    <t>New York, Harper [1963, c1959]</t>
  </si>
  <si>
    <t>Harper colophon books</t>
  </si>
  <si>
    <t>288194638:eng</t>
  </si>
  <si>
    <t>840322</t>
  </si>
  <si>
    <t>991003387739702656</t>
  </si>
  <si>
    <t>2264368860002656</t>
  </si>
  <si>
    <t>32285001606242</t>
  </si>
  <si>
    <t>893881116</t>
  </si>
  <si>
    <t>RC480 .B75 1987</t>
  </si>
  <si>
    <t>0                      RC 0480000B  75          1987</t>
  </si>
  <si>
    <t>The art of the psychotherapist / James F.T. Bugental.</t>
  </si>
  <si>
    <t>Bugental, James F. T.</t>
  </si>
  <si>
    <t>New York : Norton, c1987.</t>
  </si>
  <si>
    <t>1996-11-14</t>
  </si>
  <si>
    <t>1993-03-31</t>
  </si>
  <si>
    <t>879822:eng</t>
  </si>
  <si>
    <t>14906030</t>
  </si>
  <si>
    <t>991000966059702656</t>
  </si>
  <si>
    <t>2267929660002656</t>
  </si>
  <si>
    <t>9780393700329</t>
  </si>
  <si>
    <t>32285001595353</t>
  </si>
  <si>
    <t>893784688</t>
  </si>
  <si>
    <t>RC480 .C3 1977</t>
  </si>
  <si>
    <t>0                      RC 0480000C  3           1977</t>
  </si>
  <si>
    <t>Beyond counseling and therapy / Robert R. Carkhuff, Bernard G. Berenson.</t>
  </si>
  <si>
    <t>Carkhuff, Robert R.</t>
  </si>
  <si>
    <t>New York : Holt, Rinehart and Winston, 1977.</t>
  </si>
  <si>
    <t>1993-05-30</t>
  </si>
  <si>
    <t>1332812:eng</t>
  </si>
  <si>
    <t>2225033</t>
  </si>
  <si>
    <t>991004055759702656</t>
  </si>
  <si>
    <t>2259209630002656</t>
  </si>
  <si>
    <t>9780030898129</t>
  </si>
  <si>
    <t>32285000232800</t>
  </si>
  <si>
    <t>893512751</t>
  </si>
  <si>
    <t>RC480 .C66 1979</t>
  </si>
  <si>
    <t>0                      RC 0480000C  66          1979</t>
  </si>
  <si>
    <t>Current psychotherapies / Raymond J. Corsini [editor] and contributors.</t>
  </si>
  <si>
    <t>Corsini, Raymond J.</t>
  </si>
  <si>
    <t>Itasca, Ill. : F. E. Peacock Publishers, c1979.</t>
  </si>
  <si>
    <t>2005-09-03</t>
  </si>
  <si>
    <t>1990-07-20</t>
  </si>
  <si>
    <t>510303653:eng</t>
  </si>
  <si>
    <t>4961148</t>
  </si>
  <si>
    <t>991004755649702656</t>
  </si>
  <si>
    <t>2255238790002656</t>
  </si>
  <si>
    <t>9780875812403</t>
  </si>
  <si>
    <t>32285000245935</t>
  </si>
  <si>
    <t>893353521</t>
  </si>
  <si>
    <t>RC480 .E37</t>
  </si>
  <si>
    <t>0                      RC 0480000E  37</t>
  </si>
  <si>
    <t>The psychotherapy maze : a consumer's guide to the ins and outs of therapy / Otto Ehrenberg and Miriam Ehrenberg.</t>
  </si>
  <si>
    <t>Ehrenberg, Otto.</t>
  </si>
  <si>
    <t>New York : Holt, Rinehart and Winston, c1977.</t>
  </si>
  <si>
    <t>1998-03-22</t>
  </si>
  <si>
    <t>1997-03-04</t>
  </si>
  <si>
    <t>836711436:eng</t>
  </si>
  <si>
    <t>2966301</t>
  </si>
  <si>
    <t>991004297919702656</t>
  </si>
  <si>
    <t>2267345500002656</t>
  </si>
  <si>
    <t>9780030168864</t>
  </si>
  <si>
    <t>32285002122298</t>
  </si>
  <si>
    <t>893687583</t>
  </si>
  <si>
    <t>RC480 .F58 1991</t>
  </si>
  <si>
    <t>0                      RC 0480000F  58          1991</t>
  </si>
  <si>
    <t>Five therapists and one client / Raymond J. Corsini and contributors.</t>
  </si>
  <si>
    <t>Itasca, Ill. : F.E. Peacock Publishers, c1991.</t>
  </si>
  <si>
    <t>1991-09-06</t>
  </si>
  <si>
    <t>26519944:eng</t>
  </si>
  <si>
    <t>24272814</t>
  </si>
  <si>
    <t>991001922669702656</t>
  </si>
  <si>
    <t>2264961160002656</t>
  </si>
  <si>
    <t>9780875813455</t>
  </si>
  <si>
    <t>32285000702521</t>
  </si>
  <si>
    <t>893426990</t>
  </si>
  <si>
    <t>RC480 .F6</t>
  </si>
  <si>
    <t>0                      RC 0480000F  6</t>
  </si>
  <si>
    <t>Systems of psychotherapy; a comparative study [by] Donald H. Ford and Hugh B. Urban.</t>
  </si>
  <si>
    <t>Ford, Donald H., 1926-</t>
  </si>
  <si>
    <t>New York, Wiley [1965, c1963]</t>
  </si>
  <si>
    <t>2007-10-02</t>
  </si>
  <si>
    <t>1799594:eng</t>
  </si>
  <si>
    <t>6412469</t>
  </si>
  <si>
    <t>991004977809702656</t>
  </si>
  <si>
    <t>2271143560002656</t>
  </si>
  <si>
    <t>32285003091039</t>
  </si>
  <si>
    <t>893230063</t>
  </si>
  <si>
    <t>RC480 .G53 1984</t>
  </si>
  <si>
    <t>0                      RC 0480000G  53          1984</t>
  </si>
  <si>
    <t>Theories and strategies in counseling and psychotherapy / Burl E. Gilliland ... [et al.].</t>
  </si>
  <si>
    <t>Englewood Cliffs, N.J. : Prentice-Hall, c1984.</t>
  </si>
  <si>
    <t>2007-01-09</t>
  </si>
  <si>
    <t>1992-08-05</t>
  </si>
  <si>
    <t>600779:eng</t>
  </si>
  <si>
    <t>9853250</t>
  </si>
  <si>
    <t>991000269619702656</t>
  </si>
  <si>
    <t>2264079940002656</t>
  </si>
  <si>
    <t>9780139135743</t>
  </si>
  <si>
    <t>32285001242477</t>
  </si>
  <si>
    <t>893790383</t>
  </si>
  <si>
    <t>RC480 .G783</t>
  </si>
  <si>
    <t>0                      RC 0480000G  783</t>
  </si>
  <si>
    <t>A guide for beginning psychotherapists / Joan S. Zaro ... [et al.].</t>
  </si>
  <si>
    <t>Cambridge ; New York : Cambridge University Press, 1977.</t>
  </si>
  <si>
    <t>1993-07-21</t>
  </si>
  <si>
    <t>54172144:eng</t>
  </si>
  <si>
    <t>3089139</t>
  </si>
  <si>
    <t>991004340839702656</t>
  </si>
  <si>
    <t>2262854240002656</t>
  </si>
  <si>
    <t>9780521216876</t>
  </si>
  <si>
    <t>32285001723948</t>
  </si>
  <si>
    <t>893337601</t>
  </si>
  <si>
    <t>RC480 .H26 1984</t>
  </si>
  <si>
    <t>0                      RC 0480000H  26          1984</t>
  </si>
  <si>
    <t>Ordeal therapy / Jay Haley.</t>
  </si>
  <si>
    <t>Haley, Jay, 1923-2007.</t>
  </si>
  <si>
    <t>San Francisco : Jossey-Bass, 1984.</t>
  </si>
  <si>
    <t>349914145:eng</t>
  </si>
  <si>
    <t>10349008</t>
  </si>
  <si>
    <t>991000358729702656</t>
  </si>
  <si>
    <t>2264168500002656</t>
  </si>
  <si>
    <t>9780875895956</t>
  </si>
  <si>
    <t>32285001606267</t>
  </si>
  <si>
    <t>893702036</t>
  </si>
  <si>
    <t>RC480 .H42</t>
  </si>
  <si>
    <t>0                      RC 0480000H  42</t>
  </si>
  <si>
    <t>Psychotherapy / [by] Ralph W. Heine.</t>
  </si>
  <si>
    <t>Heine, Ralph W.</t>
  </si>
  <si>
    <t>Englewood Cliffs, N.J. : Prentice-Hall, [1971]</t>
  </si>
  <si>
    <t>Lives in disorder series</t>
  </si>
  <si>
    <t>1996-11-10</t>
  </si>
  <si>
    <t>1992-11-02</t>
  </si>
  <si>
    <t>1224854:eng</t>
  </si>
  <si>
    <t>111225</t>
  </si>
  <si>
    <t>991000647049702656</t>
  </si>
  <si>
    <t>2268788970002656</t>
  </si>
  <si>
    <t>9780137368013</t>
  </si>
  <si>
    <t>32285001379352</t>
  </si>
  <si>
    <t>893620664</t>
  </si>
  <si>
    <t>RC480 .H83</t>
  </si>
  <si>
    <t>0                      RC 0480000H  83</t>
  </si>
  <si>
    <t>Goals and behavior in psychotherapy and counseling : readings and questions / edited by Jack T. Huber [and] Howard L. Millman.</t>
  </si>
  <si>
    <t>Huber, Jack T. compiler.</t>
  </si>
  <si>
    <t>Columbus, Ohio : C.E. Merrill Pub. Co., [1972]</t>
  </si>
  <si>
    <t>Studies of the person</t>
  </si>
  <si>
    <t>1994-12-12</t>
  </si>
  <si>
    <t>821338037:eng</t>
  </si>
  <si>
    <t>340922</t>
  </si>
  <si>
    <t>991002413839702656</t>
  </si>
  <si>
    <t>2262978720002656</t>
  </si>
  <si>
    <t>9780675090926</t>
  </si>
  <si>
    <t>32285001981314</t>
  </si>
  <si>
    <t>893773599</t>
  </si>
  <si>
    <t>RC480 .I59</t>
  </si>
  <si>
    <t>0                      RC 0480000I  59</t>
  </si>
  <si>
    <t>An introduction to the psychotherapies / edited by Sidney Bloch.</t>
  </si>
  <si>
    <t>Oxford ; New York : Oxford University Press, 1979.</t>
  </si>
  <si>
    <t>1997-03-27</t>
  </si>
  <si>
    <t>54292563:eng</t>
  </si>
  <si>
    <t>4952541</t>
  </si>
  <si>
    <t>991004753499702656</t>
  </si>
  <si>
    <t>2258770170002656</t>
  </si>
  <si>
    <t>9780192611871</t>
  </si>
  <si>
    <t>32285001606275</t>
  </si>
  <si>
    <t>893870071</t>
  </si>
  <si>
    <t>RC480 .K24 1965</t>
  </si>
  <si>
    <t>0                      RC 0480000K  24          1965</t>
  </si>
  <si>
    <t>Effective psychotherapy : the contribution of Hellmuth Kaiser / edited by Louis B. Fierman.</t>
  </si>
  <si>
    <t>Kaiser, Hellmuth.</t>
  </si>
  <si>
    <t>New York : Free Press, [1965]</t>
  </si>
  <si>
    <t>1997-03-15</t>
  </si>
  <si>
    <t>1993-02-10</t>
  </si>
  <si>
    <t>3860194105:eng</t>
  </si>
  <si>
    <t>992840</t>
  </si>
  <si>
    <t>991005318129702656</t>
  </si>
  <si>
    <t>2254725830002656</t>
  </si>
  <si>
    <t>32285001509156</t>
  </si>
  <si>
    <t>893431224</t>
  </si>
  <si>
    <t>RC480 .L39</t>
  </si>
  <si>
    <t>0                      RC 0480000L  39</t>
  </si>
  <si>
    <t>The practice of multimodal therapy : systematic, comprehensive, and effective psychotherapy / Arnold A. Lazarus.</t>
  </si>
  <si>
    <t>Lazarus, Arnold A.</t>
  </si>
  <si>
    <t>2010-08-10</t>
  </si>
  <si>
    <t>1990-07-13</t>
  </si>
  <si>
    <t>803414982:eng</t>
  </si>
  <si>
    <t>7206812</t>
  </si>
  <si>
    <t>991005090169702656</t>
  </si>
  <si>
    <t>2266088610002656</t>
  </si>
  <si>
    <t>9780070368132</t>
  </si>
  <si>
    <t>32285000237072</t>
  </si>
  <si>
    <t>893443381</t>
  </si>
  <si>
    <t>RC480 .M36</t>
  </si>
  <si>
    <t>0                      RC 0480000M  36</t>
  </si>
  <si>
    <t>Introduction to psychotherapy / [by] David G. Martin.</t>
  </si>
  <si>
    <t>Martin, David G., 1939-</t>
  </si>
  <si>
    <t>Belmont, Calif. : Brooks/Cole Pub. Co., [1971]</t>
  </si>
  <si>
    <t>1997-03-13</t>
  </si>
  <si>
    <t>3943285578:eng</t>
  </si>
  <si>
    <t>142795</t>
  </si>
  <si>
    <t>991000816589702656</t>
  </si>
  <si>
    <t>2255195320002656</t>
  </si>
  <si>
    <t>9780818500107</t>
  </si>
  <si>
    <t>32285001981306</t>
  </si>
  <si>
    <t>893346001</t>
  </si>
  <si>
    <t>RC480 .N54</t>
  </si>
  <si>
    <t>0                      RC 0480000N  54</t>
  </si>
  <si>
    <t>Techniques for behavior change : applications of Adlerian theory / compiled and edited by Arthur G. Nikelly. Foreword by Alexandra Adler. Epilogue by Rudolf Dreikurs.</t>
  </si>
  <si>
    <t>Nikelly, Arthur G., compiler.</t>
  </si>
  <si>
    <t>Springfield, Ill. : Thomas, [1976, c1971]</t>
  </si>
  <si>
    <t>2006-01-13</t>
  </si>
  <si>
    <t>1991-01-11</t>
  </si>
  <si>
    <t>376227181:eng</t>
  </si>
  <si>
    <t>126429</t>
  </si>
  <si>
    <t>991000719819702656</t>
  </si>
  <si>
    <t>2258390260002656</t>
  </si>
  <si>
    <t>32285000427970</t>
  </si>
  <si>
    <t>893243513</t>
  </si>
  <si>
    <t>RC480 .P818</t>
  </si>
  <si>
    <t>0                      RC 0480000P  818</t>
  </si>
  <si>
    <t>Psychotherapies : a comparative casebook / edited by Stephen J. Morse and Robert I. Watson, Jr.</t>
  </si>
  <si>
    <t>905885184:eng</t>
  </si>
  <si>
    <t>2881325</t>
  </si>
  <si>
    <t>991004272219702656</t>
  </si>
  <si>
    <t>2269838270002656</t>
  </si>
  <si>
    <t>9780030178269</t>
  </si>
  <si>
    <t>32285001963809</t>
  </si>
  <si>
    <t>893500361</t>
  </si>
  <si>
    <t>RC480 .R33 1980</t>
  </si>
  <si>
    <t>0                      RC 0480000R  33          1980</t>
  </si>
  <si>
    <t>The effects of psychological therapy / by S. J. Rachman and G. T. Wilson.</t>
  </si>
  <si>
    <t>Rachman, Stanley.</t>
  </si>
  <si>
    <t>Oxford ; New York : Pergamon Press, c1980.</t>
  </si>
  <si>
    <t>2d enl. ed.</t>
  </si>
  <si>
    <t>International series in experimental psychology ; v. 24</t>
  </si>
  <si>
    <t>1992-06-15</t>
  </si>
  <si>
    <t>3901242256:eng</t>
  </si>
  <si>
    <t>6249834</t>
  </si>
  <si>
    <t>991004950959702656</t>
  </si>
  <si>
    <t>2263069520002656</t>
  </si>
  <si>
    <t>9780080246741</t>
  </si>
  <si>
    <t>32285001099448</t>
  </si>
  <si>
    <t>893612955</t>
  </si>
  <si>
    <t>RC480 .R395 2000</t>
  </si>
  <si>
    <t>0                      RC 0480000R  395         2000</t>
  </si>
  <si>
    <t>Reconciling empirical knowledge and clinical experience : the art and science of psychotherapy / edited by Stephen Soldz and Leigh McCullough.</t>
  </si>
  <si>
    <t>Washington, DC : American Psychological Association, c2000.</t>
  </si>
  <si>
    <t>933438398:eng</t>
  </si>
  <si>
    <t>41528047</t>
  </si>
  <si>
    <t>991004265709702656</t>
  </si>
  <si>
    <t>2259850820002656</t>
  </si>
  <si>
    <t>9781557986030</t>
  </si>
  <si>
    <t>32285004900899</t>
  </si>
  <si>
    <t>893806855</t>
  </si>
  <si>
    <t>RC480 .S343 1986</t>
  </si>
  <si>
    <t>0                      RC 0480000S  343         1986</t>
  </si>
  <si>
    <t>Paradoxical strategies in psychotherapy : a comprehensive overview and guidebook / Leon F. Seltzer.</t>
  </si>
  <si>
    <t>Seltzer, Leon F., 1940-</t>
  </si>
  <si>
    <t>New York : Wiley, c1986.</t>
  </si>
  <si>
    <t>5211911:eng</t>
  </si>
  <si>
    <t>12189592</t>
  </si>
  <si>
    <t>991000653649702656</t>
  </si>
  <si>
    <t>2255342570002656</t>
  </si>
  <si>
    <t>9780471826613</t>
  </si>
  <si>
    <t>32285001606325</t>
  </si>
  <si>
    <t>893327472</t>
  </si>
  <si>
    <t>RC480 .S355 2000</t>
  </si>
  <si>
    <t>0                      RC 0480000S  355         2000</t>
  </si>
  <si>
    <t>Theories of psychotherapy &amp; counseling : concepts and cases / Richard S. Sharf.</t>
  </si>
  <si>
    <t>Sharf, Richard S.</t>
  </si>
  <si>
    <t>Australia ; Belmont, CA : Brooks/Cole, c2000.</t>
  </si>
  <si>
    <t>2000-09-18</t>
  </si>
  <si>
    <t>3753454228:eng</t>
  </si>
  <si>
    <t>41355631</t>
  </si>
  <si>
    <t>991003289459702656</t>
  </si>
  <si>
    <t>2266732600002656</t>
  </si>
  <si>
    <t>9780534364854</t>
  </si>
  <si>
    <t>32285003762811</t>
  </si>
  <si>
    <t>893234010</t>
  </si>
  <si>
    <t>RC480 .T445 1976</t>
  </si>
  <si>
    <t>0                      RC 0480000T  445         1976</t>
  </si>
  <si>
    <t>The Therapist's handbook : treatment methods of mental disorders / edited by Benjamin B. Wolman, in collaboration with Richard Abrams ... [et al.] ; foreword by Bertram S. Brown.</t>
  </si>
  <si>
    <t>New York : Van Nostrand Reinhold, c1976</t>
  </si>
  <si>
    <t>2009-06-02</t>
  </si>
  <si>
    <t>822037337:eng</t>
  </si>
  <si>
    <t>1987232</t>
  </si>
  <si>
    <t>991003967149702656</t>
  </si>
  <si>
    <t>2266553130002656</t>
  </si>
  <si>
    <t>9780442295707</t>
  </si>
  <si>
    <t>32285003091179</t>
  </si>
  <si>
    <t>893417055</t>
  </si>
  <si>
    <t>RC480 .T66</t>
  </si>
  <si>
    <t>0                      RC 0480000T  66</t>
  </si>
  <si>
    <t>The mind game; witchdoctors and psychiatrists [by] E. Fuller Torrey.</t>
  </si>
  <si>
    <t>New York, Emerson Hall Publishers [1972]</t>
  </si>
  <si>
    <t>2010-09-10</t>
  </si>
  <si>
    <t>1490544:eng</t>
  </si>
  <si>
    <t>417939</t>
  </si>
  <si>
    <t>991005319179702656</t>
  </si>
  <si>
    <t>2258358100002656</t>
  </si>
  <si>
    <t>9780878290024</t>
  </si>
  <si>
    <t>32285003091187</t>
  </si>
  <si>
    <t>893230527</t>
  </si>
  <si>
    <t>RC480 .W373</t>
  </si>
  <si>
    <t>0                      RC 0480000W  373</t>
  </si>
  <si>
    <t>Principles of psychotherapy / Irving B. Weiner.</t>
  </si>
  <si>
    <t>Weiner, Irving B.</t>
  </si>
  <si>
    <t>2010-04-03</t>
  </si>
  <si>
    <t>549410:eng</t>
  </si>
  <si>
    <t>1103191</t>
  </si>
  <si>
    <t>991003538069702656</t>
  </si>
  <si>
    <t>2267385760002656</t>
  </si>
  <si>
    <t>9780471925699</t>
  </si>
  <si>
    <t>32285003091195</t>
  </si>
  <si>
    <t>893512058</t>
  </si>
  <si>
    <t>RC480.5 .A36 1974</t>
  </si>
  <si>
    <t>0                      RC 0480500A  36          1974</t>
  </si>
  <si>
    <t>Crisis intervention : theory and methodology / [by] Donna C. Aguilera [and] Janice M. Messick.</t>
  </si>
  <si>
    <t>St. Louis : Mosby, 1974.</t>
  </si>
  <si>
    <t>1288916:eng</t>
  </si>
  <si>
    <t>896498</t>
  </si>
  <si>
    <t>991003360219702656</t>
  </si>
  <si>
    <t>2261360960002656</t>
  </si>
  <si>
    <t>9780801600937</t>
  </si>
  <si>
    <t>32285002061363</t>
  </si>
  <si>
    <t>893228001</t>
  </si>
  <si>
    <t>RC480.5 .B46</t>
  </si>
  <si>
    <t>0                      RC 0480500B  46</t>
  </si>
  <si>
    <t>Progressive relaxation training : a manual for the helping professions / [by] Douglas A. Bernstein [and] Thomas D. Borkovec. Foreword by Leonard P. Ullmann.</t>
  </si>
  <si>
    <t>Bernstein, Douglas A.</t>
  </si>
  <si>
    <t>Champaign, Ill., Research Press [1973]</t>
  </si>
  <si>
    <t>1996-03-31</t>
  </si>
  <si>
    <t>537806:eng</t>
  </si>
  <si>
    <t>798315</t>
  </si>
  <si>
    <t>991003273399702656</t>
  </si>
  <si>
    <t>2261261760002656</t>
  </si>
  <si>
    <t>9780878221042</t>
  </si>
  <si>
    <t>32285000974609</t>
  </si>
  <si>
    <t>893336323</t>
  </si>
  <si>
    <t>RC480.5 .B6 1972</t>
  </si>
  <si>
    <t>0                      RC 0480500B  6           1972</t>
  </si>
  <si>
    <t>Moral treatment in community mental health, by J. Sanbourne Bockoven.</t>
  </si>
  <si>
    <t>Bockoven, J. Sanbourne, 1915-</t>
  </si>
  <si>
    <t>New York, Springer Pub. Co. [1972]</t>
  </si>
  <si>
    <t>1407861:eng</t>
  </si>
  <si>
    <t>323721</t>
  </si>
  <si>
    <t>991002342119702656</t>
  </si>
  <si>
    <t>2256531260002656</t>
  </si>
  <si>
    <t>9780826112804</t>
  </si>
  <si>
    <t>32285003091252</t>
  </si>
  <si>
    <t>893341319</t>
  </si>
  <si>
    <t>RC480.5 .B76</t>
  </si>
  <si>
    <t>0                      RC 0480500B  76</t>
  </si>
  <si>
    <t>Introduction to psychotherapy : an outline of psychodynamic principles and practice / Dennis Brown and Jonathan Pedder.</t>
  </si>
  <si>
    <t>Brown, Dennis.</t>
  </si>
  <si>
    <t>London : Tavistock Publications, 1979.</t>
  </si>
  <si>
    <t>1993-11-04</t>
  </si>
  <si>
    <t>20347359:eng</t>
  </si>
  <si>
    <t>5900901</t>
  </si>
  <si>
    <t>991004897969702656</t>
  </si>
  <si>
    <t>2255205540002656</t>
  </si>
  <si>
    <t>9780422766708</t>
  </si>
  <si>
    <t>32285001606366</t>
  </si>
  <si>
    <t>893513781</t>
  </si>
  <si>
    <t>RC480.5 .B764</t>
  </si>
  <si>
    <t>0                      RC 0480500B  764</t>
  </si>
  <si>
    <t>Learning psychotherapy : rationale and ground rules / Hilde Bruch.</t>
  </si>
  <si>
    <t>Bruch, Hilde, 1904-1984.</t>
  </si>
  <si>
    <t>Cambridge : Harvard University Press, 1974.</t>
  </si>
  <si>
    <t>308873741:eng</t>
  </si>
  <si>
    <t>1239862</t>
  </si>
  <si>
    <t>991005245599702656</t>
  </si>
  <si>
    <t>2266326450002656</t>
  </si>
  <si>
    <t>9780674520257</t>
  </si>
  <si>
    <t>32285003658480</t>
  </si>
  <si>
    <t>893688828</t>
  </si>
  <si>
    <t>RC480.5 .B78</t>
  </si>
  <si>
    <t>0                      RC 0480500B  78</t>
  </si>
  <si>
    <t>The search for authenticity; an existential-analytic approach to psychotherapy [by] J. F. T. Bugental.</t>
  </si>
  <si>
    <t>New York, Holt, Rinehart and Winston [1965]</t>
  </si>
  <si>
    <t>2006-04-05</t>
  </si>
  <si>
    <t>1919498:eng</t>
  </si>
  <si>
    <t>965351</t>
  </si>
  <si>
    <t>991003429949702656</t>
  </si>
  <si>
    <t>2258329650002656</t>
  </si>
  <si>
    <t>32285003091278</t>
  </si>
  <si>
    <t>893887451</t>
  </si>
  <si>
    <t>RC480.5 .C455</t>
  </si>
  <si>
    <t>0                      RC 0480500C  455</t>
  </si>
  <si>
    <t>Assertive black, puzzled white / by Donald K. Cheek ; foreword by Kenneth Clark.</t>
  </si>
  <si>
    <t>Cheek, Donald K.</t>
  </si>
  <si>
    <t>San Luis Obispo, Calif. : Impact Publishers, c1976.</t>
  </si>
  <si>
    <t>1996-11-13</t>
  </si>
  <si>
    <t>1992-12-04</t>
  </si>
  <si>
    <t>559783:eng</t>
  </si>
  <si>
    <t>2827250</t>
  </si>
  <si>
    <t>991004256539702656</t>
  </si>
  <si>
    <t>2256618060002656</t>
  </si>
  <si>
    <t>9780915166329</t>
  </si>
  <si>
    <t>32285001412625</t>
  </si>
  <si>
    <t>893325131</t>
  </si>
  <si>
    <t>RC480.5 .C67</t>
  </si>
  <si>
    <t>0                      RC 0480500C  67</t>
  </si>
  <si>
    <t>Crisis intervention and counseling by telephone, edited by David Lester and Gene W. Brockopp.</t>
  </si>
  <si>
    <t>2000-12-13</t>
  </si>
  <si>
    <t>471373:eng</t>
  </si>
  <si>
    <t>722849</t>
  </si>
  <si>
    <t>991003197949702656</t>
  </si>
  <si>
    <t>2256841410002656</t>
  </si>
  <si>
    <t>9780398026417</t>
  </si>
  <si>
    <t>32285003091294</t>
  </si>
  <si>
    <t>893511665</t>
  </si>
  <si>
    <t>RC480.5 .D38 1994</t>
  </si>
  <si>
    <t>0                      RC 0480500D  38          1994</t>
  </si>
  <si>
    <t>House of cards : psychology and psychotherapy built on myth / Robyn M. Dawes.</t>
  </si>
  <si>
    <t>Dawes, Robyn M., 1936-2010.</t>
  </si>
  <si>
    <t>New York : Free Press ; Toronto : Maxwell Macmillan Canada ; New York : Maxwell Macmillan International, c1994.</t>
  </si>
  <si>
    <t>1999-01-13</t>
  </si>
  <si>
    <t>1995-04-24</t>
  </si>
  <si>
    <t>836924838:eng</t>
  </si>
  <si>
    <t>28675086</t>
  </si>
  <si>
    <t>991002225859702656</t>
  </si>
  <si>
    <t>2271124660002656</t>
  </si>
  <si>
    <t>9780029072059</t>
  </si>
  <si>
    <t>32285002035334</t>
  </si>
  <si>
    <t>893341181</t>
  </si>
  <si>
    <t>RC480.5 .D58 1984</t>
  </si>
  <si>
    <t>0                      RC 0480500D  58          1984</t>
  </si>
  <si>
    <t>Does psychotherapy really help people? / edited by Jusuf Hariman.</t>
  </si>
  <si>
    <t>Springfield, Ill. : C.C. Thomas, c1984.</t>
  </si>
  <si>
    <t>2004-02-26</t>
  </si>
  <si>
    <t>3464473:eng</t>
  </si>
  <si>
    <t>10432474</t>
  </si>
  <si>
    <t>991000372189702656</t>
  </si>
  <si>
    <t>2262813480002656</t>
  </si>
  <si>
    <t>9780398050023</t>
  </si>
  <si>
    <t>32285001606374</t>
  </si>
  <si>
    <t>893689640</t>
  </si>
  <si>
    <t>RC480.5 .E423</t>
  </si>
  <si>
    <t>0                      RC 0480500E  423</t>
  </si>
  <si>
    <t>Reason and emotion in psychotherapy.</t>
  </si>
  <si>
    <t>Ellis, Albert, 1913-2007.</t>
  </si>
  <si>
    <t>New York, L. Stuart [1962]</t>
  </si>
  <si>
    <t>1962</t>
  </si>
  <si>
    <t>2008-04-22</t>
  </si>
  <si>
    <t>60674583:eng</t>
  </si>
  <si>
    <t>191004</t>
  </si>
  <si>
    <t>991001189369702656</t>
  </si>
  <si>
    <t>2259149440002656</t>
  </si>
  <si>
    <t>32285003091310</t>
  </si>
  <si>
    <t>893791251</t>
  </si>
  <si>
    <t>RC480.5 .F25</t>
  </si>
  <si>
    <t>0                      RC 0480500F  25</t>
  </si>
  <si>
    <t>The pursuit of meaning; logotherapy applied to life [by] Joseph B. Fabry.</t>
  </si>
  <si>
    <t>Fabry, Joseph B.</t>
  </si>
  <si>
    <t>Boston, Beacon Press [1968]</t>
  </si>
  <si>
    <t>2003-03-01</t>
  </si>
  <si>
    <t>1346470:eng</t>
  </si>
  <si>
    <t>302258</t>
  </si>
  <si>
    <t>991002257309702656</t>
  </si>
  <si>
    <t>2272132100002656</t>
  </si>
  <si>
    <t>32285003091336</t>
  </si>
  <si>
    <t>893785914</t>
  </si>
  <si>
    <t>RC480.5 .F325 2005</t>
  </si>
  <si>
    <t>0                      RC 0480500F  325         2005</t>
  </si>
  <si>
    <t>Personality-guided behavior therapy / Richard F. Farmer, Rosmery [i.e. Rosemery] O. Nelson-Gray.</t>
  </si>
  <si>
    <t>Farmer, Richard F.</t>
  </si>
  <si>
    <t>2007-03-26</t>
  </si>
  <si>
    <t>949153:eng</t>
  </si>
  <si>
    <t>57123773</t>
  </si>
  <si>
    <t>991005052819702656</t>
  </si>
  <si>
    <t>2269210210002656</t>
  </si>
  <si>
    <t>9781591472728</t>
  </si>
  <si>
    <t>32285005282990</t>
  </si>
  <si>
    <t>893810814</t>
  </si>
  <si>
    <t>RC480.5 .F53</t>
  </si>
  <si>
    <t>0                      RC 0480500F  53</t>
  </si>
  <si>
    <t>Basic psychological therapies : comparative effectiveness / A. James Fix, E. A. Haffke.</t>
  </si>
  <si>
    <t>Fix, A. James.</t>
  </si>
  <si>
    <t>New York : Human Sciences Press, c1976.</t>
  </si>
  <si>
    <t>Psychotherapy series</t>
  </si>
  <si>
    <t>423209863:eng</t>
  </si>
  <si>
    <t>1957977</t>
  </si>
  <si>
    <t>991003950669702656</t>
  </si>
  <si>
    <t>2264665760002656</t>
  </si>
  <si>
    <t>9780877052371</t>
  </si>
  <si>
    <t>32285003091344</t>
  </si>
  <si>
    <t>893410932</t>
  </si>
  <si>
    <t>RC480.5 .F713 1965</t>
  </si>
  <si>
    <t>0                      RC 0480500F  713         1965</t>
  </si>
  <si>
    <t>The doctor and the soul : from psychotherapy to logotherapy / by Viktor E. Frankl ; translated from the German by Richard and Clara Winston.</t>
  </si>
  <si>
    <t>Frankl, Viktor E. (Viktor Emil), 1905-1997.</t>
  </si>
  <si>
    <t>New York : A. A. Knopf, 1965.</t>
  </si>
  <si>
    <t>2nd expanded ed. : with revisions and an added chapter written in English by the author.</t>
  </si>
  <si>
    <t>2010-10-18</t>
  </si>
  <si>
    <t>1990-07-27</t>
  </si>
  <si>
    <t>346538580:eng</t>
  </si>
  <si>
    <t>2632039</t>
  </si>
  <si>
    <t>991005318039702656</t>
  </si>
  <si>
    <t>2257079150002656</t>
  </si>
  <si>
    <t>32285000023589</t>
  </si>
  <si>
    <t>893443757</t>
  </si>
  <si>
    <t>RC480.5 .F73 1967</t>
  </si>
  <si>
    <t>0                      RC 0480500F  73          1967</t>
  </si>
  <si>
    <t>Psychotherapy and existentialism : selected papers on logotherapy / by Viktor E. Frankl, with contributions by James C. Crumbaugh, Hans O. Gerz [and] Leonard T. Maholick.</t>
  </si>
  <si>
    <t>New York : Simon and Schuster, [1967]</t>
  </si>
  <si>
    <t>2009-06-26</t>
  </si>
  <si>
    <t>198151938:eng</t>
  </si>
  <si>
    <t>860501</t>
  </si>
  <si>
    <t>991003330239702656</t>
  </si>
  <si>
    <t>2260829080002656</t>
  </si>
  <si>
    <t>32285000884618</t>
  </si>
  <si>
    <t>893511842</t>
  </si>
  <si>
    <t>RC480.5 .F74 1969a</t>
  </si>
  <si>
    <t>0                      RC 0480500F  74          1969a</t>
  </si>
  <si>
    <t>The will to meaning : foundations and applications of logotherapy / Viktor E. Frankl.</t>
  </si>
  <si>
    <t>New York : New American Library, 1969.</t>
  </si>
  <si>
    <t>2010-04-28</t>
  </si>
  <si>
    <t>1994-08-23</t>
  </si>
  <si>
    <t>197789857:eng</t>
  </si>
  <si>
    <t>1037976</t>
  </si>
  <si>
    <t>991001446629702656</t>
  </si>
  <si>
    <t>2259549230002656</t>
  </si>
  <si>
    <t>32285001938397</t>
  </si>
  <si>
    <t>893891580</t>
  </si>
  <si>
    <t>RC480.5 .F75</t>
  </si>
  <si>
    <t>0                      RC 0480500F  75</t>
  </si>
  <si>
    <t>The courage to change : from insight to self-innovation / by Edrita Fried.</t>
  </si>
  <si>
    <t>Fried, Edrita.</t>
  </si>
  <si>
    <t>2006-09-17</t>
  </si>
  <si>
    <t>460980:eng</t>
  </si>
  <si>
    <t>5777071</t>
  </si>
  <si>
    <t>991004873689702656</t>
  </si>
  <si>
    <t>2256268170002656</t>
  </si>
  <si>
    <t>9780876302132</t>
  </si>
  <si>
    <t>32285001606408</t>
  </si>
  <si>
    <t>893706943</t>
  </si>
  <si>
    <t>RC480.5 .G64</t>
  </si>
  <si>
    <t>0                      RC 0480500G  64</t>
  </si>
  <si>
    <t>How to do psychotherapy and how to evaluate it : a manual for beginners / [by] John Mordechai Gottman [and] Sandra Risa Leiblum. With pref. by Leonard Ullmann.</t>
  </si>
  <si>
    <t>Gottman, John Mordechai.</t>
  </si>
  <si>
    <t>New York : Holt, Rinehart and Winston, [1974]</t>
  </si>
  <si>
    <t>The Person in psychology series</t>
  </si>
  <si>
    <t>1993-12-14</t>
  </si>
  <si>
    <t>196543179:eng</t>
  </si>
  <si>
    <t>704990</t>
  </si>
  <si>
    <t>991003168019702656</t>
  </si>
  <si>
    <t>2259223610002656</t>
  </si>
  <si>
    <t>9780030076510</t>
  </si>
  <si>
    <t>32285001808285</t>
  </si>
  <si>
    <t>893336207</t>
  </si>
  <si>
    <t>RC480.5 .H25</t>
  </si>
  <si>
    <t>0                      RC 0480500H  25</t>
  </si>
  <si>
    <t>Strategies of psychotherapy.</t>
  </si>
  <si>
    <t>New York, Grune &amp; Stratton, 1963.</t>
  </si>
  <si>
    <t>2002-11-11</t>
  </si>
  <si>
    <t>304455656:eng</t>
  </si>
  <si>
    <t>381451</t>
  </si>
  <si>
    <t>991005318029702656</t>
  </si>
  <si>
    <t>2259923690002656</t>
  </si>
  <si>
    <t>9780931513060</t>
  </si>
  <si>
    <t>32285003091377</t>
  </si>
  <si>
    <t>893412662</t>
  </si>
  <si>
    <t>RC480.5 .H38 1995</t>
  </si>
  <si>
    <t>0                      RC 0480500H  38          1995</t>
  </si>
  <si>
    <t>Self-narratives : the construction of meaning in psychotherapy / Hubert J.M. Hermans, Els Hermans-Jansen.</t>
  </si>
  <si>
    <t>Hermans, H. J. M.</t>
  </si>
  <si>
    <t>New York : Guilford Press, c1995.</t>
  </si>
  <si>
    <t>867371916:eng</t>
  </si>
  <si>
    <t>32205638</t>
  </si>
  <si>
    <t>991002474149702656</t>
  </si>
  <si>
    <t>2270026020002656</t>
  </si>
  <si>
    <t>9780898628784</t>
  </si>
  <si>
    <t>32285002366895</t>
  </si>
  <si>
    <t>893609902</t>
  </si>
  <si>
    <t>RC480.5 .H54</t>
  </si>
  <si>
    <t>0                      RC 0480500H  54</t>
  </si>
  <si>
    <t>The History of psychotherapy : from healing magic to encounter / edited by Jan Ehrenwald.</t>
  </si>
  <si>
    <t>New York : J. Aronson, c1976.</t>
  </si>
  <si>
    <t>55797945:eng</t>
  </si>
  <si>
    <t>6864086</t>
  </si>
  <si>
    <t>991005050039702656</t>
  </si>
  <si>
    <t>2269509810002656</t>
  </si>
  <si>
    <t>9780876682807</t>
  </si>
  <si>
    <t>32285001910701</t>
  </si>
  <si>
    <t>893889603</t>
  </si>
  <si>
    <t>RC480.5 .H69 1987</t>
  </si>
  <si>
    <t>0                      RC 0480500H  69          1987</t>
  </si>
  <si>
    <t>Adaptive counseling and therapy : a systematic approach to selecting effective treatments / George S. Howard, Don W. Nance, Pennie Myers.</t>
  </si>
  <si>
    <t>Howard, George S.</t>
  </si>
  <si>
    <t>San Francisco : Jossey-Bass, 1987.</t>
  </si>
  <si>
    <t>2007-01-30</t>
  </si>
  <si>
    <t>1990-04-17</t>
  </si>
  <si>
    <t>836703632:eng</t>
  </si>
  <si>
    <t>15107969</t>
  </si>
  <si>
    <t>991000991109702656</t>
  </si>
  <si>
    <t>2266694880002656</t>
  </si>
  <si>
    <t>9781555420383</t>
  </si>
  <si>
    <t>32285000121516</t>
  </si>
  <si>
    <t>893690227</t>
  </si>
  <si>
    <t>RC480.5 .K4</t>
  </si>
  <si>
    <t>0                      RC 0480500K  4</t>
  </si>
  <si>
    <t>Please understand me : an essay on temperament styles / David Keirsey, Marilyn Bates.</t>
  </si>
  <si>
    <t>Keirsey, David.</t>
  </si>
  <si>
    <t>Del Mar, CA : Promethean Books, 1978.</t>
  </si>
  <si>
    <t>2010-10-24</t>
  </si>
  <si>
    <t>1992-12-08</t>
  </si>
  <si>
    <t>4600097:eng</t>
  </si>
  <si>
    <t>6296543</t>
  </si>
  <si>
    <t>991004958719702656</t>
  </si>
  <si>
    <t>2269327410002656</t>
  </si>
  <si>
    <t>9780935652024</t>
  </si>
  <si>
    <t>32285004388566</t>
  </si>
  <si>
    <t>893719599</t>
  </si>
  <si>
    <t>RC480.5 .L45 1987</t>
  </si>
  <si>
    <t>0                      RC 0480500L  45          1987</t>
  </si>
  <si>
    <t>Psychotherapy : the listening voice : Rogers and Erickson / Richard A. Leva.</t>
  </si>
  <si>
    <t>Leva, Richard A., 1936-</t>
  </si>
  <si>
    <t>Muncie, Ind. : Accelerated Development, c1987.</t>
  </si>
  <si>
    <t>2003-09-10</t>
  </si>
  <si>
    <t>15714236:eng</t>
  </si>
  <si>
    <t>17369820</t>
  </si>
  <si>
    <t>991001208409702656</t>
  </si>
  <si>
    <t>2267644140002656</t>
  </si>
  <si>
    <t>9780915202683</t>
  </si>
  <si>
    <t>32285000191501</t>
  </si>
  <si>
    <t>893590110</t>
  </si>
  <si>
    <t>RC480.5 .L58</t>
  </si>
  <si>
    <t>0                      RC 0480500L  58</t>
  </si>
  <si>
    <t>Three psychotherapies : a clinical comparison / [edited] by Clemens A. Loew, Henry Grayson, and Gloria Heiman Loew ; with contributions by Yael Danieli ... [et al.].</t>
  </si>
  <si>
    <t>Loew, Clemens A., 1937-</t>
  </si>
  <si>
    <t>New York : Brunner/Mazel, [1975]</t>
  </si>
  <si>
    <t>2025811:eng</t>
  </si>
  <si>
    <t>1121310</t>
  </si>
  <si>
    <t>991005319089702656</t>
  </si>
  <si>
    <t>2268438870002656</t>
  </si>
  <si>
    <t>9780876300985</t>
  </si>
  <si>
    <t>32285001575736</t>
  </si>
  <si>
    <t>893613506</t>
  </si>
  <si>
    <t>RC480.5 .L593 1986</t>
  </si>
  <si>
    <t>0                      RC 0480500L  593         1986</t>
  </si>
  <si>
    <t>The modes and morals of psychotherapy / Perry London.</t>
  </si>
  <si>
    <t>Washington : Hemisphere Pub. Corp., c1986.</t>
  </si>
  <si>
    <t>The series in clinical and community psychology</t>
  </si>
  <si>
    <t>1993-08-20</t>
  </si>
  <si>
    <t>1332169:eng</t>
  </si>
  <si>
    <t>11621834</t>
  </si>
  <si>
    <t>991000565549702656</t>
  </si>
  <si>
    <t>2263352310002656</t>
  </si>
  <si>
    <t>9780891162902</t>
  </si>
  <si>
    <t>32285001760759</t>
  </si>
  <si>
    <t>893608045</t>
  </si>
  <si>
    <t>RC480.5 .M24</t>
  </si>
  <si>
    <t>0                      RC 0480500M  24</t>
  </si>
  <si>
    <t>Crisis intervention in the community / [by] Richard K. McGee.</t>
  </si>
  <si>
    <t>McGee, Richard K.</t>
  </si>
  <si>
    <t>Baltimore : University Park Press, [1974]</t>
  </si>
  <si>
    <t>1755114:eng</t>
  </si>
  <si>
    <t>730813</t>
  </si>
  <si>
    <t>991003206089702656</t>
  </si>
  <si>
    <t>2267050330002656</t>
  </si>
  <si>
    <t>9780839107224</t>
  </si>
  <si>
    <t>32285003658472</t>
  </si>
  <si>
    <t>893617094</t>
  </si>
  <si>
    <t>RC480.5 .N34 1985</t>
  </si>
  <si>
    <t>0                      RC 0480500N  34          1985</t>
  </si>
  <si>
    <t>Negative outcome in psychotherapy and what to do about it / [edited by] Daniel T. Mays, Cyril M. Franks.</t>
  </si>
  <si>
    <t>New York : Springer Pub. Co., c1985.</t>
  </si>
  <si>
    <t>1995-11-10</t>
  </si>
  <si>
    <t>355905085:eng</t>
  </si>
  <si>
    <t>11623383</t>
  </si>
  <si>
    <t>991000567739702656</t>
  </si>
  <si>
    <t>2262146700002656</t>
  </si>
  <si>
    <t>9780826140302</t>
  </si>
  <si>
    <t>32285001606457</t>
  </si>
  <si>
    <t>893333589</t>
  </si>
  <si>
    <t>RC480.5 .N39 1977b</t>
  </si>
  <si>
    <t>0                      RC 0480500N  39          1977b</t>
  </si>
  <si>
    <t>Emotion, thought, &amp; therapy : a study of Hume and Spinoza and the relationship of philosophical theories of the emotions to psychological theories of therapy / Jerome Neu.</t>
  </si>
  <si>
    <t>Neu, Jerome.</t>
  </si>
  <si>
    <t>Berkeley : University of California Press, 1977.</t>
  </si>
  <si>
    <t>1994-04-04</t>
  </si>
  <si>
    <t>889617891:eng</t>
  </si>
  <si>
    <t>3882469</t>
  </si>
  <si>
    <t>991004538349702656</t>
  </si>
  <si>
    <t>2259270010002656</t>
  </si>
  <si>
    <t>9780520032880</t>
  </si>
  <si>
    <t>32285001606465</t>
  </si>
  <si>
    <t>893895126</t>
  </si>
  <si>
    <t>RC480.5 .P478 1993</t>
  </si>
  <si>
    <t>0                      RC 0480500P  478         1993</t>
  </si>
  <si>
    <t>On the shoulders of women : the feminization of psychotherapy / Ilene J. Philipson.</t>
  </si>
  <si>
    <t>Philipson, Ilene J.</t>
  </si>
  <si>
    <t>New York : Guilford Press, c1993.</t>
  </si>
  <si>
    <t>1995-03-11</t>
  </si>
  <si>
    <t>1995-01-03</t>
  </si>
  <si>
    <t>476575446:eng</t>
  </si>
  <si>
    <t>28338620</t>
  </si>
  <si>
    <t>991002203449702656</t>
  </si>
  <si>
    <t>2261477750002656</t>
  </si>
  <si>
    <t>9780898620177</t>
  </si>
  <si>
    <t>32285001990513</t>
  </si>
  <si>
    <t>893433605</t>
  </si>
  <si>
    <t>RC480.5 .P7</t>
  </si>
  <si>
    <t>0                      RC 0480500P  7</t>
  </si>
  <si>
    <t>At a journal workshop : the basic text and guide for using the Intensive journal / by Ira Progoff.</t>
  </si>
  <si>
    <t>Progoff, Ira.</t>
  </si>
  <si>
    <t>New York : Dialogue House Library, c1975, 1976 printing.</t>
  </si>
  <si>
    <t>2008-02-01</t>
  </si>
  <si>
    <t>4608553:eng</t>
  </si>
  <si>
    <t>1580592</t>
  </si>
  <si>
    <t>991003827459702656</t>
  </si>
  <si>
    <t>2267080760002656</t>
  </si>
  <si>
    <t>9780879410032</t>
  </si>
  <si>
    <t>32285001103729</t>
  </si>
  <si>
    <t>893343070</t>
  </si>
  <si>
    <t>RC480.5 .P775</t>
  </si>
  <si>
    <t>0                      RC 0480500P  775</t>
  </si>
  <si>
    <t>Psychotherapy process : current issues and future directions / edited by Michael J. Mahoney.</t>
  </si>
  <si>
    <t>New York : Plenum Press, c1980</t>
  </si>
  <si>
    <t>437216:eng</t>
  </si>
  <si>
    <t>5101941</t>
  </si>
  <si>
    <t>991004778739702656</t>
  </si>
  <si>
    <t>2259119020002656</t>
  </si>
  <si>
    <t>9780306402449</t>
  </si>
  <si>
    <t>32285000075415</t>
  </si>
  <si>
    <t>893606465</t>
  </si>
  <si>
    <t>RC480.5 .R39</t>
  </si>
  <si>
    <t>0                      RC 0480500R  39</t>
  </si>
  <si>
    <t>The quiet therapies : Japanese pathways to personal growth / David K. Reynolds ; afterword by George DeVos.</t>
  </si>
  <si>
    <t>Reynolds, David K.</t>
  </si>
  <si>
    <t>Honolulu : University Press of Hawaii, c1980.</t>
  </si>
  <si>
    <t>hiu</t>
  </si>
  <si>
    <t>1993-06-23</t>
  </si>
  <si>
    <t>492412:eng</t>
  </si>
  <si>
    <t>6446708</t>
  </si>
  <si>
    <t>991004984359702656</t>
  </si>
  <si>
    <t>2255933950002656</t>
  </si>
  <si>
    <t>9780824806903</t>
  </si>
  <si>
    <t>32285001606473</t>
  </si>
  <si>
    <t>893606666</t>
  </si>
  <si>
    <t>RC480.5 .S43 1983</t>
  </si>
  <si>
    <t>0                      RC 0480500S  43          1983</t>
  </si>
  <si>
    <t>Healing in psychotherapy : the process of holistic change / Diane Shainberg.</t>
  </si>
  <si>
    <t>Shainberg, Diane, 1933-</t>
  </si>
  <si>
    <t>New York : Gordon and Breach Science Publishers, c1983.</t>
  </si>
  <si>
    <t>Perspectives in psychotherapy, 0735-4037 ; v. 1</t>
  </si>
  <si>
    <t>1998-11-14</t>
  </si>
  <si>
    <t>234402514:eng</t>
  </si>
  <si>
    <t>9132770</t>
  </si>
  <si>
    <t>991000135749702656</t>
  </si>
  <si>
    <t>2267676560002656</t>
  </si>
  <si>
    <t>9780677061009</t>
  </si>
  <si>
    <t>32285001575728</t>
  </si>
  <si>
    <t>893333243</t>
  </si>
  <si>
    <t>RC480.5 .S443</t>
  </si>
  <si>
    <t>0                      RC 0480500S  443</t>
  </si>
  <si>
    <t>Trusting yourself : psychotherapy as a beginning / Steve Shapiro, Hilary Tyrka.</t>
  </si>
  <si>
    <t>Shapiro, Stephen A.</t>
  </si>
  <si>
    <t>A Spectrum book ; S-365</t>
  </si>
  <si>
    <t>2001-06-19</t>
  </si>
  <si>
    <t>7582556:eng</t>
  </si>
  <si>
    <t>3103737</t>
  </si>
  <si>
    <t>991004346809702656</t>
  </si>
  <si>
    <t>2272634480002656</t>
  </si>
  <si>
    <t>9780139310300</t>
  </si>
  <si>
    <t>32285003091518</t>
  </si>
  <si>
    <t>893882362</t>
  </si>
  <si>
    <t>RC480.5 .S523</t>
  </si>
  <si>
    <t>0                      RC 0480500S  523</t>
  </si>
  <si>
    <t>Actualizing therapy : foundations for a scientific ethic / Everett L. Shostrom, with Lila Knapp and Robert R. Knapp.</t>
  </si>
  <si>
    <t>Shostrom, Everett L., 1921-1992.</t>
  </si>
  <si>
    <t>San Diego, Calif. : EdITS Publishers, 1976.</t>
  </si>
  <si>
    <t>1995-11-11</t>
  </si>
  <si>
    <t>836507612:eng</t>
  </si>
  <si>
    <t>2412280</t>
  </si>
  <si>
    <t>991004115859702656</t>
  </si>
  <si>
    <t>2266746930002656</t>
  </si>
  <si>
    <t>9780912736143</t>
  </si>
  <si>
    <t>32285000996388</t>
  </si>
  <si>
    <t>893599450</t>
  </si>
  <si>
    <t>RC480.5 .S54</t>
  </si>
  <si>
    <t>0                      RC 0480500S  54</t>
  </si>
  <si>
    <t>Psychotherapy : a personal approach / D. J. Smail.</t>
  </si>
  <si>
    <t>Smail, D. J. (David John)</t>
  </si>
  <si>
    <t>London : Dent, 1978.</t>
  </si>
  <si>
    <t>1996-10-30</t>
  </si>
  <si>
    <t>290112704:eng</t>
  </si>
  <si>
    <t>4300337</t>
  </si>
  <si>
    <t>991004621529702656</t>
  </si>
  <si>
    <t>2264918050002656</t>
  </si>
  <si>
    <t>9780460120272</t>
  </si>
  <si>
    <t>32285001606481</t>
  </si>
  <si>
    <t>893241653</t>
  </si>
  <si>
    <t>RC480.5 .S57</t>
  </si>
  <si>
    <t>0                      RC 0480500S  57</t>
  </si>
  <si>
    <t>The benefits of psychotherapy / Mary Lee Smith, Gene V. Glass, Thomas I. Miller.</t>
  </si>
  <si>
    <t>Smith, Mary Lee.</t>
  </si>
  <si>
    <t>Baltimore : Johns Hopkins University Press, c1980.</t>
  </si>
  <si>
    <t>2007-11-16</t>
  </si>
  <si>
    <t>452173:eng</t>
  </si>
  <si>
    <t>6085506</t>
  </si>
  <si>
    <t>991004925159702656</t>
  </si>
  <si>
    <t>2260978220002656</t>
  </si>
  <si>
    <t>9780801823527</t>
  </si>
  <si>
    <t>32285000075423</t>
  </si>
  <si>
    <t>893801508</t>
  </si>
  <si>
    <t>RC480.5 .S727</t>
  </si>
  <si>
    <t>0                      RC 0480500S  727</t>
  </si>
  <si>
    <t>Change through interaction : social psychological processes of counseling and psychotherapy / Stanley R. Strong, Charles D. Claiborn.</t>
  </si>
  <si>
    <t>Strong, Stanley R.</t>
  </si>
  <si>
    <t>New York : Wiley, c1982.</t>
  </si>
  <si>
    <t>1992-06-10</t>
  </si>
  <si>
    <t>891001184:eng</t>
  </si>
  <si>
    <t>7735347</t>
  </si>
  <si>
    <t>991005153159702656</t>
  </si>
  <si>
    <t>2254794040002656</t>
  </si>
  <si>
    <t>9780471059028</t>
  </si>
  <si>
    <t>32285001099000</t>
  </si>
  <si>
    <t>893719878</t>
  </si>
  <si>
    <t>RC480.5 .W35</t>
  </si>
  <si>
    <t>0                      RC 0480500W  35</t>
  </si>
  <si>
    <t>The cognitive unconscious : a Piagetian approach to psychotherapy / Melvin L. Weiner ; foreword by Jean Piaget.</t>
  </si>
  <si>
    <t>Weiner, Melvin L.</t>
  </si>
  <si>
    <t>Davis, Calif. : International Psychological Press, [1975]</t>
  </si>
  <si>
    <t>1999-11-21</t>
  </si>
  <si>
    <t>364144870:eng</t>
  </si>
  <si>
    <t>1341468</t>
  </si>
  <si>
    <t>991003704799702656</t>
  </si>
  <si>
    <t>2262408180002656</t>
  </si>
  <si>
    <t>9780915662012</t>
  </si>
  <si>
    <t>32285003091575</t>
  </si>
  <si>
    <t>893252659</t>
  </si>
  <si>
    <t>RC480.53 .C38 1984</t>
  </si>
  <si>
    <t>0                      RC 0480530C  38          1984</t>
  </si>
  <si>
    <t>Management of chronic Schizophrenia / Carol L.M. Caton.</t>
  </si>
  <si>
    <t>Caton, Carol L. M.</t>
  </si>
  <si>
    <t>New York : Oxford University Press, 1984.</t>
  </si>
  <si>
    <t>1996-09-02</t>
  </si>
  <si>
    <t>1990-04-06</t>
  </si>
  <si>
    <t>43393072:eng</t>
  </si>
  <si>
    <t>9575153</t>
  </si>
  <si>
    <t>991000218319702656</t>
  </si>
  <si>
    <t>2270532190002656</t>
  </si>
  <si>
    <t>9780195033465</t>
  </si>
  <si>
    <t>32285000112028</t>
  </si>
  <si>
    <t>893614025</t>
  </si>
  <si>
    <t>RC480.53 .H38 1993</t>
  </si>
  <si>
    <t>0                      RC 0480530H  38          1993</t>
  </si>
  <si>
    <t>Surviving mental illness : stress, coping, and adaptation / Agnes B. Hatfield, Harriet P. Lefley ; foreword by John S. Strauss.</t>
  </si>
  <si>
    <t>Hatfield, Agnes B.</t>
  </si>
  <si>
    <t>2004-08-10</t>
  </si>
  <si>
    <t>340967453:eng</t>
  </si>
  <si>
    <t>27852406</t>
  </si>
  <si>
    <t>991002163729702656</t>
  </si>
  <si>
    <t>2262130280002656</t>
  </si>
  <si>
    <t>9780898620221</t>
  </si>
  <si>
    <t>32285001956621</t>
  </si>
  <si>
    <t>893691276</t>
  </si>
  <si>
    <t>RC480.53 .N48 1994</t>
  </si>
  <si>
    <t>0                      RC 0480530N  48          1994</t>
  </si>
  <si>
    <t>New directions in the psychological treatment of serious mental illness / edited by Diane T. Marsh.</t>
  </si>
  <si>
    <t>Westport, Conn. : Praeger, c1994.</t>
  </si>
  <si>
    <t>1996-11-02</t>
  </si>
  <si>
    <t>1994-05-19</t>
  </si>
  <si>
    <t>2571690:eng</t>
  </si>
  <si>
    <t>28222056</t>
  </si>
  <si>
    <t>991002195599702656</t>
  </si>
  <si>
    <t>2264107740002656</t>
  </si>
  <si>
    <t>9780275944285</t>
  </si>
  <si>
    <t>32285001897478</t>
  </si>
  <si>
    <t>893591028</t>
  </si>
  <si>
    <t>RC480.55 .B47 1985</t>
  </si>
  <si>
    <t>0                      RC 0480550B  47          1985</t>
  </si>
  <si>
    <t>Fishing for barracuda : pragmatics of brief systemic therapy / Joel S. Bergman.</t>
  </si>
  <si>
    <t>Bergman, Joel S.</t>
  </si>
  <si>
    <t>New York : Norton, c1985.</t>
  </si>
  <si>
    <t>1997-12-10</t>
  </si>
  <si>
    <t>1992-08-13</t>
  </si>
  <si>
    <t>9381163977:eng</t>
  </si>
  <si>
    <t>11621616</t>
  </si>
  <si>
    <t>991000565019702656</t>
  </si>
  <si>
    <t>2263466780002656</t>
  </si>
  <si>
    <t>9780393700053</t>
  </si>
  <si>
    <t>32285001245413</t>
  </si>
  <si>
    <t>893339664</t>
  </si>
  <si>
    <t>RC480.55 .D4 1985</t>
  </si>
  <si>
    <t>0                      RC 0480550D  4           1985</t>
  </si>
  <si>
    <t>Keys to solution in brief therapy / Steve de Shazer.</t>
  </si>
  <si>
    <t>De Shazer, Steve.</t>
  </si>
  <si>
    <t>New York : W.W. Norton, c1985.</t>
  </si>
  <si>
    <t>2005-06-30</t>
  </si>
  <si>
    <t>4073791:eng</t>
  </si>
  <si>
    <t>11289063</t>
  </si>
  <si>
    <t>991000515499702656</t>
  </si>
  <si>
    <t>2272331830002656</t>
  </si>
  <si>
    <t>9780393700046</t>
  </si>
  <si>
    <t>32285001245405</t>
  </si>
  <si>
    <t>893521734</t>
  </si>
  <si>
    <t>RC480.55 .F57 1982</t>
  </si>
  <si>
    <t>0                      RC 0480550F  57          1982</t>
  </si>
  <si>
    <t>The tactics of change : doing therapy briefly / Richard Fisch, John H. Weakland, Lynn Segal.</t>
  </si>
  <si>
    <t>Fisch, Richard, 1926-</t>
  </si>
  <si>
    <t>San Francisco, Calif. : Jossey-Bass, c1982.</t>
  </si>
  <si>
    <t>1996-12-04</t>
  </si>
  <si>
    <t>21407024:eng</t>
  </si>
  <si>
    <t>8306730</t>
  </si>
  <si>
    <t>991005229799702656</t>
  </si>
  <si>
    <t>2269259630002656</t>
  </si>
  <si>
    <t>9780875895215</t>
  </si>
  <si>
    <t>32285001105518</t>
  </si>
  <si>
    <t>893338766</t>
  </si>
  <si>
    <t>RC480.55 .L58 1998</t>
  </si>
  <si>
    <t>0                      RC 0480550L  58          1998</t>
  </si>
  <si>
    <t>Brief counseling in action / John M. Littrell.</t>
  </si>
  <si>
    <t>Littrell, John M., 1944-</t>
  </si>
  <si>
    <t>New York : W. W. Norton, c1998.</t>
  </si>
  <si>
    <t>2003-09-02</t>
  </si>
  <si>
    <t>1216309429:eng</t>
  </si>
  <si>
    <t>37917292</t>
  </si>
  <si>
    <t>991002877089702656</t>
  </si>
  <si>
    <t>2272127040002656</t>
  </si>
  <si>
    <t>9780393702651</t>
  </si>
  <si>
    <t>32285003656179</t>
  </si>
  <si>
    <t>893348036</t>
  </si>
  <si>
    <t>RC480.55 .P47 1984</t>
  </si>
  <si>
    <t>0                      RC 0480550P  47          1984</t>
  </si>
  <si>
    <t>Personality, styles and brief psychotherapy / Mardi Horowitz ... [et al.].</t>
  </si>
  <si>
    <t>New York : Basic Books, c1984.</t>
  </si>
  <si>
    <t>1997-04-09</t>
  </si>
  <si>
    <t>54619309:eng</t>
  </si>
  <si>
    <t>10348946</t>
  </si>
  <si>
    <t>991000358569702656</t>
  </si>
  <si>
    <t>2264239810002656</t>
  </si>
  <si>
    <t>9780465055753</t>
  </si>
  <si>
    <t>32285001245389</t>
  </si>
  <si>
    <t>893896803</t>
  </si>
  <si>
    <t>RC480.55 .S58 1979</t>
  </si>
  <si>
    <t>0                      RC 0480550S  58          1979</t>
  </si>
  <si>
    <t>The briefer psychotherapies / by Leonard Small.</t>
  </si>
  <si>
    <t>Small, Leonard, 1913-</t>
  </si>
  <si>
    <t>Rev. ed.</t>
  </si>
  <si>
    <t>37746187:eng</t>
  </si>
  <si>
    <t>4493242</t>
  </si>
  <si>
    <t>991005265479702656</t>
  </si>
  <si>
    <t>2260859830002656</t>
  </si>
  <si>
    <t>9780876301944</t>
  </si>
  <si>
    <t>32285001245371</t>
  </si>
  <si>
    <t>893418650</t>
  </si>
  <si>
    <t>RC480.6 .A38 1978</t>
  </si>
  <si>
    <t>0                      RC 0480600A  38          1978</t>
  </si>
  <si>
    <t>Crisis intervention : theory and methodology / Donna C. Aguilera and Janice M. Messick.</t>
  </si>
  <si>
    <t>1992-06-24</t>
  </si>
  <si>
    <t>3090169</t>
  </si>
  <si>
    <t>991004342639702656</t>
  </si>
  <si>
    <t>2260560890002656</t>
  </si>
  <si>
    <t>9780801600944</t>
  </si>
  <si>
    <t>32285001133775</t>
  </si>
  <si>
    <t>893241301</t>
  </si>
  <si>
    <t>RC480.6 .C734 1983</t>
  </si>
  <si>
    <t>0                      RC 0480600C  734         1983</t>
  </si>
  <si>
    <t>Crisis intervention / edited by Lawrence Cohen, William Claiborn, and Gerald A. Specter.</t>
  </si>
  <si>
    <t>New York, NY : Human Sciences Press, c1983.</t>
  </si>
  <si>
    <t>Community-clinical psychology series, 0196-6669 ; v. 4</t>
  </si>
  <si>
    <t>352337269:eng</t>
  </si>
  <si>
    <t>9219396</t>
  </si>
  <si>
    <t>991000154099702656</t>
  </si>
  <si>
    <t>2268285630002656</t>
  </si>
  <si>
    <t>9780898851083</t>
  </si>
  <si>
    <t>32285001606523</t>
  </si>
  <si>
    <t>893871464</t>
  </si>
  <si>
    <t>RC480.6 .D58</t>
  </si>
  <si>
    <t>0                      RC 0480600D  58</t>
  </si>
  <si>
    <t>Working with people in crisis : theory and practice / Samuel L. Dixon.</t>
  </si>
  <si>
    <t>Dixon, Samuel L., 1934-</t>
  </si>
  <si>
    <t>St. Louis : Mosby, 1979.</t>
  </si>
  <si>
    <t>2007-09-07</t>
  </si>
  <si>
    <t>794991541:eng</t>
  </si>
  <si>
    <t>4549594</t>
  </si>
  <si>
    <t>991005317619702656</t>
  </si>
  <si>
    <t>2272669880002656</t>
  </si>
  <si>
    <t>9780801613203</t>
  </si>
  <si>
    <t>32285001606531</t>
  </si>
  <si>
    <t>893600981</t>
  </si>
  <si>
    <t>RC480.6 .E33 1983</t>
  </si>
  <si>
    <t>0                      RC 0480600E  33          1983</t>
  </si>
  <si>
    <t>Crisis intervention : a manual for education and action / John P. Eddy, David M. Lawson, Jr., David C. Stilson.</t>
  </si>
  <si>
    <t>Eddy, John, 1932-</t>
  </si>
  <si>
    <t>Lanham, MD : University Press of America, c1983.</t>
  </si>
  <si>
    <t>180898989:eng</t>
  </si>
  <si>
    <t>9465890</t>
  </si>
  <si>
    <t>991000202579702656</t>
  </si>
  <si>
    <t>2264572820002656</t>
  </si>
  <si>
    <t>9780819132314</t>
  </si>
  <si>
    <t>32285001606549</t>
  </si>
  <si>
    <t>893327119</t>
  </si>
  <si>
    <t>RC480.6 .F68 1990</t>
  </si>
  <si>
    <t>0                      RC 0480600F  68          1990</t>
  </si>
  <si>
    <t>A practical guide to emergency and protective crisis intervention : dealing with the violent and self-destructive person / by Joel Foxman.</t>
  </si>
  <si>
    <t>Foxman, Joel.</t>
  </si>
  <si>
    <t>Springfield, Ill., U.S.A. : C.C. Thomas, c1990.</t>
  </si>
  <si>
    <t>1996-11-18</t>
  </si>
  <si>
    <t>1995-07-05</t>
  </si>
  <si>
    <t>231596109:eng</t>
  </si>
  <si>
    <t>20056222</t>
  </si>
  <si>
    <t>991001533069702656</t>
  </si>
  <si>
    <t>2271225680002656</t>
  </si>
  <si>
    <t>9780398056216</t>
  </si>
  <si>
    <t>32285002053204</t>
  </si>
  <si>
    <t>893621445</t>
  </si>
  <si>
    <t>RC480.6 .G63</t>
  </si>
  <si>
    <t>0                      RC 0480600G  63</t>
  </si>
  <si>
    <t>Passing through transitions : a guide for practitioners / Naomi Golan.</t>
  </si>
  <si>
    <t>Golan, Naomi.</t>
  </si>
  <si>
    <t>New York : Free Press ; London : Collier Macmillan Publishers, c1981.</t>
  </si>
  <si>
    <t>4264135:eng</t>
  </si>
  <si>
    <t>7552685</t>
  </si>
  <si>
    <t>991005246519702656</t>
  </si>
  <si>
    <t>2262982680002656</t>
  </si>
  <si>
    <t>9780029120705</t>
  </si>
  <si>
    <t>32285001606556</t>
  </si>
  <si>
    <t>893628644</t>
  </si>
  <si>
    <t>RC480.6 .G64 1978</t>
  </si>
  <si>
    <t>0                      RC 0480600G  64          1978</t>
  </si>
  <si>
    <t>Treatment in crisis situations / Naomi Golan.</t>
  </si>
  <si>
    <t>Treatment approaches in the human services</t>
  </si>
  <si>
    <t>1996-10-29</t>
  </si>
  <si>
    <t>400523:eng</t>
  </si>
  <si>
    <t>3771756</t>
  </si>
  <si>
    <t>991004512849702656</t>
  </si>
  <si>
    <t>2262096390002656</t>
  </si>
  <si>
    <t>9780029120606</t>
  </si>
  <si>
    <t>32285001606564</t>
  </si>
  <si>
    <t>893794946</t>
  </si>
  <si>
    <t>RC480.6 .H56 1983</t>
  </si>
  <si>
    <t>0                      RC 0480600H  56          1983</t>
  </si>
  <si>
    <t>Diagnosis and management of psychological emergencies : a manual for hospitalization / by John L. Hipple and Lee B. Hipple.</t>
  </si>
  <si>
    <t>Hipple, John L.</t>
  </si>
  <si>
    <t>Springfield, Ill., U.S.A. : C.C. Thomas, c1983.</t>
  </si>
  <si>
    <t>2006-05-10</t>
  </si>
  <si>
    <t>1992-06-23</t>
  </si>
  <si>
    <t>1780498295:eng</t>
  </si>
  <si>
    <t>9533165</t>
  </si>
  <si>
    <t>991000209509702656</t>
  </si>
  <si>
    <t>2263162690002656</t>
  </si>
  <si>
    <t>9780398048716</t>
  </si>
  <si>
    <t>32285001133767</t>
  </si>
  <si>
    <t>893689524</t>
  </si>
  <si>
    <t>RC480.6 .K46 1984</t>
  </si>
  <si>
    <t>0                      RC 0480600K  46          1984</t>
  </si>
  <si>
    <t>Crisis counseling : an essential guide for nonprofessional counselors / Eugene Kennedy.</t>
  </si>
  <si>
    <t>Kennedy, Eugene C.</t>
  </si>
  <si>
    <t>New York : Continuum, 1984, c1981.</t>
  </si>
  <si>
    <t>351145:eng</t>
  </si>
  <si>
    <t>6981964</t>
  </si>
  <si>
    <t>991005067659702656</t>
  </si>
  <si>
    <t>2272746550002656</t>
  </si>
  <si>
    <t>9780826400383</t>
  </si>
  <si>
    <t>32285000885128</t>
  </si>
  <si>
    <t>893625400</t>
  </si>
  <si>
    <t>RC480.6 .M37</t>
  </si>
  <si>
    <t>0                      RC 0480600M  37</t>
  </si>
  <si>
    <t>Disposable patients : situational factors in emergency psychiatric decisions / Daryl B. Matthews.</t>
  </si>
  <si>
    <t>Matthews, Daryl B.</t>
  </si>
  <si>
    <t>Lexington, Mass. : Lexington Books, c1980.</t>
  </si>
  <si>
    <t>1993-10-06</t>
  </si>
  <si>
    <t>917495072:eng</t>
  </si>
  <si>
    <t>6604123</t>
  </si>
  <si>
    <t>991005012889702656</t>
  </si>
  <si>
    <t>2255424450002656</t>
  </si>
  <si>
    <t>9780669021646</t>
  </si>
  <si>
    <t>32285001606580</t>
  </si>
  <si>
    <t>893782908</t>
  </si>
  <si>
    <t>RC480.6 .P87</t>
  </si>
  <si>
    <t>0                      RC 0480600P  87</t>
  </si>
  <si>
    <t>Helping people in crisis : a practical, family-oriented approach to effective crisis intervention / Douglas A. Puryear.</t>
  </si>
  <si>
    <t>Puryear, Douglas A., 1938-</t>
  </si>
  <si>
    <t>San Francisco : Jossey-Bass Publishers, 1979.</t>
  </si>
  <si>
    <t>2000-11-29</t>
  </si>
  <si>
    <t>532756:eng</t>
  </si>
  <si>
    <t>5100758</t>
  </si>
  <si>
    <t>991004774669702656</t>
  </si>
  <si>
    <t>2258523690002656</t>
  </si>
  <si>
    <t>9780875894218</t>
  </si>
  <si>
    <t>32285001206902</t>
  </si>
  <si>
    <t>893612761</t>
  </si>
  <si>
    <t>RC480.7 .C37 2008</t>
  </si>
  <si>
    <t>0                      RC 0480700C  37          2008</t>
  </si>
  <si>
    <t>Interviewing and brief therapy strategies : an integrative approach / George Carpetto.</t>
  </si>
  <si>
    <t>Carpetto, George M.</t>
  </si>
  <si>
    <t>Boston : Pearson/Allyn &amp; Bacon, c2008.</t>
  </si>
  <si>
    <t>2008-10-11</t>
  </si>
  <si>
    <t>480106399:eng</t>
  </si>
  <si>
    <t>129954223</t>
  </si>
  <si>
    <t>991005150569702656</t>
  </si>
  <si>
    <t>2264888490002656</t>
  </si>
  <si>
    <t>9780205490783</t>
  </si>
  <si>
    <t>32285005374375</t>
  </si>
  <si>
    <t>893443490</t>
  </si>
  <si>
    <t>RC480.8 .B47 2010</t>
  </si>
  <si>
    <t>0                      RC 0480800B  47          2010</t>
  </si>
  <si>
    <t>Strengths-based engagement and practice : creating effective helping relationships / Bob Bertolino.</t>
  </si>
  <si>
    <t>Bertolino, Bob, 1965-</t>
  </si>
  <si>
    <t>Boston : Allyn &amp; Bacon, c2010.</t>
  </si>
  <si>
    <t>2009-08-31</t>
  </si>
  <si>
    <t>796115553:eng</t>
  </si>
  <si>
    <t>268788582</t>
  </si>
  <si>
    <t>991005299639702656</t>
  </si>
  <si>
    <t>2267921610002656</t>
  </si>
  <si>
    <t>9780205569045</t>
  </si>
  <si>
    <t>32285005507958</t>
  </si>
  <si>
    <t>893514409</t>
  </si>
  <si>
    <t>RC480.8 .B65 1995</t>
  </si>
  <si>
    <t>0                      RC 0480800B  65          1995</t>
  </si>
  <si>
    <t>The new informants : the betrayal of confidentiality in psychoanalysis and psythotherapy / Christopher Bollas and David Sundelson.</t>
  </si>
  <si>
    <t>Bollas, Christopher.</t>
  </si>
  <si>
    <t>Northvale, N.J. : J. Aronson, c1995.</t>
  </si>
  <si>
    <t>1999-03-29</t>
  </si>
  <si>
    <t>1996-03-21</t>
  </si>
  <si>
    <t>288341582:eng</t>
  </si>
  <si>
    <t>32313016</t>
  </si>
  <si>
    <t>991002483069702656</t>
  </si>
  <si>
    <t>2267875380002656</t>
  </si>
  <si>
    <t>9781568215952</t>
  </si>
  <si>
    <t>32285002145513</t>
  </si>
  <si>
    <t>893517338</t>
  </si>
  <si>
    <t>RC480.8 .B83 1990</t>
  </si>
  <si>
    <t>0                      RC 0480800B  83          1990</t>
  </si>
  <si>
    <t>Intimate journeys : stories from life-changing therapy / James F.T. Bugental.</t>
  </si>
  <si>
    <t>San Francisco : Jossey-Bass Publishers, 1990.</t>
  </si>
  <si>
    <t>Jossey-Bass social and behavioral science series</t>
  </si>
  <si>
    <t>1993-03-21</t>
  </si>
  <si>
    <t>293102916:eng</t>
  </si>
  <si>
    <t>21976448</t>
  </si>
  <si>
    <t>991001739109702656</t>
  </si>
  <si>
    <t>2270201000002656</t>
  </si>
  <si>
    <t>9781555422745</t>
  </si>
  <si>
    <t>32285000565258</t>
  </si>
  <si>
    <t>893328331</t>
  </si>
  <si>
    <t>RC480.8 .E3 1991</t>
  </si>
  <si>
    <t>0                      RC 0480800E  3           1991</t>
  </si>
  <si>
    <t>Sexual dilemmas for the helping professional / Jerry Edelwich and Archie Brodsky.</t>
  </si>
  <si>
    <t>Edelwich, Jerry.</t>
  </si>
  <si>
    <t>New York : Brunner/Mazel, c1991.</t>
  </si>
  <si>
    <t>Rev. and expanded ed.</t>
  </si>
  <si>
    <t>1994-11-01</t>
  </si>
  <si>
    <t>929854:eng</t>
  </si>
  <si>
    <t>22892215</t>
  </si>
  <si>
    <t>991001821899702656</t>
  </si>
  <si>
    <t>2267288790002656</t>
  </si>
  <si>
    <t>9780876306284</t>
  </si>
  <si>
    <t>32285001118610</t>
  </si>
  <si>
    <t>893621651</t>
  </si>
  <si>
    <t>RC480.8 .E34 1977</t>
  </si>
  <si>
    <t>0                      RC 0480800E  34          1977</t>
  </si>
  <si>
    <t>Effective psychotherapy : a handbook of research / edited and with commentaries by Alan S. Gurman and Andrew M. Razin. --</t>
  </si>
  <si>
    <t>Oxford ; New York : Pergamon Press, 1977.</t>
  </si>
  <si>
    <t>Pergamon general psychology series ; v. 70</t>
  </si>
  <si>
    <t>890146936:eng</t>
  </si>
  <si>
    <t>2332109</t>
  </si>
  <si>
    <t>991004086069702656</t>
  </si>
  <si>
    <t>2264226390002656</t>
  </si>
  <si>
    <t>9780080195087</t>
  </si>
  <si>
    <t>32285001606606</t>
  </si>
  <si>
    <t>893228923</t>
  </si>
  <si>
    <t>RC480.8 .F7 1984</t>
  </si>
  <si>
    <t>0                      RC 0480800F  7           1984</t>
  </si>
  <si>
    <t>Listening to the inner self / Lucy Freeman.</t>
  </si>
  <si>
    <t>Freeman, Lucy, 1916-2004.</t>
  </si>
  <si>
    <t>New York : J. Aronson, c1984.</t>
  </si>
  <si>
    <t>19909909:eng</t>
  </si>
  <si>
    <t>9621610</t>
  </si>
  <si>
    <t>991000227119702656</t>
  </si>
  <si>
    <t>2268925140002656</t>
  </si>
  <si>
    <t>9780876686409</t>
  </si>
  <si>
    <t>32285001606614</t>
  </si>
  <si>
    <t>893333317</t>
  </si>
  <si>
    <t>RC480.8 .L364</t>
  </si>
  <si>
    <t>0                      RC 0480800L  364</t>
  </si>
  <si>
    <t>The listening process / Robert Langs.</t>
  </si>
  <si>
    <t>Langs, Robert, 1928-</t>
  </si>
  <si>
    <t>New York : J. Aronson, c1978.</t>
  </si>
  <si>
    <t>1996-04-11</t>
  </si>
  <si>
    <t>1992-01-10</t>
  </si>
  <si>
    <t>14686108:eng</t>
  </si>
  <si>
    <t>4468562</t>
  </si>
  <si>
    <t>991004641919702656</t>
  </si>
  <si>
    <t>2255495890002656</t>
  </si>
  <si>
    <t>9780876683415</t>
  </si>
  <si>
    <t>32285000911239</t>
  </si>
  <si>
    <t>893876355</t>
  </si>
  <si>
    <t>RC480.8 .N677 2007</t>
  </si>
  <si>
    <t>0                      RC 0480800N  677         2007</t>
  </si>
  <si>
    <t>Leaving it at the office : a guide to psychotherapist self-care / John C. Norcross, James D. Guy, Jr.</t>
  </si>
  <si>
    <t>Norcross, John C., 1957-</t>
  </si>
  <si>
    <t>New York : Guilford Press, c2007.</t>
  </si>
  <si>
    <t>2010-02-11</t>
  </si>
  <si>
    <t>801616381:eng</t>
  </si>
  <si>
    <t>85498800</t>
  </si>
  <si>
    <t>991005361669702656</t>
  </si>
  <si>
    <t>2266137150002656</t>
  </si>
  <si>
    <t>9781593854904</t>
  </si>
  <si>
    <t>32285005573331</t>
  </si>
  <si>
    <t>893514572</t>
  </si>
  <si>
    <t>RC480.8 .P659 1993</t>
  </si>
  <si>
    <t>0                      RC 0480800P  659         1993</t>
  </si>
  <si>
    <t>Sexual feelings in psychotherapy : explorations for therapists and therapists-in-training / Kenneth S. Pope, Janet L. Sonne, Jean Holroyd.</t>
  </si>
  <si>
    <t>Pope, Kenneth S.</t>
  </si>
  <si>
    <t>Washington, D.C. : American Psychological Association, c1993.</t>
  </si>
  <si>
    <t>2008-01-04</t>
  </si>
  <si>
    <t>1994-12-06</t>
  </si>
  <si>
    <t>323520066:eng</t>
  </si>
  <si>
    <t>27729283</t>
  </si>
  <si>
    <t>991002152989702656</t>
  </si>
  <si>
    <t>2265864610002656</t>
  </si>
  <si>
    <t>9781557982018</t>
  </si>
  <si>
    <t>32285001976496</t>
  </si>
  <si>
    <t>893510364</t>
  </si>
  <si>
    <t>RC481 .H3</t>
  </si>
  <si>
    <t>0                      RC 0481000H  3</t>
  </si>
  <si>
    <t>Techniques of family therapy / Jay Haley and Lynn Hoffman.</t>
  </si>
  <si>
    <t>New York : Basic Books, 1967.</t>
  </si>
  <si>
    <t>1996-05-06</t>
  </si>
  <si>
    <t>1991-01-25</t>
  </si>
  <si>
    <t>197336144:eng</t>
  </si>
  <si>
    <t>9729178</t>
  </si>
  <si>
    <t>991000247549702656</t>
  </si>
  <si>
    <t>2264663690002656</t>
  </si>
  <si>
    <t>32285000461094</t>
  </si>
  <si>
    <t>893237190</t>
  </si>
  <si>
    <t>RC481 .H35</t>
  </si>
  <si>
    <t>0                      RC 0481000H  35</t>
  </si>
  <si>
    <t>New directions in client-centered therapy / edited by J. T. Hart and T. M. Tomlinson.</t>
  </si>
  <si>
    <t>Hart, J. T. (Joseph Truman), 1937- compiler.</t>
  </si>
  <si>
    <t>Boston : Houghton Mifflin, [1970]</t>
  </si>
  <si>
    <t>1091239006:eng</t>
  </si>
  <si>
    <t>89146</t>
  </si>
  <si>
    <t>991000528039702656</t>
  </si>
  <si>
    <t>2258822730002656</t>
  </si>
  <si>
    <t>32285000232818</t>
  </si>
  <si>
    <t>893896964</t>
  </si>
  <si>
    <t>RC481 .W49 1974</t>
  </si>
  <si>
    <t>0                      RC 0481000W  49          1974</t>
  </si>
  <si>
    <t>Innovations in client-centered therapy / edited by David A. Wexler [and] Laura North Rice.</t>
  </si>
  <si>
    <t>Wexler, David A., 1946-</t>
  </si>
  <si>
    <t>1999-02-14</t>
  </si>
  <si>
    <t>357077705:eng</t>
  </si>
  <si>
    <t>934680</t>
  </si>
  <si>
    <t>991003396269702656</t>
  </si>
  <si>
    <t>2271502060002656</t>
  </si>
  <si>
    <t>9780471937159</t>
  </si>
  <si>
    <t>32285000232826</t>
  </si>
  <si>
    <t>893809966</t>
  </si>
  <si>
    <t>RC483 .A515 1995</t>
  </si>
  <si>
    <t>0                      RC 0483000A  515         1995</t>
  </si>
  <si>
    <t>The American Psychiatric Press textbook of psychopharmacology / edited by Alan F. Schatzberg and Charles B. Nemeroff.</t>
  </si>
  <si>
    <t>1996-03-28</t>
  </si>
  <si>
    <t>3856829768:eng</t>
  </si>
  <si>
    <t>31819707</t>
  </si>
  <si>
    <t>991002441549702656</t>
  </si>
  <si>
    <t>2259829880002656</t>
  </si>
  <si>
    <t>9780880483896</t>
  </si>
  <si>
    <t>32285002147741</t>
  </si>
  <si>
    <t>893433895</t>
  </si>
  <si>
    <t>RC483 .D753</t>
  </si>
  <si>
    <t>0                      RC 0483000D  753</t>
  </si>
  <si>
    <t>Drug treatment of mental disorders / edited by Lance L. Simpson.</t>
  </si>
  <si>
    <t>New York : Raven Press, c1976.</t>
  </si>
  <si>
    <t>1992-05-06</t>
  </si>
  <si>
    <t>54102237:eng</t>
  </si>
  <si>
    <t>2063798</t>
  </si>
  <si>
    <t>991003996789702656</t>
  </si>
  <si>
    <t>2260665030002656</t>
  </si>
  <si>
    <t>9780890040072</t>
  </si>
  <si>
    <t>32285001104057</t>
  </si>
  <si>
    <t>893506250</t>
  </si>
  <si>
    <t>RC483 .K44 1998</t>
  </si>
  <si>
    <t>0                      RC 0483000K  44          1998</t>
  </si>
  <si>
    <t>Drugs, therapy, and professional power : problems and pills / Ernest Keen.</t>
  </si>
  <si>
    <t>Keen, Ernest, 1937-</t>
  </si>
  <si>
    <t>Westport, Conn. : Praeger, 1998.</t>
  </si>
  <si>
    <t>138831006:eng</t>
  </si>
  <si>
    <t>37732050</t>
  </si>
  <si>
    <t>991002863069702656</t>
  </si>
  <si>
    <t>2270333570002656</t>
  </si>
  <si>
    <t>9780275962005</t>
  </si>
  <si>
    <t>32285003616025</t>
  </si>
  <si>
    <t>893874101</t>
  </si>
  <si>
    <t>RC483 .P723</t>
  </si>
  <si>
    <t>0                      RC 0483000P  723</t>
  </si>
  <si>
    <t>Psychotropic drugs : a guide for the practitioner / H. M. van Praag ; [translated from the Dutch by Th. van Winsen].</t>
  </si>
  <si>
    <t>Praag, Herman M. van (Herman Meïr), 1929-</t>
  </si>
  <si>
    <t>1992-05-05</t>
  </si>
  <si>
    <t>5568223:eng</t>
  </si>
  <si>
    <t>3361555</t>
  </si>
  <si>
    <t>991004415629702656</t>
  </si>
  <si>
    <t>2255474040002656</t>
  </si>
  <si>
    <t>9780876301579</t>
  </si>
  <si>
    <t>32285001093466</t>
  </si>
  <si>
    <t>893593665</t>
  </si>
  <si>
    <t>RC483 .P74 1993</t>
  </si>
  <si>
    <t>0                      RC 0483000P  74          1993</t>
  </si>
  <si>
    <t>Principles and practice of psychopharmacotherapy / Philip G. Janicak ... [et al.].</t>
  </si>
  <si>
    <t>Baltimore : Williams &amp; Wilkins, c1993.</t>
  </si>
  <si>
    <t>2000-05-17</t>
  </si>
  <si>
    <t>1996-01-02</t>
  </si>
  <si>
    <t>4923521631:eng</t>
  </si>
  <si>
    <t>27642929</t>
  </si>
  <si>
    <t>991005416529702656</t>
  </si>
  <si>
    <t>2256068610002656</t>
  </si>
  <si>
    <t>9780683043730</t>
  </si>
  <si>
    <t>32285002114022</t>
  </si>
  <si>
    <t>893601182</t>
  </si>
  <si>
    <t>RC483 .P77</t>
  </si>
  <si>
    <t>0                      RC 0483000P  77</t>
  </si>
  <si>
    <t>Psychoactive drugs and social judgment : theory and research / edited by Kenneth R. Hammond, C. R. B. Joyce.</t>
  </si>
  <si>
    <t>1996-09-22</t>
  </si>
  <si>
    <t>836712180:eng</t>
  </si>
  <si>
    <t>1366312</t>
  </si>
  <si>
    <t>991003721739702656</t>
  </si>
  <si>
    <t>2254793170002656</t>
  </si>
  <si>
    <t>9780471347286</t>
  </si>
  <si>
    <t>32285002025657</t>
  </si>
  <si>
    <t>893246671</t>
  </si>
  <si>
    <t>RC483.5.F55 K7 1993</t>
  </si>
  <si>
    <t>0                      RC 0483500F  55                 K  7           1993</t>
  </si>
  <si>
    <t>Listening to Prozac / Peter D. Kramer.</t>
  </si>
  <si>
    <t>Kramer, Peter D.</t>
  </si>
  <si>
    <t>New York : Viking, 1993.</t>
  </si>
  <si>
    <t>2005-06-01</t>
  </si>
  <si>
    <t>1993-06-30</t>
  </si>
  <si>
    <t>345441:eng</t>
  </si>
  <si>
    <t>27143771</t>
  </si>
  <si>
    <t>991002116889702656</t>
  </si>
  <si>
    <t>2271799120002656</t>
  </si>
  <si>
    <t>9780670841837</t>
  </si>
  <si>
    <t>32285001700409</t>
  </si>
  <si>
    <t>893773240</t>
  </si>
  <si>
    <t>RC483.5.L9 C3</t>
  </si>
  <si>
    <t>0                      RC 0483500L  9                  C  3</t>
  </si>
  <si>
    <t>LSD psychotherapy : an exploration of psychedelic and psycholytic therapy / by W. V. Caldwell.</t>
  </si>
  <si>
    <t>Caldwell, W. V. (William Vernon)</t>
  </si>
  <si>
    <t>New York : Grove Press, [1968]</t>
  </si>
  <si>
    <t>2010-12-08</t>
  </si>
  <si>
    <t>1512667:eng</t>
  </si>
  <si>
    <t>386839</t>
  </si>
  <si>
    <t>991002650119702656</t>
  </si>
  <si>
    <t>2259570390002656</t>
  </si>
  <si>
    <t>32285002025640</t>
  </si>
  <si>
    <t>893616381</t>
  </si>
  <si>
    <t>RC488 .C357 1980</t>
  </si>
  <si>
    <t>0                      RC 0488000C  357         1980</t>
  </si>
  <si>
    <t>A Casebook in group therapy : a cognitive-behavior approach / Sheldon D. Rose.</t>
  </si>
  <si>
    <t>2006-01-25</t>
  </si>
  <si>
    <t>410357:eng</t>
  </si>
  <si>
    <t>5101609</t>
  </si>
  <si>
    <t>991004777379702656</t>
  </si>
  <si>
    <t>2258941070002656</t>
  </si>
  <si>
    <t>9780131174085</t>
  </si>
  <si>
    <t>32285000088525</t>
  </si>
  <si>
    <t>893229816</t>
  </si>
  <si>
    <t>RC488 .C53 1992</t>
  </si>
  <si>
    <t>0                      RC 0488000C  53          1992</t>
  </si>
  <si>
    <t>Classics in group psychotherapy / K. Roy MacKenzie, editor.</t>
  </si>
  <si>
    <t>New York : Guilford Press, c1992.</t>
  </si>
  <si>
    <t>2003-01-02</t>
  </si>
  <si>
    <t>1993-02-01</t>
  </si>
  <si>
    <t>350343707:eng</t>
  </si>
  <si>
    <t>25091266</t>
  </si>
  <si>
    <t>991001977399702656</t>
  </si>
  <si>
    <t>2263532870002656</t>
  </si>
  <si>
    <t>9780898627992</t>
  </si>
  <si>
    <t>32285001449031</t>
  </si>
  <si>
    <t>893804086</t>
  </si>
  <si>
    <t>RC488 .K44</t>
  </si>
  <si>
    <t>0                      RC 0488000K  44</t>
  </si>
  <si>
    <t>Group psychotherapy and personality : intersecting structures :/ by Henry Kellerman.</t>
  </si>
  <si>
    <t>Kellerman, Henry.</t>
  </si>
  <si>
    <t>1998-08-19</t>
  </si>
  <si>
    <t>836626022:eng</t>
  </si>
  <si>
    <t>4933465</t>
  </si>
  <si>
    <t>991004750859702656</t>
  </si>
  <si>
    <t>2269185550002656</t>
  </si>
  <si>
    <t>9780808911821</t>
  </si>
  <si>
    <t>32285000072438</t>
  </si>
  <si>
    <t>893625077</t>
  </si>
  <si>
    <t>RC488 .L3 1986</t>
  </si>
  <si>
    <t>0                      RC 0488000L  3           1986</t>
  </si>
  <si>
    <t>Methods of family therapy / Luciano L'Abate, Gary Ganahl, James C. Hansen.</t>
  </si>
  <si>
    <t>L'Abate, Luciano, 1928-2016.</t>
  </si>
  <si>
    <t>Englewood Cliffs, N.J. : Prentice-Hall, c1986.</t>
  </si>
  <si>
    <t>1999-02-13</t>
  </si>
  <si>
    <t>4946452:eng</t>
  </si>
  <si>
    <t>12558381</t>
  </si>
  <si>
    <t>991000707729702656</t>
  </si>
  <si>
    <t>2257051860002656</t>
  </si>
  <si>
    <t>9780135793763</t>
  </si>
  <si>
    <t>32285001606671</t>
  </si>
  <si>
    <t>893890959</t>
  </si>
  <si>
    <t>RC488 .M8 1978</t>
  </si>
  <si>
    <t>0                      RC 0488000M  8           1978</t>
  </si>
  <si>
    <t>Group psychotherapy : theory and practice / Hugh Mullan and Max Rosenbaum.</t>
  </si>
  <si>
    <t>Mullan, Hugh.</t>
  </si>
  <si>
    <t>2003-03-16</t>
  </si>
  <si>
    <t>8564826:eng</t>
  </si>
  <si>
    <t>4076845</t>
  </si>
  <si>
    <t>991005265499702656</t>
  </si>
  <si>
    <t>2263029510002656</t>
  </si>
  <si>
    <t>9780029220801</t>
  </si>
  <si>
    <t>32285001606689</t>
  </si>
  <si>
    <t>893353805</t>
  </si>
  <si>
    <t>RC488 .P35 2000</t>
  </si>
  <si>
    <t>0                      RC 0488000P  35          2000</t>
  </si>
  <si>
    <t>The group therapy treatment planner / Kim Paleg and Arthur E. Jongsma, Jr.</t>
  </si>
  <si>
    <t>Paleg, Kim.</t>
  </si>
  <si>
    <t>New York : Wiley, c2000.</t>
  </si>
  <si>
    <t>2010-04-07</t>
  </si>
  <si>
    <t>34801143:eng</t>
  </si>
  <si>
    <t>41606190</t>
  </si>
  <si>
    <t>991004007529702656</t>
  </si>
  <si>
    <t>2258645040002656</t>
  </si>
  <si>
    <t>9780471254690</t>
  </si>
  <si>
    <t>32285004686852</t>
  </si>
  <si>
    <t>893318687</t>
  </si>
  <si>
    <t>RC488 .R65</t>
  </si>
  <si>
    <t>0                      RC 0488000R  65</t>
  </si>
  <si>
    <t>Group therapy : a behavioral approach / Sheldon D. Rose.</t>
  </si>
  <si>
    <t>Rose, Sheldon D.</t>
  </si>
  <si>
    <t>Englewood Cliffs, N.J. : Prentice-Hall, c1977.</t>
  </si>
  <si>
    <t>2003-10-26</t>
  </si>
  <si>
    <t>310811377:eng</t>
  </si>
  <si>
    <t>2388087</t>
  </si>
  <si>
    <t>991004107699702656</t>
  </si>
  <si>
    <t>2259290380002656</t>
  </si>
  <si>
    <t>9780133652390</t>
  </si>
  <si>
    <t>32285003091799</t>
  </si>
  <si>
    <t>893263097</t>
  </si>
  <si>
    <t>RC488 .R66</t>
  </si>
  <si>
    <t>0                      RC 0488000R  66</t>
  </si>
  <si>
    <t>Group psychotherapy and group function, edited by Max Rosenbaum and Milton Berger.</t>
  </si>
  <si>
    <t>Rosenbaum, Max, 1923- editor.</t>
  </si>
  <si>
    <t>New York, Basic Books [1963]</t>
  </si>
  <si>
    <t>364283284:eng</t>
  </si>
  <si>
    <t>682014</t>
  </si>
  <si>
    <t>991003140469702656</t>
  </si>
  <si>
    <t>2266761760002656</t>
  </si>
  <si>
    <t>32285003091807</t>
  </si>
  <si>
    <t>893317681</t>
  </si>
  <si>
    <t>RC488 .R68 1987</t>
  </si>
  <si>
    <t>0                      RC 0488000R  68          1987</t>
  </si>
  <si>
    <t>Resolving resistance in group psychotherapy / by Leslie Rosenthal.</t>
  </si>
  <si>
    <t>Rosenthal, Leslie.</t>
  </si>
  <si>
    <t>Northvale, N.J. : J. Aronson, c1987.</t>
  </si>
  <si>
    <t>1994-06-29</t>
  </si>
  <si>
    <t>5021943:eng</t>
  </si>
  <si>
    <t>12419058</t>
  </si>
  <si>
    <t>991000683449702656</t>
  </si>
  <si>
    <t>2261925380002656</t>
  </si>
  <si>
    <t>9780876689141</t>
  </si>
  <si>
    <t>32285001606697</t>
  </si>
  <si>
    <t>893884633</t>
  </si>
  <si>
    <t>RC488 .S45</t>
  </si>
  <si>
    <t>0                      RC 0488000S  45</t>
  </si>
  <si>
    <t>Models of group therapy and sensitivity training [by] John B. P. Shaffer [and] M. David Galinsky.</t>
  </si>
  <si>
    <t>Shaffer, John B. P., 1934-</t>
  </si>
  <si>
    <t>Englewood Cliffs, N.J., Prentice-Hall [1974]</t>
  </si>
  <si>
    <t>Prentice-Hall series in personal, clinical, and social psychology</t>
  </si>
  <si>
    <t>2002-12-05</t>
  </si>
  <si>
    <t>1617037:eng</t>
  </si>
  <si>
    <t>803754</t>
  </si>
  <si>
    <t>991003281159702656</t>
  </si>
  <si>
    <t>2269040440002656</t>
  </si>
  <si>
    <t>9780135860816</t>
  </si>
  <si>
    <t>32285003091849</t>
  </si>
  <si>
    <t>893258257</t>
  </si>
  <si>
    <t>RC488 .S5</t>
  </si>
  <si>
    <t>0                      RC 0488000S  5</t>
  </si>
  <si>
    <t>Methods of group psychotherapy and encounter : a tradition of innovation / Jerrold Lee Shapiro.</t>
  </si>
  <si>
    <t>Shapiro, Jerrold Lee.</t>
  </si>
  <si>
    <t>Itasca, Ill. : F.E. Peacock Publ., c1978.</t>
  </si>
  <si>
    <t>1992-01-21</t>
  </si>
  <si>
    <t>255553294:eng</t>
  </si>
  <si>
    <t>4302833</t>
  </si>
  <si>
    <t>991004621859702656</t>
  </si>
  <si>
    <t>2266049930002656</t>
  </si>
  <si>
    <t>9780875812298</t>
  </si>
  <si>
    <t>32285000121532</t>
  </si>
  <si>
    <t>893712821</t>
  </si>
  <si>
    <t>RC488 .S77 1996</t>
  </si>
  <si>
    <t>0                      RC 0488000S  77          1996</t>
  </si>
  <si>
    <t>Structured exercises for promoting family and group strengths : a handbook for group leaders, trainers, educators, counselors, and therapists / Ron McManus, Glen Jennings, editors.</t>
  </si>
  <si>
    <t>New York : Haworth Press, c1996.</t>
  </si>
  <si>
    <t>Haworth marriage &amp; the family</t>
  </si>
  <si>
    <t>2007-04-10</t>
  </si>
  <si>
    <t>1997-04-28</t>
  </si>
  <si>
    <t>960922157:eng</t>
  </si>
  <si>
    <t>32625073</t>
  </si>
  <si>
    <t>991002508079702656</t>
  </si>
  <si>
    <t>2269131120002656</t>
  </si>
  <si>
    <t>9781560249788</t>
  </si>
  <si>
    <t>32285002541778</t>
  </si>
  <si>
    <t>893226933</t>
  </si>
  <si>
    <t>RC488 .W46 1964</t>
  </si>
  <si>
    <t>0                      RC 0488000W  46          1964</t>
  </si>
  <si>
    <t>Psychotherapy through the group process [by] Dorothy Stock Whitaker &amp; Morton A. Lieberman.</t>
  </si>
  <si>
    <t>Whitaker, Dorothy Stock, 1925-</t>
  </si>
  <si>
    <t>New York, Atherton Press, 1964.</t>
  </si>
  <si>
    <t>The Atherton Press behavioral science series</t>
  </si>
  <si>
    <t>2001-02-26</t>
  </si>
  <si>
    <t>1759984:eng</t>
  </si>
  <si>
    <t>588084</t>
  </si>
  <si>
    <t>991005265529702656</t>
  </si>
  <si>
    <t>2270073770002656</t>
  </si>
  <si>
    <t>32285003091856</t>
  </si>
  <si>
    <t>893688861</t>
  </si>
  <si>
    <t>RC488 .Y3 1975</t>
  </si>
  <si>
    <t>0                      RC 0488000Y  3           1975</t>
  </si>
  <si>
    <t>The theory and practice of group psychotherapy / Irvin D. Yalom.</t>
  </si>
  <si>
    <t>Yalom, Irvin D., 1931-</t>
  </si>
  <si>
    <t>New York : Basic Books, [1975]</t>
  </si>
  <si>
    <t>1995-02-06</t>
  </si>
  <si>
    <t>587051:eng</t>
  </si>
  <si>
    <t>1611222</t>
  </si>
  <si>
    <t>991005244529702656</t>
  </si>
  <si>
    <t>2268212860002656</t>
  </si>
  <si>
    <t>9780465084463</t>
  </si>
  <si>
    <t>32285000972801</t>
  </si>
  <si>
    <t>893801991</t>
  </si>
  <si>
    <t>RC488.5 .A24</t>
  </si>
  <si>
    <t>0                      RC 0488500A  24</t>
  </si>
  <si>
    <t>Therapy for couples / Billie S. Ables, in collaboration with Jeffrey M. Brandsma.</t>
  </si>
  <si>
    <t>Ables, Billie S.</t>
  </si>
  <si>
    <t>San Francisco : Jossey-Bass, 1977.</t>
  </si>
  <si>
    <t>The Jossey-Bass behavioral science series</t>
  </si>
  <si>
    <t>1997-05-27</t>
  </si>
  <si>
    <t>1995-05-16</t>
  </si>
  <si>
    <t>532566:eng</t>
  </si>
  <si>
    <t>2954959</t>
  </si>
  <si>
    <t>991004293219702656</t>
  </si>
  <si>
    <t>2267504800002656</t>
  </si>
  <si>
    <t>9780875893129</t>
  </si>
  <si>
    <t>32285002034089</t>
  </si>
  <si>
    <t>893423626</t>
  </si>
  <si>
    <t>RC488.5 .A26 1984</t>
  </si>
  <si>
    <t>0                      RC 0488500A  26          1984</t>
  </si>
  <si>
    <t>A theory of family systems / Norman J. Ackerman.</t>
  </si>
  <si>
    <t>Ackerman, Norman J.</t>
  </si>
  <si>
    <t>New York : Gardner Press, c1984.</t>
  </si>
  <si>
    <t>2001-12-11</t>
  </si>
  <si>
    <t>21023315:eng</t>
  </si>
  <si>
    <t>9441976</t>
  </si>
  <si>
    <t>991000196989702656</t>
  </si>
  <si>
    <t>2265063200002656</t>
  </si>
  <si>
    <t>9780898760323</t>
  </si>
  <si>
    <t>32285000880400</t>
  </si>
  <si>
    <t>893333292</t>
  </si>
  <si>
    <t>RC488.5 .A454 2008</t>
  </si>
  <si>
    <t>0                      RC 0488500A  454         2008</t>
  </si>
  <si>
    <t>Transformative family therapy : just families in a just society / Rhea V. Almeida, Ken Dolan-Del Vecchio, Lynn Parker.</t>
  </si>
  <si>
    <t>Almeida, Rhea V.</t>
  </si>
  <si>
    <t>Boston : Pearson/Allyn and Bacon, c2008.</t>
  </si>
  <si>
    <t>2007-12-13</t>
  </si>
  <si>
    <t>197049778:eng</t>
  </si>
  <si>
    <t>85885348</t>
  </si>
  <si>
    <t>991005150609702656</t>
  </si>
  <si>
    <t>2262146830002656</t>
  </si>
  <si>
    <t>9780205470082</t>
  </si>
  <si>
    <t>32285005372684</t>
  </si>
  <si>
    <t>893688680</t>
  </si>
  <si>
    <t>RC488.5 .A56 1994</t>
  </si>
  <si>
    <t>0                      RC 0488500A  56          1994</t>
  </si>
  <si>
    <t>Solving your problems together : family therapy for the whole family / Jane Annunziata, Phyllis Jacobson-Kram ; illustrated by Elizabeth Wolf.</t>
  </si>
  <si>
    <t>Annunziata, Jane.</t>
  </si>
  <si>
    <t>Washington, DC : American Psychological Association, 1994.</t>
  </si>
  <si>
    <t>1363769924:eng</t>
  </si>
  <si>
    <t>30913180</t>
  </si>
  <si>
    <t>991002378349702656</t>
  </si>
  <si>
    <t>2270144380002656</t>
  </si>
  <si>
    <t>9781557982681</t>
  </si>
  <si>
    <t>32285002003084</t>
  </si>
  <si>
    <t>893440088</t>
  </si>
  <si>
    <t>RC488.5 .A9 1992</t>
  </si>
  <si>
    <t>0                      RC 0488500A  9           1992</t>
  </si>
  <si>
    <t>Family therapy : a systemic-behavioral approach / editor, Joan D. Atwood.</t>
  </si>
  <si>
    <t>Chicago : Nelson-Hall, c1992.</t>
  </si>
  <si>
    <t>2004-03-20</t>
  </si>
  <si>
    <t>796287066:eng</t>
  </si>
  <si>
    <t>24954721</t>
  </si>
  <si>
    <t>991001969369702656</t>
  </si>
  <si>
    <t>2271606590002656</t>
  </si>
  <si>
    <t>9780830413003</t>
  </si>
  <si>
    <t>32285002054418</t>
  </si>
  <si>
    <t>893346955</t>
  </si>
  <si>
    <t>RC488.5 .B35</t>
  </si>
  <si>
    <t>0                      RC 0488500B  35</t>
  </si>
  <si>
    <t>The theory and technique of family therapy / by Charles P. Barnard and Ramon Garrido Corrales.</t>
  </si>
  <si>
    <t>Barnard, Charles P.</t>
  </si>
  <si>
    <t>1996-09-25</t>
  </si>
  <si>
    <t>471973:eng</t>
  </si>
  <si>
    <t>4496127</t>
  </si>
  <si>
    <t>991001786969702656</t>
  </si>
  <si>
    <t>2268724080002656</t>
  </si>
  <si>
    <t>9780398038595</t>
  </si>
  <si>
    <t>32285001606721</t>
  </si>
  <si>
    <t>893529226</t>
  </si>
  <si>
    <t>RC488.5 .B37 1990</t>
  </si>
  <si>
    <t>0                      RC 0488500B  37          1990</t>
  </si>
  <si>
    <t>Cognitive-behavioral marital therapy / by Donald H. Baucom and Norman Epstein.</t>
  </si>
  <si>
    <t>Baucom, Donald H.</t>
  </si>
  <si>
    <t>New York : Brunner/Mazel, 1990.</t>
  </si>
  <si>
    <t>Brunner/Mazel cognitive therapy series</t>
  </si>
  <si>
    <t>1994-08-15</t>
  </si>
  <si>
    <t>2854058:eng</t>
  </si>
  <si>
    <t>19589044</t>
  </si>
  <si>
    <t>991001477179702656</t>
  </si>
  <si>
    <t>2264003200002656</t>
  </si>
  <si>
    <t>9780876305584</t>
  </si>
  <si>
    <t>32285001008266</t>
  </si>
  <si>
    <t>893785127</t>
  </si>
  <si>
    <t>RC488.5 .B3798 1990</t>
  </si>
  <si>
    <t>0                      RC 0488500B  3798        1990</t>
  </si>
  <si>
    <t>Successful families : assessment and intervention / W. Robert Beavers, Robert B. Hampson.</t>
  </si>
  <si>
    <t>Beavers, W. Robert, 1929-</t>
  </si>
  <si>
    <t>1998-10-10</t>
  </si>
  <si>
    <t>42625111:eng</t>
  </si>
  <si>
    <t>21164033</t>
  </si>
  <si>
    <t>991001660969702656</t>
  </si>
  <si>
    <t>2259750500002656</t>
  </si>
  <si>
    <t>9780393700916</t>
  </si>
  <si>
    <t>32285002053881</t>
  </si>
  <si>
    <t>893772772</t>
  </si>
  <si>
    <t>RC488.5 .B38 1985</t>
  </si>
  <si>
    <t>0                      RC 0488500B  38          1985</t>
  </si>
  <si>
    <t>Successful marriage : a family systems approach to couples therapy / W. Robert Beavers.</t>
  </si>
  <si>
    <t>2010-08-31</t>
  </si>
  <si>
    <t>9381411212:eng</t>
  </si>
  <si>
    <t>11533066</t>
  </si>
  <si>
    <t>991000550629702656</t>
  </si>
  <si>
    <t>2258250380002656</t>
  </si>
  <si>
    <t>9780393700060</t>
  </si>
  <si>
    <t>32285001606747</t>
  </si>
  <si>
    <t>893802878</t>
  </si>
  <si>
    <t>RC488.5 .B39 1982</t>
  </si>
  <si>
    <t>0                      RC 0488500B  39          1982</t>
  </si>
  <si>
    <t>Systems theory and family therapy : a primer / Raphael J. Becvar, Dorothy Stroh Becvar.</t>
  </si>
  <si>
    <t>Becvar, Raphael J., 1931-</t>
  </si>
  <si>
    <t>2003-07-21</t>
  </si>
  <si>
    <t>483588:eng</t>
  </si>
  <si>
    <t>8386660</t>
  </si>
  <si>
    <t>991005265589702656</t>
  </si>
  <si>
    <t>2268412410002656</t>
  </si>
  <si>
    <t>9780819124432</t>
  </si>
  <si>
    <t>32285000245943</t>
  </si>
  <si>
    <t>893613417</t>
  </si>
  <si>
    <t>RC488.5 .B47 1984</t>
  </si>
  <si>
    <t>0                      RC 0488500B  47          1984</t>
  </si>
  <si>
    <t>Practicing family therapy in diverse settings / Michael Berger, Gregory J. Jurkovic and associates ; foreword by Jay Haley.</t>
  </si>
  <si>
    <t>Berger, Michael, 1946-</t>
  </si>
  <si>
    <t>1993-07-09</t>
  </si>
  <si>
    <t>3215077:eng</t>
  </si>
  <si>
    <t>10375096</t>
  </si>
  <si>
    <t>991000362439702656</t>
  </si>
  <si>
    <t>2258080040002656</t>
  </si>
  <si>
    <t>9780875895918</t>
  </si>
  <si>
    <t>32285001606754</t>
  </si>
  <si>
    <t>893231058</t>
  </si>
  <si>
    <t>RC488.5 .B648 1986</t>
  </si>
  <si>
    <t>0                      RC 0488500B  648         1986</t>
  </si>
  <si>
    <t>Marital therapy : a behavioral-communications approach / Philip H. Bornstein and Marcy T. Bornstein.</t>
  </si>
  <si>
    <t>Bornstein, Philip H.</t>
  </si>
  <si>
    <t>New York : Pergamon Press, c1986.</t>
  </si>
  <si>
    <t>2005-03-21</t>
  </si>
  <si>
    <t>170726121:eng</t>
  </si>
  <si>
    <t>12189615</t>
  </si>
  <si>
    <t>991000653759702656</t>
  </si>
  <si>
    <t>2255391820002656</t>
  </si>
  <si>
    <t>9780080316147</t>
  </si>
  <si>
    <t>32285001606762</t>
  </si>
  <si>
    <t>893515474</t>
  </si>
  <si>
    <t>RC488.5 .B683 1992</t>
  </si>
  <si>
    <t>0                      RC 0488500B  683         1992</t>
  </si>
  <si>
    <t>Metaframeworks : transcending the models of family therapy / [Douglas C. Breunlin, Richard C. Schwartz, Betty Mac Kune-Karrer].</t>
  </si>
  <si>
    <t>Breunlin, Douglas C.</t>
  </si>
  <si>
    <t>San Francisco : Jossey-Bass, c1992.</t>
  </si>
  <si>
    <t>891001106:eng</t>
  </si>
  <si>
    <t>24590165</t>
  </si>
  <si>
    <t>991001945849702656</t>
  </si>
  <si>
    <t>2272768290002656</t>
  </si>
  <si>
    <t>9781555424268</t>
  </si>
  <si>
    <t>32285001402220</t>
  </si>
  <si>
    <t>893791867</t>
  </si>
  <si>
    <t>RC488.5 .D59 1998</t>
  </si>
  <si>
    <t>0                      RC 0488500D  59          1998</t>
  </si>
  <si>
    <t>The disordered couple / edited by Jon Carlson and Len Sperry.</t>
  </si>
  <si>
    <t>Bristol, Pa. : Brunner/Mazel, c1998.</t>
  </si>
  <si>
    <t>2002-04-24</t>
  </si>
  <si>
    <t>1999-01-18</t>
  </si>
  <si>
    <t>355828390:eng</t>
  </si>
  <si>
    <t>37277505</t>
  </si>
  <si>
    <t>991002830849702656</t>
  </si>
  <si>
    <t>2271345200002656</t>
  </si>
  <si>
    <t>9780876308158</t>
  </si>
  <si>
    <t>32285003512729</t>
  </si>
  <si>
    <t>893692050</t>
  </si>
  <si>
    <t>RC488.5 .D6</t>
  </si>
  <si>
    <t>0                      RC 0488500D  6</t>
  </si>
  <si>
    <t>Family counseling : a systems approach / Laura Sue Dodson, in collaboration with DeWayne J. Kurpius ; foreword by Virginia Satir.</t>
  </si>
  <si>
    <t>Dodson, Laura Sue.</t>
  </si>
  <si>
    <t>Muncie, IN : Accelerated Development, c1977, 1979 printing.</t>
  </si>
  <si>
    <t>1990-02-06</t>
  </si>
  <si>
    <t>889710912:eng</t>
  </si>
  <si>
    <t>3129301</t>
  </si>
  <si>
    <t>991004354219702656</t>
  </si>
  <si>
    <t>2265328190002656</t>
  </si>
  <si>
    <t>9780915202089</t>
  </si>
  <si>
    <t>32285000039635</t>
  </si>
  <si>
    <t>893700123</t>
  </si>
  <si>
    <t>RC488.5 .E75 1996</t>
  </si>
  <si>
    <t>0                      RC 0488500E  75          1996</t>
  </si>
  <si>
    <t>Narrative solutions in brief therapy / Joseph B. Eron, Thomas W. Lund.</t>
  </si>
  <si>
    <t>Eron, Joseph B.</t>
  </si>
  <si>
    <t>New York : Guilford Press, c1996.</t>
  </si>
  <si>
    <t>2004-08-20</t>
  </si>
  <si>
    <t>1996-10-23</t>
  </si>
  <si>
    <t>937505:eng</t>
  </si>
  <si>
    <t>34410504</t>
  </si>
  <si>
    <t>991002624649702656</t>
  </si>
  <si>
    <t>2263659250002656</t>
  </si>
  <si>
    <t>9781572301269</t>
  </si>
  <si>
    <t>32285002367869</t>
  </si>
  <si>
    <t>893591570</t>
  </si>
  <si>
    <t>RC488.5 .F356 1988</t>
  </si>
  <si>
    <t>0                      RC 0488500F  356         1988</t>
  </si>
  <si>
    <t>Family transitions : continuity and change over the life cycle / edited by Celia Jaes Falicov.</t>
  </si>
  <si>
    <t>2007-02-06</t>
  </si>
  <si>
    <t>1990-11-13</t>
  </si>
  <si>
    <t>865299777:eng</t>
  </si>
  <si>
    <t>16801425</t>
  </si>
  <si>
    <t>991001148019702656</t>
  </si>
  <si>
    <t>2269004240002656</t>
  </si>
  <si>
    <t>9780898620740</t>
  </si>
  <si>
    <t>32285000355080</t>
  </si>
  <si>
    <t>893407890</t>
  </si>
  <si>
    <t>RC488.5 .F45 1988</t>
  </si>
  <si>
    <t>0                      RC 0488500F  45          1988</t>
  </si>
  <si>
    <t>Feminist family therapy : a casebook / Thelma Jean Goodrich ... [et al.].</t>
  </si>
  <si>
    <t>New York : Norton, c1988.</t>
  </si>
  <si>
    <t>1992-07-14</t>
  </si>
  <si>
    <t>55530748:eng</t>
  </si>
  <si>
    <t>16984367</t>
  </si>
  <si>
    <t>991001173779702656</t>
  </si>
  <si>
    <t>2269783680002656</t>
  </si>
  <si>
    <t>9780393700503</t>
  </si>
  <si>
    <t>32285001151876</t>
  </si>
  <si>
    <t>893596259</t>
  </si>
  <si>
    <t>RC488.5 .F7 1982</t>
  </si>
  <si>
    <t>0                      RC 0488500F  7           1982</t>
  </si>
  <si>
    <t>Explorations in marital and family therapy : selected papers of James L. Framo / James L. Framo ; foreword by Murray Bowen.</t>
  </si>
  <si>
    <t>Framo, James L.</t>
  </si>
  <si>
    <t>New York : Springer Pub. Co., c1982.</t>
  </si>
  <si>
    <t>1997-06-26</t>
  </si>
  <si>
    <t>493147:eng</t>
  </si>
  <si>
    <t>7975504</t>
  </si>
  <si>
    <t>991005265599702656</t>
  </si>
  <si>
    <t>2264198220002656</t>
  </si>
  <si>
    <t>9780826134004</t>
  </si>
  <si>
    <t>32285000106525</t>
  </si>
  <si>
    <t>893701292</t>
  </si>
  <si>
    <t>RC488.5 .F73 1987</t>
  </si>
  <si>
    <t>0                      RC 0488500F  73          1987</t>
  </si>
  <si>
    <t>Handbook of measurements for marriage and family therapy / by Norman Fredman &amp; Robert Sherman.</t>
  </si>
  <si>
    <t>Fredman, Norman, 1932-</t>
  </si>
  <si>
    <t>New York : Brunner/Mazel, c1987.</t>
  </si>
  <si>
    <t>2008-12-16</t>
  </si>
  <si>
    <t>1990-05-03</t>
  </si>
  <si>
    <t>2853756:eng</t>
  </si>
  <si>
    <t>15550627</t>
  </si>
  <si>
    <t>991001038129702656</t>
  </si>
  <si>
    <t>2256339050002656</t>
  </si>
  <si>
    <t>9780876304662</t>
  </si>
  <si>
    <t>32285000117647</t>
  </si>
  <si>
    <t>893315457</t>
  </si>
  <si>
    <t>RC488.5 .G525 1994</t>
  </si>
  <si>
    <t>0                      RC 0488500G  525         1994</t>
  </si>
  <si>
    <t>Play in family therapy / Eliana Gil ; foreword by Robert-Jay Green.</t>
  </si>
  <si>
    <t>Gil, Eliana.</t>
  </si>
  <si>
    <t>New York : Guilford Press, c1994.</t>
  </si>
  <si>
    <t>1995-11-15</t>
  </si>
  <si>
    <t>933121:eng</t>
  </si>
  <si>
    <t>29467002</t>
  </si>
  <si>
    <t>991002270269702656</t>
  </si>
  <si>
    <t>2260758260002656</t>
  </si>
  <si>
    <t>9780898627565</t>
  </si>
  <si>
    <t>32285002098662</t>
  </si>
  <si>
    <t>893497909</t>
  </si>
  <si>
    <t>RC488.5 .H314 2007</t>
  </si>
  <si>
    <t>0                      RC 0488500H  314         2007</t>
  </si>
  <si>
    <t>Directive family therapy / Jay Haley, Madeleine Richeport-Haley.</t>
  </si>
  <si>
    <t>New York : Haworth Press, c2007.</t>
  </si>
  <si>
    <t>Haworth series in brief &amp; solution-focused therapies</t>
  </si>
  <si>
    <t>69767644:eng</t>
  </si>
  <si>
    <t>85885398</t>
  </si>
  <si>
    <t>991005269499702656</t>
  </si>
  <si>
    <t>2262143800002656</t>
  </si>
  <si>
    <t>9780789033550</t>
  </si>
  <si>
    <t>32285005464689</t>
  </si>
  <si>
    <t>893607109</t>
  </si>
  <si>
    <t>RC488.5 .H33</t>
  </si>
  <si>
    <t>0                      RC 0488500H  33</t>
  </si>
  <si>
    <t>Handbook of family therapy / edited by Alan S. Gurman and David P. Kniskern.</t>
  </si>
  <si>
    <t>New York : Brunner/Mazel, c1981.</t>
  </si>
  <si>
    <t>1996-02-23</t>
  </si>
  <si>
    <t>353261926:eng</t>
  </si>
  <si>
    <t>6626231</t>
  </si>
  <si>
    <t>991001758869702656</t>
  </si>
  <si>
    <t>2256076110002656</t>
  </si>
  <si>
    <t>9780876302422</t>
  </si>
  <si>
    <t>32285000245968</t>
  </si>
  <si>
    <t>893602864</t>
  </si>
  <si>
    <t>RC488.5 .H4</t>
  </si>
  <si>
    <t>0                      RC 0488500H  4</t>
  </si>
  <si>
    <t>Adults and their parents in family therapy : a new direction in treatment / Lee Headley ; with a foreword by Virginia M. Satir.</t>
  </si>
  <si>
    <t>Headley, Lee A.</t>
  </si>
  <si>
    <t>New York : Plenum Press, c1977.</t>
  </si>
  <si>
    <t>503627970:eng</t>
  </si>
  <si>
    <t>3294653</t>
  </si>
  <si>
    <t>991004400129702656</t>
  </si>
  <si>
    <t>2259543170002656</t>
  </si>
  <si>
    <t>9780306310874</t>
  </si>
  <si>
    <t>32285001606796</t>
  </si>
  <si>
    <t>893782193</t>
  </si>
  <si>
    <t>RC488.5 .H59 1990</t>
  </si>
  <si>
    <t>0                      RC 0488500H  59          1990</t>
  </si>
  <si>
    <t>Intermarried couples in therapy / by Man Keung Ho.</t>
  </si>
  <si>
    <t>Ho, Man Keung.</t>
  </si>
  <si>
    <t>2002-05-08</t>
  </si>
  <si>
    <t>1992-04-20</t>
  </si>
  <si>
    <t>22751987:eng</t>
  </si>
  <si>
    <t>20595917</t>
  </si>
  <si>
    <t>991001594109702656</t>
  </si>
  <si>
    <t>2270573120002656</t>
  </si>
  <si>
    <t>9780398056520</t>
  </si>
  <si>
    <t>32285001035814</t>
  </si>
  <si>
    <t>893497193</t>
  </si>
  <si>
    <t>RC488.5 .I45 1998</t>
  </si>
  <si>
    <t>0                      RC 0488500I  45          1998</t>
  </si>
  <si>
    <t>The secret life of families : truth-telling, privacy, and reconciliation in a tell-all society / Evan Imber-Black.</t>
  </si>
  <si>
    <t>Imber-Black, Evan.</t>
  </si>
  <si>
    <t>New York : Bantam Books, c1998.</t>
  </si>
  <si>
    <t>2009-05-11</t>
  </si>
  <si>
    <t>3373231401:eng</t>
  </si>
  <si>
    <t>37761831</t>
  </si>
  <si>
    <t>991005315209702656</t>
  </si>
  <si>
    <t>2272380470002656</t>
  </si>
  <si>
    <t>9780553100945</t>
  </si>
  <si>
    <t>32285005531719</t>
  </si>
  <si>
    <t>893418733</t>
  </si>
  <si>
    <t>RC488.5 .I585 1989</t>
  </si>
  <si>
    <t>0                      RC 0488500I  585         1989</t>
  </si>
  <si>
    <t>Intimate environments : sex, intimacy, and gender in families / edited by David Kantor, Barbara F. Okun.</t>
  </si>
  <si>
    <t>New York : Guilford Press, c1989.</t>
  </si>
  <si>
    <t>2005-02-17</t>
  </si>
  <si>
    <t>1992-09-30</t>
  </si>
  <si>
    <t>432207452:eng</t>
  </si>
  <si>
    <t>19064052</t>
  </si>
  <si>
    <t>991001427619702656</t>
  </si>
  <si>
    <t>2260913590002656</t>
  </si>
  <si>
    <t>9780898627480</t>
  </si>
  <si>
    <t>32285001315265</t>
  </si>
  <si>
    <t>893250244</t>
  </si>
  <si>
    <t>RC488.5 .I59 1988</t>
  </si>
  <si>
    <t>0                      RC 0488500I  59          1988</t>
  </si>
  <si>
    <t>The Invisible web : gender patterns in family relationships / Marianne Walters ... [et al.] ; the Women's Project in Family Therapy.</t>
  </si>
  <si>
    <t>889373393:eng</t>
  </si>
  <si>
    <t>18560051</t>
  </si>
  <si>
    <t>991001368289702656</t>
  </si>
  <si>
    <t>2271607130002656</t>
  </si>
  <si>
    <t>9780898627343</t>
  </si>
  <si>
    <t>32285000593615</t>
  </si>
  <si>
    <t>893809045</t>
  </si>
  <si>
    <t>RC488.5 .J33</t>
  </si>
  <si>
    <t>0                      RC 0488500J  33</t>
  </si>
  <si>
    <t>Communication, family, and marriage / edited by Don D. Jackson.</t>
  </si>
  <si>
    <t>Jackson, Don D. (Don De Avila), 1920-1968 compiler.</t>
  </si>
  <si>
    <t>Palo Alto, Calif. : Science and Behavior Books, [1968]</t>
  </si>
  <si>
    <t>Human communication, v. 1</t>
  </si>
  <si>
    <t>1570585:eng</t>
  </si>
  <si>
    <t>442048</t>
  </si>
  <si>
    <t>991002787099702656</t>
  </si>
  <si>
    <t>2255704080002656</t>
  </si>
  <si>
    <t>32285000978212</t>
  </si>
  <si>
    <t>893251611</t>
  </si>
  <si>
    <t>RC488.5 .K65 1985</t>
  </si>
  <si>
    <t>0                      RC 0488500K  65          1985</t>
  </si>
  <si>
    <t>Family therapy models : convergence and divergence / Michael S. Kolevzon, Robert G. Green.</t>
  </si>
  <si>
    <t>Kolevzon, Michael S.</t>
  </si>
  <si>
    <t>254665149:eng</t>
  </si>
  <si>
    <t>11970248</t>
  </si>
  <si>
    <t>991000618729702656</t>
  </si>
  <si>
    <t>2256464590002656</t>
  </si>
  <si>
    <t>9780826144508</t>
  </si>
  <si>
    <t>32285001606804</t>
  </si>
  <si>
    <t>893321192</t>
  </si>
  <si>
    <t>RC488.5 .L82 1988</t>
  </si>
  <si>
    <t>0                      RC 0488500L  82          1988</t>
  </si>
  <si>
    <t>The family interpreted : feminist theory in clinical practice / Deborah Anna Luepnitz.</t>
  </si>
  <si>
    <t>Luepnitz, Deborah Anna.</t>
  </si>
  <si>
    <t>New York : Basic Books, c1988.</t>
  </si>
  <si>
    <t>1999-06-09</t>
  </si>
  <si>
    <t>17218061:eng</t>
  </si>
  <si>
    <t>18049962</t>
  </si>
  <si>
    <t>991001297359702656</t>
  </si>
  <si>
    <t>2260542670002656</t>
  </si>
  <si>
    <t>9780465023509</t>
  </si>
  <si>
    <t>32285001105500</t>
  </si>
  <si>
    <t>893608755</t>
  </si>
  <si>
    <t>RC488.5 .M32 1981</t>
  </si>
  <si>
    <t>0                      RC 0488500M  32          1981</t>
  </si>
  <si>
    <t>Strategic family therapy / Cloé Madanes.</t>
  </si>
  <si>
    <t>Madanes, Cloé.</t>
  </si>
  <si>
    <t>San Francisco : Jossey-Bass, 1981.</t>
  </si>
  <si>
    <t>1995-07-18</t>
  </si>
  <si>
    <t>532863:eng</t>
  </si>
  <si>
    <t>6917416</t>
  </si>
  <si>
    <t>991005060469702656</t>
  </si>
  <si>
    <t>2264610870002656</t>
  </si>
  <si>
    <t>9780875894874</t>
  </si>
  <si>
    <t>32285001606812</t>
  </si>
  <si>
    <t>893424481</t>
  </si>
  <si>
    <t>RC488.5 .M54 2007</t>
  </si>
  <si>
    <t>0                      RC 0488500M  54          2007</t>
  </si>
  <si>
    <t>Assessing families and couples : from symptom to system / Salvador Minuchin, Michael P. Nichols, Wai-Yung Lee.</t>
  </si>
  <si>
    <t>Minuchin, Salvador.</t>
  </si>
  <si>
    <t>Boston : Pearson/Allyn and Bacon, c2007.</t>
  </si>
  <si>
    <t>2008-03-05</t>
  </si>
  <si>
    <t>2007-12-17</t>
  </si>
  <si>
    <t>892783304:eng</t>
  </si>
  <si>
    <t>62741576</t>
  </si>
  <si>
    <t>991005150559702656</t>
  </si>
  <si>
    <t>2256713350002656</t>
  </si>
  <si>
    <t>9780205470129</t>
  </si>
  <si>
    <t>32285005373377</t>
  </si>
  <si>
    <t>893536416</t>
  </si>
  <si>
    <t>RC488.5 .N47 1986</t>
  </si>
  <si>
    <t>0                      RC 0488500N  47          1986</t>
  </si>
  <si>
    <t>Family reconstruction : long day's journey into light / William F. Nerin ; foreword by Virginia Satir.</t>
  </si>
  <si>
    <t>Nerin, William F.</t>
  </si>
  <si>
    <t>New York : Norton, c1986.</t>
  </si>
  <si>
    <t>1994-10-24</t>
  </si>
  <si>
    <t>1992-02-25</t>
  </si>
  <si>
    <t>351431490:eng</t>
  </si>
  <si>
    <t>12342820</t>
  </si>
  <si>
    <t>991000674119702656</t>
  </si>
  <si>
    <t>2268548740002656</t>
  </si>
  <si>
    <t>9780393700176</t>
  </si>
  <si>
    <t>32285000975903</t>
  </si>
  <si>
    <t>893871890</t>
  </si>
  <si>
    <t>RC488.5 .N535 1986</t>
  </si>
  <si>
    <t>0                      RC 0488500N  535         1986</t>
  </si>
  <si>
    <t>Systemic family therapy : an integrative approach / William C. Nichols and Craig A. Everett.</t>
  </si>
  <si>
    <t>Nichols, William C., 1929-</t>
  </si>
  <si>
    <t>New York : Guilford Press, c1986.</t>
  </si>
  <si>
    <t>2006-04-20</t>
  </si>
  <si>
    <t>906227562:eng</t>
  </si>
  <si>
    <t>12341551</t>
  </si>
  <si>
    <t>991000673129702656</t>
  </si>
  <si>
    <t>2266900130002656</t>
  </si>
  <si>
    <t>9780898620665</t>
  </si>
  <si>
    <t>32285001606820</t>
  </si>
  <si>
    <t>893714800</t>
  </si>
  <si>
    <t>RC488.5 .O35</t>
  </si>
  <si>
    <t>0                      RC 0488500O  35</t>
  </si>
  <si>
    <t>When a family needs therapy : a practical assessment guide for parents, lay therapists, and professionals / Gina Ogden and Anne Zevin.</t>
  </si>
  <si>
    <t>Ogden, Gina.</t>
  </si>
  <si>
    <t>Boston : Beacon Press, c1976.</t>
  </si>
  <si>
    <t>1995-04-29</t>
  </si>
  <si>
    <t>1992-05-12</t>
  </si>
  <si>
    <t>375741667:eng</t>
  </si>
  <si>
    <t>2345593</t>
  </si>
  <si>
    <t>991004090699702656</t>
  </si>
  <si>
    <t>2261928700002656</t>
  </si>
  <si>
    <t>9780807027523</t>
  </si>
  <si>
    <t>32285001107233</t>
  </si>
  <si>
    <t>893775607</t>
  </si>
  <si>
    <t>RC488.5 .O39 1980</t>
  </si>
  <si>
    <t>0                      RC 0488500O  39          1980</t>
  </si>
  <si>
    <t>Working with families : an introduction to family therapy / Barbara F. Okun, Louis J. Rappaport.</t>
  </si>
  <si>
    <t>Okun, Barbara F.</t>
  </si>
  <si>
    <t>Monterey, Calif. : Brooks/Cole, c1980.</t>
  </si>
  <si>
    <t>1997-06-13</t>
  </si>
  <si>
    <t>1992-07-07</t>
  </si>
  <si>
    <t>3055756:eng</t>
  </si>
  <si>
    <t>10218249</t>
  </si>
  <si>
    <t>991000334069702656</t>
  </si>
  <si>
    <t>2262167760002656</t>
  </si>
  <si>
    <t>32285001150100</t>
  </si>
  <si>
    <t>893802686</t>
  </si>
  <si>
    <t>RC488.5 .P47</t>
  </si>
  <si>
    <t>0                      RC 0488500P  47</t>
  </si>
  <si>
    <t>Perspectives on family therapy / editor: David S. Freeman, asst. editor: Alix Hirabayashi.</t>
  </si>
  <si>
    <t>Vancouver, B.C. : Butterworth, 1980.</t>
  </si>
  <si>
    <t>bcc</t>
  </si>
  <si>
    <t>54426584:eng</t>
  </si>
  <si>
    <t>7252188</t>
  </si>
  <si>
    <t>991005093529702656</t>
  </si>
  <si>
    <t>2255794580002656</t>
  </si>
  <si>
    <t>9780409988246</t>
  </si>
  <si>
    <t>32285001606846</t>
  </si>
  <si>
    <t>893688584</t>
  </si>
  <si>
    <t>RC488.5 .P55 1994</t>
  </si>
  <si>
    <t>0                      RC 0488500P  55          1994</t>
  </si>
  <si>
    <t>Stop marital fights before they start / Fred P. Piercy and Norman M. Lobsenz.</t>
  </si>
  <si>
    <t>Piercy, Fred P.</t>
  </si>
  <si>
    <t>New York : Berkley Books, c1994.</t>
  </si>
  <si>
    <t>1996-12-20</t>
  </si>
  <si>
    <t>33257529:eng</t>
  </si>
  <si>
    <t>31183905</t>
  </si>
  <si>
    <t>991002399709702656</t>
  </si>
  <si>
    <t>2256140050002656</t>
  </si>
  <si>
    <t>9780425144022</t>
  </si>
  <si>
    <t>32285002400678</t>
  </si>
  <si>
    <t>893232907</t>
  </si>
  <si>
    <t>RC488.5 .P58 1987</t>
  </si>
  <si>
    <t>0                      RC 0488500P  58          1987</t>
  </si>
  <si>
    <t>Turning points : treating families in transition and crisis / Frank S. Pittman III.</t>
  </si>
  <si>
    <t>Pittman, Frank S., 1935-</t>
  </si>
  <si>
    <t>1999-11-18</t>
  </si>
  <si>
    <t>796281705:eng</t>
  </si>
  <si>
    <t>15016850</t>
  </si>
  <si>
    <t>991000977459702656</t>
  </si>
  <si>
    <t>2264378180002656</t>
  </si>
  <si>
    <t>9780393700404</t>
  </si>
  <si>
    <t>32285000975895</t>
  </si>
  <si>
    <t>893608435</t>
  </si>
  <si>
    <t>RC488.5 .R58 1988</t>
  </si>
  <si>
    <t>0                      RC 0488500R  58          1988</t>
  </si>
  <si>
    <t>Rituals in families and family therapy / [edited by] Evan Imber-Black, Janine Roberts, Richard A. Whiting.</t>
  </si>
  <si>
    <t>2000-10-16</t>
  </si>
  <si>
    <t>1991-06-11</t>
  </si>
  <si>
    <t>351750704:eng</t>
  </si>
  <si>
    <t>18072241</t>
  </si>
  <si>
    <t>991001303169702656</t>
  </si>
  <si>
    <t>2267224040002656</t>
  </si>
  <si>
    <t>9780393700640</t>
  </si>
  <si>
    <t>32285000655331</t>
  </si>
  <si>
    <t>893785019</t>
  </si>
  <si>
    <t>RC488.5 .S17 1976</t>
  </si>
  <si>
    <t>0                      RC 0488500S  17          1976</t>
  </si>
  <si>
    <t>Marriage contracts and couple therapy : hidden forces in intimate relationships / by Clifford J. Sager.</t>
  </si>
  <si>
    <t>Sager, Clifford J., 1916-2005.</t>
  </si>
  <si>
    <t>New York : Brunner/Mazel, c1976.</t>
  </si>
  <si>
    <t>836883791:eng</t>
  </si>
  <si>
    <t>2332218</t>
  </si>
  <si>
    <t>991004086559702656</t>
  </si>
  <si>
    <t>2264000480002656</t>
  </si>
  <si>
    <t>9780876301302</t>
  </si>
  <si>
    <t>32285001606853</t>
  </si>
  <si>
    <t>893253226</t>
  </si>
  <si>
    <t>RC488.5 .S23</t>
  </si>
  <si>
    <t>0                      RC 0488500S  23</t>
  </si>
  <si>
    <t>Helping families to change / by Virginia Satir, James Stachowiak, Harvey A. Taschman ; prepared and edited by Donald W. Tiffany ... [et al.] ; ill. by Marilyn Ybarra.</t>
  </si>
  <si>
    <t>Satir, Virginia.</t>
  </si>
  <si>
    <t>New York : J. Aronson, c1975.</t>
  </si>
  <si>
    <t>2005-02-07</t>
  </si>
  <si>
    <t>1993-08-03</t>
  </si>
  <si>
    <t>583042:eng</t>
  </si>
  <si>
    <t>1975051</t>
  </si>
  <si>
    <t>991003960729702656</t>
  </si>
  <si>
    <t>2262531060002656</t>
  </si>
  <si>
    <t>9780876682388</t>
  </si>
  <si>
    <t>32285001748390</t>
  </si>
  <si>
    <t>893324764</t>
  </si>
  <si>
    <t>RC488.5 .S38 1984</t>
  </si>
  <si>
    <t>0                      RC 0488500S  38          1984</t>
  </si>
  <si>
    <t>Family systems therapy : an integration / Stephen J. Schultz.</t>
  </si>
  <si>
    <t>Schultz, Stephen J.</t>
  </si>
  <si>
    <t>New York : J. Aronson : Distributed by the Scribner Bk. Companies, c1984.</t>
  </si>
  <si>
    <t>1995-12-04</t>
  </si>
  <si>
    <t>961479933:eng</t>
  </si>
  <si>
    <t>9828347</t>
  </si>
  <si>
    <t>991000264449702656</t>
  </si>
  <si>
    <t>2269483220002656</t>
  </si>
  <si>
    <t>9780876686454</t>
  </si>
  <si>
    <t>32285000880418</t>
  </si>
  <si>
    <t>893419338</t>
  </si>
  <si>
    <t>RC488.5 .S415 1993</t>
  </si>
  <si>
    <t>0                      RC 0488500S  415         1993</t>
  </si>
  <si>
    <t>Secrets in families and family therapy / [edited by] Evan Imber-Black.</t>
  </si>
  <si>
    <t>New York : W.W. Norton &amp; Co., c1993.</t>
  </si>
  <si>
    <t>1998-07-29</t>
  </si>
  <si>
    <t>1996-05-15</t>
  </si>
  <si>
    <t>29307688:eng</t>
  </si>
  <si>
    <t>26396398</t>
  </si>
  <si>
    <t>991002061999702656</t>
  </si>
  <si>
    <t>2257022590002656</t>
  </si>
  <si>
    <t>9780393701470</t>
  </si>
  <si>
    <t>32285002167970</t>
  </si>
  <si>
    <t>893529482</t>
  </si>
  <si>
    <t>RC488.5 .S773 1985</t>
  </si>
  <si>
    <t>0                      RC 0488500S  773         1985</t>
  </si>
  <si>
    <t>Resolving marital conflicts : a psychodynamic perspective / Herbert S. Strean.</t>
  </si>
  <si>
    <t>Strean, Herbert S.</t>
  </si>
  <si>
    <t>New York : Wiley, 1985.</t>
  </si>
  <si>
    <t>Wiley series on pesonality processes</t>
  </si>
  <si>
    <t>1995-10-29</t>
  </si>
  <si>
    <t>1993-03-16</t>
  </si>
  <si>
    <t>836717708:eng</t>
  </si>
  <si>
    <t>12188472</t>
  </si>
  <si>
    <t>991000652529702656</t>
  </si>
  <si>
    <t>2254758920002656</t>
  </si>
  <si>
    <t>9780471825043</t>
  </si>
  <si>
    <t>32285001572626</t>
  </si>
  <si>
    <t>893790733</t>
  </si>
  <si>
    <t>RC488.5 .T719 1989</t>
  </si>
  <si>
    <t>0                      RC 0488500T  719         1989</t>
  </si>
  <si>
    <t>Treating stress in families / edited by Charles R. Figley.</t>
  </si>
  <si>
    <t>Brunner/Mazel psychosocial stress series ; no. 13</t>
  </si>
  <si>
    <t>2004-10-04</t>
  </si>
  <si>
    <t>1990-02-16</t>
  </si>
  <si>
    <t>2853985:eng</t>
  </si>
  <si>
    <t>18588250</t>
  </si>
  <si>
    <t>991001372399702656</t>
  </si>
  <si>
    <t>2266117990002656</t>
  </si>
  <si>
    <t>9780876305300</t>
  </si>
  <si>
    <t>32285000038942</t>
  </si>
  <si>
    <t>893321870</t>
  </si>
  <si>
    <t>RC488.5 .U47 1986</t>
  </si>
  <si>
    <t>0                      RC 0488500U  47          1986</t>
  </si>
  <si>
    <t>To love and work : a systemic interlocking of family, workplace, and career / David N. Ulrich, Harry P. Dunne, Jr.</t>
  </si>
  <si>
    <t>Ulrich, David N., 1919-</t>
  </si>
  <si>
    <t>New York : Brunner/Mazel, c1986.</t>
  </si>
  <si>
    <t>1993-05-17</t>
  </si>
  <si>
    <t>986618381:eng</t>
  </si>
  <si>
    <t>13334273</t>
  </si>
  <si>
    <t>991000814069702656</t>
  </si>
  <si>
    <t>2263958110002656</t>
  </si>
  <si>
    <t>9780876304211</t>
  </si>
  <si>
    <t>32285001606879</t>
  </si>
  <si>
    <t>893589758</t>
  </si>
  <si>
    <t>RC488.5 .V56 1988</t>
  </si>
  <si>
    <t>0                      RC 0488500V  56          1988</t>
  </si>
  <si>
    <t>Old loyalties, new ties : therapeutic strategies with stepfamilies / by Emily B. Visher and John S. Visher.</t>
  </si>
  <si>
    <t>Visher, Emily B., 1918-2001.</t>
  </si>
  <si>
    <t>New York : Brunner/Mazel, c1988.</t>
  </si>
  <si>
    <t>1996-04-04</t>
  </si>
  <si>
    <t>2853816:eng</t>
  </si>
  <si>
    <t>16685051</t>
  </si>
  <si>
    <t>991001132999702656</t>
  </si>
  <si>
    <t>2271325860002656</t>
  </si>
  <si>
    <t>9780876304891</t>
  </si>
  <si>
    <t>32285000136373</t>
  </si>
  <si>
    <t>893515928</t>
  </si>
  <si>
    <t>RC488.5 .W35</t>
  </si>
  <si>
    <t>0                      RC 0488500W  35</t>
  </si>
  <si>
    <t>A primer in family therapy / by William M. Walsh.</t>
  </si>
  <si>
    <t>Walsh, William M.</t>
  </si>
  <si>
    <t>472124:eng</t>
  </si>
  <si>
    <t>5411393</t>
  </si>
  <si>
    <t>991004831539702656</t>
  </si>
  <si>
    <t>2256356420002656</t>
  </si>
  <si>
    <t>9780398039929</t>
  </si>
  <si>
    <t>32285001606887</t>
  </si>
  <si>
    <t>893807523</t>
  </si>
  <si>
    <t>RC488.5 .W55</t>
  </si>
  <si>
    <t>0                      RC 0488500W  55</t>
  </si>
  <si>
    <t>Couples therapy, a nontraditional approach / Daniel B. Wile.</t>
  </si>
  <si>
    <t>Wile, Daniel B.</t>
  </si>
  <si>
    <t>1992-02-01</t>
  </si>
  <si>
    <t>489068:eng</t>
  </si>
  <si>
    <t>7284101</t>
  </si>
  <si>
    <t>991001801689702656</t>
  </si>
  <si>
    <t>2259395340002656</t>
  </si>
  <si>
    <t>9780471078111</t>
  </si>
  <si>
    <t>32285000933183</t>
  </si>
  <si>
    <t>893866496</t>
  </si>
  <si>
    <t>RC488.6 .B64 1995</t>
  </si>
  <si>
    <t>0                      RC 0488600B  64          1995</t>
  </si>
  <si>
    <t>Helping families through divorce : an eclectic approach / Ellen B. Bogolub.</t>
  </si>
  <si>
    <t>Bogolub, Ellen B.</t>
  </si>
  <si>
    <t>New York : Springer Pub. Co., c1995.</t>
  </si>
  <si>
    <t>2000-11-08</t>
  </si>
  <si>
    <t>968274:eng</t>
  </si>
  <si>
    <t>32591132</t>
  </si>
  <si>
    <t>991003284269702656</t>
  </si>
  <si>
    <t>2269779080002656</t>
  </si>
  <si>
    <t>9780826190604</t>
  </si>
  <si>
    <t>32285004264387</t>
  </si>
  <si>
    <t>893598439</t>
  </si>
  <si>
    <t>RC488.6 .D57 1987</t>
  </si>
  <si>
    <t>0                      RC 0488600D  57          1987</t>
  </si>
  <si>
    <t>The Divorce process : a handbook for clinicians / Craig A. Everett, editor.</t>
  </si>
  <si>
    <t>1997-04-05</t>
  </si>
  <si>
    <t>1991-12-13</t>
  </si>
  <si>
    <t>54950083:eng</t>
  </si>
  <si>
    <t>15549406</t>
  </si>
  <si>
    <t>991001036429702656</t>
  </si>
  <si>
    <t>2266736990002656</t>
  </si>
  <si>
    <t>9780866566629</t>
  </si>
  <si>
    <t>32285000895903</t>
  </si>
  <si>
    <t>893522231</t>
  </si>
  <si>
    <t>RC488.6 .R53 1986</t>
  </si>
  <si>
    <t>0                      RC 0488600R  53          1986</t>
  </si>
  <si>
    <t>Living through divorce : a developmental approach to divorce therapy / Joy K. Rice, David G. Rice.</t>
  </si>
  <si>
    <t>Rice, Joy K.</t>
  </si>
  <si>
    <t>906227497:eng</t>
  </si>
  <si>
    <t>12907384</t>
  </si>
  <si>
    <t>991000749539702656</t>
  </si>
  <si>
    <t>2257653040002656</t>
  </si>
  <si>
    <t>9780898620610</t>
  </si>
  <si>
    <t>32285000895911</t>
  </si>
  <si>
    <t>893327551</t>
  </si>
  <si>
    <t>RC489.A77 R35 1991</t>
  </si>
  <si>
    <t>0                      RC 0489000A  77                 R  35          1991</t>
  </si>
  <si>
    <t>Assertive behavior : theory, research, and training / Richard F. Rakos.</t>
  </si>
  <si>
    <t>Rakos, Richard F., 1950-</t>
  </si>
  <si>
    <t>International series on communication skills</t>
  </si>
  <si>
    <t>836866670:eng</t>
  </si>
  <si>
    <t>21227510</t>
  </si>
  <si>
    <t>991001666739702656</t>
  </si>
  <si>
    <t>2269463340002656</t>
  </si>
  <si>
    <t>9780415000420</t>
  </si>
  <si>
    <t>32285001287084</t>
  </si>
  <si>
    <t>893414383</t>
  </si>
  <si>
    <t>RC489.B4 A36</t>
  </si>
  <si>
    <t>0                      RC 0489000B  4                  A  36</t>
  </si>
  <si>
    <t>Behavior therapy : toward an applied clinical science / W. Stewart Agras, Alan E. Kazdin, G. Terence Wilson.</t>
  </si>
  <si>
    <t>Agras, W. Stewart.</t>
  </si>
  <si>
    <t>San Francisco : W. H. Freeman, c1979.</t>
  </si>
  <si>
    <t>A Series of books in psychology</t>
  </si>
  <si>
    <t>1990-07-09</t>
  </si>
  <si>
    <t>3856776700:eng</t>
  </si>
  <si>
    <t>4593420</t>
  </si>
  <si>
    <t>991004687839702656</t>
  </si>
  <si>
    <t>2271266640002656</t>
  </si>
  <si>
    <t>9780716710868</t>
  </si>
  <si>
    <t>32285000222231</t>
  </si>
  <si>
    <t>893624971</t>
  </si>
  <si>
    <t>RC489.B4 B43517</t>
  </si>
  <si>
    <t>0                      RC 0489000B  4                  B  43517</t>
  </si>
  <si>
    <t>Behavior therapy in the psychiatric setting / edited by Michel Hersen and Alan S. Bellack ; with 14 contributors.</t>
  </si>
  <si>
    <t>Baltimore : Williams &amp; Wilkins Co., c1978.</t>
  </si>
  <si>
    <t>1992-11-04</t>
  </si>
  <si>
    <t>3759260697:eng</t>
  </si>
  <si>
    <t>3119619</t>
  </si>
  <si>
    <t>991004350479702656</t>
  </si>
  <si>
    <t>2269097790002656</t>
  </si>
  <si>
    <t>9780683039641</t>
  </si>
  <si>
    <t>32285001380509</t>
  </si>
  <si>
    <t>893411427</t>
  </si>
  <si>
    <t>RC489.B4 B4354 1981</t>
  </si>
  <si>
    <t>0                      RC 0489000B  4                  B  4354        1981</t>
  </si>
  <si>
    <t>Behavioral assessment : a practical handbook / edited by Michel Hersen, Alan S. Bellack.</t>
  </si>
  <si>
    <t>Pergamon general psychology series ; v. 65</t>
  </si>
  <si>
    <t>821920409:eng</t>
  </si>
  <si>
    <t>7282484</t>
  </si>
  <si>
    <t>991005100229702656</t>
  </si>
  <si>
    <t>2257954400002656</t>
  </si>
  <si>
    <t>9780080259550</t>
  </si>
  <si>
    <t>32285001606895</t>
  </si>
  <si>
    <t>893350710</t>
  </si>
  <si>
    <t>RC489.B4 C59</t>
  </si>
  <si>
    <t>0                      RC 0489000B  4                  C  59</t>
  </si>
  <si>
    <t>Clinical procedures for behavior therapy / C. Eugene Walker ... [et al.].</t>
  </si>
  <si>
    <t>Englewood Cliffs, N.J. : Prentice-Hall, [1981]</t>
  </si>
  <si>
    <t>25160974:eng</t>
  </si>
  <si>
    <t>6943171</t>
  </si>
  <si>
    <t>991005064539702656</t>
  </si>
  <si>
    <t>2257174610002656</t>
  </si>
  <si>
    <t>9780131377943</t>
  </si>
  <si>
    <t>32285001606903</t>
  </si>
  <si>
    <t>893707185</t>
  </si>
  <si>
    <t>RC489.B4 E77</t>
  </si>
  <si>
    <t>0                      RC 0489000B  4                  E  77</t>
  </si>
  <si>
    <t>Behavior therapy : scientific, philosophical, and moral foundations / Edward Erwin.</t>
  </si>
  <si>
    <t>Erwin, Edward, 1937-</t>
  </si>
  <si>
    <t>Cambridge ; New York : Cambridge University Press, 1978.</t>
  </si>
  <si>
    <t>822037765:eng</t>
  </si>
  <si>
    <t>3966062</t>
  </si>
  <si>
    <t>991005265549702656</t>
  </si>
  <si>
    <t>2263808280002656</t>
  </si>
  <si>
    <t>9780521222938</t>
  </si>
  <si>
    <t>32285001606929</t>
  </si>
  <si>
    <t>893514359</t>
  </si>
  <si>
    <t>RC489.B4 F87</t>
  </si>
  <si>
    <t>0                      RC 0489000B  4                  F  87</t>
  </si>
  <si>
    <t>Future perspectives in behavior therapy / edited by Larry Michelson, Michel Hersen, and Samuel M. Turner.</t>
  </si>
  <si>
    <t>New York : Plenum Press, c1981.</t>
  </si>
  <si>
    <t>Applied clinical psychology</t>
  </si>
  <si>
    <t>180772:eng</t>
  </si>
  <si>
    <t>7596366</t>
  </si>
  <si>
    <t>991005138599702656</t>
  </si>
  <si>
    <t>2255911270002656</t>
  </si>
  <si>
    <t>9780306406805</t>
  </si>
  <si>
    <t>32285001606945</t>
  </si>
  <si>
    <t>893883393</t>
  </si>
  <si>
    <t>RC489.B4 H344 1993</t>
  </si>
  <si>
    <t>0                      RC 0489000B  4                  H  344         1993</t>
  </si>
  <si>
    <t>Handbook of behavior therapy in the psychiatric setting / edited by Alan S. Bellack and Michel Hersen.</t>
  </si>
  <si>
    <t>Critical issues in psychiatry</t>
  </si>
  <si>
    <t>2001-12-04</t>
  </si>
  <si>
    <t>350059102:eng</t>
  </si>
  <si>
    <t>26856626</t>
  </si>
  <si>
    <t>991002094919702656</t>
  </si>
  <si>
    <t>2266782870002656</t>
  </si>
  <si>
    <t>9780306442759</t>
  </si>
  <si>
    <t>32285001999159</t>
  </si>
  <si>
    <t>893873095</t>
  </si>
  <si>
    <t>RC489.B4 H37</t>
  </si>
  <si>
    <t>0                      RC 0489000B  4                  H  37</t>
  </si>
  <si>
    <t>Handbook of clinical behavior therapy / edited by Samuel M. Turner, Karen S. Calhoun, Henry E. Adams.</t>
  </si>
  <si>
    <t>349930920:eng</t>
  </si>
  <si>
    <t>6379434</t>
  </si>
  <si>
    <t>991004975179702656</t>
  </si>
  <si>
    <t>2270774490002656</t>
  </si>
  <si>
    <t>9780471041788</t>
  </si>
  <si>
    <t>32285001606952</t>
  </si>
  <si>
    <t>893807683</t>
  </si>
  <si>
    <t>RC489.B4 I57 1972</t>
  </si>
  <si>
    <t>0                      RC 0489000B  4                  I  57          1972</t>
  </si>
  <si>
    <t>Applications of behavior modification : [papers] / edited by Travis Thompson, William S. Dockens, III.</t>
  </si>
  <si>
    <t>International Symposium on Behavior Modification (1st : 1972 : Minneapolis, Minn.)</t>
  </si>
  <si>
    <t>New York : Academic Press, [1975]</t>
  </si>
  <si>
    <t>1999-10-10</t>
  </si>
  <si>
    <t>355412012:eng</t>
  </si>
  <si>
    <t>1175853</t>
  </si>
  <si>
    <t>991003596919702656</t>
  </si>
  <si>
    <t>2271960630002656</t>
  </si>
  <si>
    <t>9780126895506</t>
  </si>
  <si>
    <t>32285000427962</t>
  </si>
  <si>
    <t>893617510</t>
  </si>
  <si>
    <t>RC489.B4 K38</t>
  </si>
  <si>
    <t>0                      RC 0489000B  4                  K  38</t>
  </si>
  <si>
    <t>Evaluation of behavior therapy : issues, evidence, and research strategies / Alan E. Kazdin, G. Terence Wilson. --</t>
  </si>
  <si>
    <t>Kazdin, Alan E.</t>
  </si>
  <si>
    <t>Cambridge, Mass. : Ballinger Pub. Co., c1978.</t>
  </si>
  <si>
    <t>1994-11-11</t>
  </si>
  <si>
    <t>9037770:eng</t>
  </si>
  <si>
    <t>3223707</t>
  </si>
  <si>
    <t>991004381779702656</t>
  </si>
  <si>
    <t>2259013480002656</t>
  </si>
  <si>
    <t>9780884105206</t>
  </si>
  <si>
    <t>32285001606960</t>
  </si>
  <si>
    <t>893624658</t>
  </si>
  <si>
    <t>RC489.B4 L3</t>
  </si>
  <si>
    <t>0                      RC 0489000B  4                  L  3</t>
  </si>
  <si>
    <t>Behavior therapy &amp; beyond [by] Arnold A. Lazarus.</t>
  </si>
  <si>
    <t>New York, McGraw-Hill [1971]</t>
  </si>
  <si>
    <t>McGraw-Hill series in psychology</t>
  </si>
  <si>
    <t>405746:eng</t>
  </si>
  <si>
    <t>139060</t>
  </si>
  <si>
    <t>991000801549702656</t>
  </si>
  <si>
    <t>2260993550002656</t>
  </si>
  <si>
    <t>9780070368002</t>
  </si>
  <si>
    <t>32285003092029</t>
  </si>
  <si>
    <t>893432308</t>
  </si>
  <si>
    <t>RC489.B4 L52</t>
  </si>
  <si>
    <t>0                      RC 0489000B  4                  L  52</t>
  </si>
  <si>
    <t>A guide to behavioral analysis and therapy.</t>
  </si>
  <si>
    <t>Liberman, Robert Paul, 1937-</t>
  </si>
  <si>
    <t>New York, Pergamon [c1972]</t>
  </si>
  <si>
    <t>Pergamon general psychology series ; 19</t>
  </si>
  <si>
    <t>1607650:eng</t>
  </si>
  <si>
    <t>652433</t>
  </si>
  <si>
    <t>991003103169702656</t>
  </si>
  <si>
    <t>2262808830002656</t>
  </si>
  <si>
    <t>32285003092045</t>
  </si>
  <si>
    <t>893416042</t>
  </si>
  <si>
    <t>RC489.B4 M37 1984</t>
  </si>
  <si>
    <t>0                      RC 0489000B  4                  M  37          1984</t>
  </si>
  <si>
    <t>Punishment and its alternatives : a new perspective for behavior modification / Johnny L. Matson, Thomas M. DiLorenzo ; foreword by Cyril M. Franks.</t>
  </si>
  <si>
    <t>Matson, Johnny L.</t>
  </si>
  <si>
    <t>Springer series on behavior therapy and behavioral medicine ; v. 13</t>
  </si>
  <si>
    <t>20727034:eng</t>
  </si>
  <si>
    <t>9970354</t>
  </si>
  <si>
    <t>991000292159702656</t>
  </si>
  <si>
    <t>2254857710002656</t>
  </si>
  <si>
    <t>9780826145604</t>
  </si>
  <si>
    <t>32285001381010</t>
  </si>
  <si>
    <t>893896761</t>
  </si>
  <si>
    <t>RC489.B4 M84</t>
  </si>
  <si>
    <t>0                      RC 0489000B  4                  M  84</t>
  </si>
  <si>
    <t>Multimodal behavior therapy / [edited by] Arnold A. Lazarus ; with eleven contributors.</t>
  </si>
  <si>
    <t>New York : Springer Pub. Co., c1976.</t>
  </si>
  <si>
    <t>Springer series in behavior modification ; v. 1</t>
  </si>
  <si>
    <t>493032:eng</t>
  </si>
  <si>
    <t>2048225</t>
  </si>
  <si>
    <t>991003992059702656</t>
  </si>
  <si>
    <t>2269350750002656</t>
  </si>
  <si>
    <t>9780826121608</t>
  </si>
  <si>
    <t>32285001981298</t>
  </si>
  <si>
    <t>893888193</t>
  </si>
  <si>
    <t>RC489.B4 P46</t>
  </si>
  <si>
    <t>0                      RC 0489000B  4                  P  46</t>
  </si>
  <si>
    <t>Perspectives in behavior therapy / edited by Dennis Upper ; contributors, George J. Allen ... [et al.]. --</t>
  </si>
  <si>
    <t>Kalamazoo : Behaviordelia, c1977.</t>
  </si>
  <si>
    <t>Behavioral psychology series</t>
  </si>
  <si>
    <t>1993-06-14</t>
  </si>
  <si>
    <t>423932142:eng</t>
  </si>
  <si>
    <t>2818624</t>
  </si>
  <si>
    <t>991004254109702656</t>
  </si>
  <si>
    <t>2267766760002656</t>
  </si>
  <si>
    <t>9780914474265</t>
  </si>
  <si>
    <t>32285001606994</t>
  </si>
  <si>
    <t>893628055</t>
  </si>
  <si>
    <t>RC489.B4 S74</t>
  </si>
  <si>
    <t>0                      RC 0489000B  4                  S  74</t>
  </si>
  <si>
    <t>Behavioural techniques : a therapists's manual / Richard Stern.</t>
  </si>
  <si>
    <t>Stern, Richard S. (Richard Stephen)</t>
  </si>
  <si>
    <t>London : New York : Academic Press, 1978.</t>
  </si>
  <si>
    <t>181259866:eng</t>
  </si>
  <si>
    <t>4499906</t>
  </si>
  <si>
    <t>991004664409702656</t>
  </si>
  <si>
    <t>2265998010002656</t>
  </si>
  <si>
    <t>9780126668506</t>
  </si>
  <si>
    <t>32285001579761</t>
  </si>
  <si>
    <t>893507100</t>
  </si>
  <si>
    <t>RC489.B4 W56</t>
  </si>
  <si>
    <t>0                      RC 0489000B  4                  W  56</t>
  </si>
  <si>
    <t>Principles of behavior therapy / G. Terence Wilson, K. Daniel O'Leary.</t>
  </si>
  <si>
    <t>Wilson, G. Terence, 1944-</t>
  </si>
  <si>
    <t>Englewood Cliffs, N. J. : Prentice-Hall, c1980.</t>
  </si>
  <si>
    <t>1993-09-27</t>
  </si>
  <si>
    <t>411883:eng</t>
  </si>
  <si>
    <t>5447930</t>
  </si>
  <si>
    <t>991004835949702656</t>
  </si>
  <si>
    <t>2259158080002656</t>
  </si>
  <si>
    <t>9780137011025</t>
  </si>
  <si>
    <t>32285001607018</t>
  </si>
  <si>
    <t>893889353</t>
  </si>
  <si>
    <t>RC489.B48 R8</t>
  </si>
  <si>
    <t>0                      RC 0489000B  48                 R  8</t>
  </si>
  <si>
    <t>Using bibliotherapy : a guide to theory and practice / Rhea J. Rubin.</t>
  </si>
  <si>
    <t>Rubin, Rhea Joyce.</t>
  </si>
  <si>
    <t>Phoenix, Ariz. : Oryx Press, 1978</t>
  </si>
  <si>
    <t>A Neal-Schuman professional book</t>
  </si>
  <si>
    <t>836710668:eng</t>
  </si>
  <si>
    <t>3913119</t>
  </si>
  <si>
    <t>991004545129702656</t>
  </si>
  <si>
    <t>2258276630002656</t>
  </si>
  <si>
    <t>32285001105476</t>
  </si>
  <si>
    <t>893513367</t>
  </si>
  <si>
    <t>RC489.C63 A43 2007</t>
  </si>
  <si>
    <t>0                      RC 0489000C  63                 A  43          2007</t>
  </si>
  <si>
    <t>Aggressive offenders' cognition : theory, research, and practice / edited by Theresa A. Gannon ... [et al.].</t>
  </si>
  <si>
    <t>Chichester, West Sussex, England ; Hokoken, NJ : John Wiley &amp; Sons Ltd., c2007.</t>
  </si>
  <si>
    <t>2009-03-24</t>
  </si>
  <si>
    <t>866294812:eng</t>
  </si>
  <si>
    <t>154798448</t>
  </si>
  <si>
    <t>991005301479702656</t>
  </si>
  <si>
    <t>2271482570002656</t>
  </si>
  <si>
    <t>9780470034019</t>
  </si>
  <si>
    <t>32285005509988</t>
  </si>
  <si>
    <t>893594810</t>
  </si>
  <si>
    <t>RC489.C63 C63</t>
  </si>
  <si>
    <t>0                      RC 0489000C  63                 C  63</t>
  </si>
  <si>
    <t>Cognitive behavior therapy : research and application / edited by John P. Foreyt and Diana P. Rathjen.</t>
  </si>
  <si>
    <t>New York : Plenum Press, c1978.</t>
  </si>
  <si>
    <t>905350812:eng</t>
  </si>
  <si>
    <t>4037118</t>
  </si>
  <si>
    <t>991004574619702656</t>
  </si>
  <si>
    <t>2270830130002656</t>
  </si>
  <si>
    <t>9780306311451</t>
  </si>
  <si>
    <t>32285001025856</t>
  </si>
  <si>
    <t>893700410</t>
  </si>
  <si>
    <t>RC489.C63 C64</t>
  </si>
  <si>
    <t>0                      RC 0489000C  63                 C  64</t>
  </si>
  <si>
    <t>Cognitive-behavioral interventions : theory, research, and procedures / edited by Philip C. Kendall, Steven D. Hollon.</t>
  </si>
  <si>
    <t>1999-04-21</t>
  </si>
  <si>
    <t>3793282937:eng</t>
  </si>
  <si>
    <t>5007601</t>
  </si>
  <si>
    <t>991004762239702656</t>
  </si>
  <si>
    <t>2271701120002656</t>
  </si>
  <si>
    <t>9780124044807</t>
  </si>
  <si>
    <t>32285000245976</t>
  </si>
  <si>
    <t>893795252</t>
  </si>
  <si>
    <t>RC489.C63 C643 1987</t>
  </si>
  <si>
    <t>0                      RC 0489000C  63                 C  643         1987</t>
  </si>
  <si>
    <t>Cognitive-behavioural approaches to psychotherapy / edited by Windy Dryden, William L. Golden.</t>
  </si>
  <si>
    <t>New York : Hemisphere Pub. Corp., c1987.</t>
  </si>
  <si>
    <t>1999-01-26</t>
  </si>
  <si>
    <t>353249441:eng</t>
  </si>
  <si>
    <t>16225094</t>
  </si>
  <si>
    <t>991001091889702656</t>
  </si>
  <si>
    <t>2267892530002656</t>
  </si>
  <si>
    <t>9780891167747</t>
  </si>
  <si>
    <t>32285001245363</t>
  </si>
  <si>
    <t>893590011</t>
  </si>
  <si>
    <t>RC489.C63 C65 1983</t>
  </si>
  <si>
    <t>0                      RC 0489000C  63                 C  65          1983</t>
  </si>
  <si>
    <t>Cognitive therapy with couples and groups / edited by Arthur Freeman.</t>
  </si>
  <si>
    <t>New York : Plenum Press, c1983.</t>
  </si>
  <si>
    <t>1997-05-14</t>
  </si>
  <si>
    <t>1992-04-28</t>
  </si>
  <si>
    <t>43935952:eng</t>
  </si>
  <si>
    <t>9757038</t>
  </si>
  <si>
    <t>991000250839702656</t>
  </si>
  <si>
    <t>2255249990002656</t>
  </si>
  <si>
    <t>9780306411496</t>
  </si>
  <si>
    <t>32285001089589</t>
  </si>
  <si>
    <t>893243105</t>
  </si>
  <si>
    <t>RC489.C63 W47 1982</t>
  </si>
  <si>
    <t>0                      RC 0489000C  63                 W  47          1982</t>
  </si>
  <si>
    <t>Cognitive therapy : a humanistic approach / Harold D. Werner.</t>
  </si>
  <si>
    <t>Werner, Harold D.</t>
  </si>
  <si>
    <t>New York : Free Press ; London : Collier Macmillan, c1982.</t>
  </si>
  <si>
    <t>2005-11-17</t>
  </si>
  <si>
    <t>233741825:eng</t>
  </si>
  <si>
    <t>7875437</t>
  </si>
  <si>
    <t>991005171579702656</t>
  </si>
  <si>
    <t>2268321140002656</t>
  </si>
  <si>
    <t>9780029346402</t>
  </si>
  <si>
    <t>32285000245984</t>
  </si>
  <si>
    <t>893877056</t>
  </si>
  <si>
    <t>RC489.C68 D37 2000</t>
  </si>
  <si>
    <t>0                      RC 0489000C  68                 D  37          2000</t>
  </si>
  <si>
    <t>Countertransference and the treatment of trauma / Constance J. Dalenberg.</t>
  </si>
  <si>
    <t>Dalenberg, Constance J.</t>
  </si>
  <si>
    <t>Washington, D.C. : American Psychological Association, c2000.</t>
  </si>
  <si>
    <t>2002-04-17</t>
  </si>
  <si>
    <t>2002-04-04</t>
  </si>
  <si>
    <t>19969739:eng</t>
  </si>
  <si>
    <t>44593983</t>
  </si>
  <si>
    <t>991003773909702656</t>
  </si>
  <si>
    <t>2270291050002656</t>
  </si>
  <si>
    <t>9781557986870</t>
  </si>
  <si>
    <t>32285004477302</t>
  </si>
  <si>
    <t>893240585</t>
  </si>
  <si>
    <t>RC489.D3 S24</t>
  </si>
  <si>
    <t>0                      RC 0489000D  3                  S  24</t>
  </si>
  <si>
    <t>Body ego technique; an educational and therapeutic approach to body image and self identity. Introd. [by] Philip R. A. May. Pref. [by] Stuart S. Turkel. Photos. [by] Ernest E. Reshovsky [and] Leo Salkin. Line drawings [by] Susan Cambigue.</t>
  </si>
  <si>
    <t>Salkin, Jeri.</t>
  </si>
  <si>
    <t>American lecture series, publication no. 895. A monograph in the Bannerstone division of American lectures in special education</t>
  </si>
  <si>
    <t>2000-09-25</t>
  </si>
  <si>
    <t>229660214:eng</t>
  </si>
  <si>
    <t>810223</t>
  </si>
  <si>
    <t>991003288129702656</t>
  </si>
  <si>
    <t>2270879860002656</t>
  </si>
  <si>
    <t>9780398028268</t>
  </si>
  <si>
    <t>32285003092110</t>
  </si>
  <si>
    <t>893780808</t>
  </si>
  <si>
    <t>RC489.D3 T48</t>
  </si>
  <si>
    <t>0                      RC 0489000D  3                  T  48</t>
  </si>
  <si>
    <t>Therapy in motion / edited by Maureen Needham Costonis.</t>
  </si>
  <si>
    <t>Urbana : University of Illinois Press, c1978.</t>
  </si>
  <si>
    <t>2010-11-28</t>
  </si>
  <si>
    <t>5613247076:eng</t>
  </si>
  <si>
    <t>3672141</t>
  </si>
  <si>
    <t>991004492939702656</t>
  </si>
  <si>
    <t>2263448180002656</t>
  </si>
  <si>
    <t>9780252005862</t>
  </si>
  <si>
    <t>32285003092136</t>
  </si>
  <si>
    <t>893506914</t>
  </si>
  <si>
    <t>RC489.D45 B68 1983</t>
  </si>
  <si>
    <t>0                      RC 0489000D  45                 B  68          1983</t>
  </si>
  <si>
    <t>Flooding and implosive therapy : direct therapeutic exposure in clinical practice / Patrick A. Boudewyns and Robert H. Shipley.</t>
  </si>
  <si>
    <t>Boudewyns, Patrick A., 1940-</t>
  </si>
  <si>
    <t>292902247:eng</t>
  </si>
  <si>
    <t>9281980</t>
  </si>
  <si>
    <t>991000164039702656</t>
  </si>
  <si>
    <t>2260361590002656</t>
  </si>
  <si>
    <t>9780306411557</t>
  </si>
  <si>
    <t>32285001025336</t>
  </si>
  <si>
    <t>893425493</t>
  </si>
  <si>
    <t>RC489.D46 I94 1986</t>
  </si>
  <si>
    <t>0                      RC 0489000D  46                 I  94          1986</t>
  </si>
  <si>
    <t>Developmental therapy / Allen E. Ivey.</t>
  </si>
  <si>
    <t>Ivey, Allen E.</t>
  </si>
  <si>
    <t>San Francisco : Jossey-Bass, c1986.</t>
  </si>
  <si>
    <t>1995-11-03</t>
  </si>
  <si>
    <t>7762282:eng</t>
  </si>
  <si>
    <t>14187695</t>
  </si>
  <si>
    <t>991000917739702656</t>
  </si>
  <si>
    <t>2260434420002656</t>
  </si>
  <si>
    <t>9781555420222</t>
  </si>
  <si>
    <t>32285000245992</t>
  </si>
  <si>
    <t>893772109</t>
  </si>
  <si>
    <t>RC489.D74 H55 1996</t>
  </si>
  <si>
    <t>0                      RC 0489000D  74                 H  55          1996</t>
  </si>
  <si>
    <t>Working with dreams in psychotherapy / Clara E. Hill.</t>
  </si>
  <si>
    <t>Hill, Clara E., 1948-</t>
  </si>
  <si>
    <t>The Practicing professional</t>
  </si>
  <si>
    <t>1996-10-15</t>
  </si>
  <si>
    <t>52744944:eng</t>
  </si>
  <si>
    <t>34515408</t>
  </si>
  <si>
    <t>991002634009702656</t>
  </si>
  <si>
    <t>2272073900002656</t>
  </si>
  <si>
    <t>9781572300927</t>
  </si>
  <si>
    <t>32285002199106</t>
  </si>
  <si>
    <t>893899010</t>
  </si>
  <si>
    <t>RC489.E24 C33 2006</t>
  </si>
  <si>
    <t>0                      RC 0489000E  24                 C  33          2006</t>
  </si>
  <si>
    <t>A casebook of psychotherapy integration / edited by George Stricker and Jerry Gold.</t>
  </si>
  <si>
    <t>Washington DC : American Psychological Association, c2006.</t>
  </si>
  <si>
    <t>2010-06-24</t>
  </si>
  <si>
    <t>2007-03-28</t>
  </si>
  <si>
    <t>350030361:eng</t>
  </si>
  <si>
    <t>61879691</t>
  </si>
  <si>
    <t>991005055129702656</t>
  </si>
  <si>
    <t>2256609160002656</t>
  </si>
  <si>
    <t>9781591474050</t>
  </si>
  <si>
    <t>32285005283865</t>
  </si>
  <si>
    <t>893236202</t>
  </si>
  <si>
    <t>RC489.E93 W45 1993</t>
  </si>
  <si>
    <t>0                      RC 0489000E  93                 W  45          1993</t>
  </si>
  <si>
    <t>The vulnerable self : confronting the ultimate questions / Avery D. Weisman ; foreword by John C. Nemiah.</t>
  </si>
  <si>
    <t>Weisman, Avery D.</t>
  </si>
  <si>
    <t>New York : Insight Books, c1993.</t>
  </si>
  <si>
    <t>1996-07-09</t>
  </si>
  <si>
    <t>1996-06-06</t>
  </si>
  <si>
    <t>20852450:eng</t>
  </si>
  <si>
    <t>28344378</t>
  </si>
  <si>
    <t>991002203849702656</t>
  </si>
  <si>
    <t>2265767420002656</t>
  </si>
  <si>
    <t>9780306445019</t>
  </si>
  <si>
    <t>32285002188653</t>
  </si>
  <si>
    <t>893262139</t>
  </si>
  <si>
    <t>RC489.E98 E465 2002</t>
  </si>
  <si>
    <t>0                      RC 0489000E  98                 E  465         2002</t>
  </si>
  <si>
    <t>EMDR as an integrative psychotherapy approach : experts of diverse orientations explore the paradigm prism / edited by Francine Shapiro.</t>
  </si>
  <si>
    <t>2005-12-02</t>
  </si>
  <si>
    <t>2004-06-07</t>
  </si>
  <si>
    <t>1078140406:eng</t>
  </si>
  <si>
    <t>48958394</t>
  </si>
  <si>
    <t>991004265459702656</t>
  </si>
  <si>
    <t>2271892440002656</t>
  </si>
  <si>
    <t>9781557989222</t>
  </si>
  <si>
    <t>32285004907878</t>
  </si>
  <si>
    <t>893417411</t>
  </si>
  <si>
    <t>RC489.F3 D5413 1986</t>
  </si>
  <si>
    <t>0                      RC 0489000F  3                  D  5413        1986</t>
  </si>
  <si>
    <t>Twice-told tales : the psychological use of fairy tales / Hans Dieckmann ; foreword by Bruno Bettelheim ; translated by Brno Bettelheim.</t>
  </si>
  <si>
    <t>Dieckmann, Hans.</t>
  </si>
  <si>
    <t>Wilmette, Ill. : Chiron Publications, 1986.</t>
  </si>
  <si>
    <t>2003-01-05</t>
  </si>
  <si>
    <t>933909:eng</t>
  </si>
  <si>
    <t>13184087</t>
  </si>
  <si>
    <t>991000794409702656</t>
  </si>
  <si>
    <t>2255251550002656</t>
  </si>
  <si>
    <t>9780933029026</t>
  </si>
  <si>
    <t>32285001607109</t>
  </si>
  <si>
    <t>893790859</t>
  </si>
  <si>
    <t>RC489.F45 H36 1985</t>
  </si>
  <si>
    <t>0                      RC 0489000F  45                 H  36          1985</t>
  </si>
  <si>
    <t>Handbook of feminist therapy : women's issues in psychotherapy / Lynne Bravo Rosewater, Lenore E.A. Walker, editors.</t>
  </si>
  <si>
    <t>2002-09-03</t>
  </si>
  <si>
    <t>1990-02-09</t>
  </si>
  <si>
    <t>356145602:eng</t>
  </si>
  <si>
    <t>11842063</t>
  </si>
  <si>
    <t>991000601899702656</t>
  </si>
  <si>
    <t>2265019880002656</t>
  </si>
  <si>
    <t>9780826149701</t>
  </si>
  <si>
    <t>32285000034701</t>
  </si>
  <si>
    <t>893345804</t>
  </si>
  <si>
    <t>RC489.F45 L35 1990</t>
  </si>
  <si>
    <t>0                      RC 0489000F  45                 L  35          1990</t>
  </si>
  <si>
    <t>Healing voices : feminist approaches to therapy with women / Toni Ann Laidlaw, Cheryl Malmo and associates.</t>
  </si>
  <si>
    <t>Laidlaw, Toni Ann, 1939-</t>
  </si>
  <si>
    <t>San Francisco : Jossey-Bass, 1990.</t>
  </si>
  <si>
    <t>894374437:eng</t>
  </si>
  <si>
    <t>20799477</t>
  </si>
  <si>
    <t>991001617849702656</t>
  </si>
  <si>
    <t>2263121240002656</t>
  </si>
  <si>
    <t>9781555422257</t>
  </si>
  <si>
    <t>32285000565241</t>
  </si>
  <si>
    <t>893503529</t>
  </si>
  <si>
    <t>RC489.F45 S53 1995</t>
  </si>
  <si>
    <t>0                      RC 0489000F  45                 S  53          1995</t>
  </si>
  <si>
    <t>Tending inner gardens : the healing art of feminist psychotherapy / Lesley Irene Shore.</t>
  </si>
  <si>
    <t>Shore, Lesley Irene.</t>
  </si>
  <si>
    <t>New York : Haworth Press, c1995.</t>
  </si>
  <si>
    <t>Haworth innovations in feminist studies</t>
  </si>
  <si>
    <t>1996-01-08</t>
  </si>
  <si>
    <t>1048243:eng</t>
  </si>
  <si>
    <t>28847649</t>
  </si>
  <si>
    <t>991002236339702656</t>
  </si>
  <si>
    <t>2262794630002656</t>
  </si>
  <si>
    <t>9781560238560</t>
  </si>
  <si>
    <t>32285002115664</t>
  </si>
  <si>
    <t>893517046</t>
  </si>
  <si>
    <t>RC489.F45 S78</t>
  </si>
  <si>
    <t>0                      RC 0489000F  45                 S  78</t>
  </si>
  <si>
    <t>Therapy with women : a feminist philosophy of treatment / Susan Sturdivant.</t>
  </si>
  <si>
    <t>Sturdivant, Susan.</t>
  </si>
  <si>
    <t>New York : Springer Pub. Co., c1980.</t>
  </si>
  <si>
    <t>Springer series, focus on women ; 2</t>
  </si>
  <si>
    <t>219941620:eng</t>
  </si>
  <si>
    <t>5894185</t>
  </si>
  <si>
    <t>991001801769702656</t>
  </si>
  <si>
    <t>2264356610002656</t>
  </si>
  <si>
    <t>9780826128805</t>
  </si>
  <si>
    <t>32285000933175</t>
  </si>
  <si>
    <t>893420638</t>
  </si>
  <si>
    <t>RC489.F45 W67 1984</t>
  </si>
  <si>
    <t>0                      RC 0489000F  45                 W  67          1984</t>
  </si>
  <si>
    <t>Women therapists working with women : new theory and process of feminist therapy / Claire M. Brody, editor ; foreword by Florence L. Denmark.</t>
  </si>
  <si>
    <t>New York : Springer, c1984.</t>
  </si>
  <si>
    <t>Springer series, focus on women ; v. 7</t>
  </si>
  <si>
    <t>909704920:eng</t>
  </si>
  <si>
    <t>10780098</t>
  </si>
  <si>
    <t>991000432999702656</t>
  </si>
  <si>
    <t>2255272030002656</t>
  </si>
  <si>
    <t>9780826145505</t>
  </si>
  <si>
    <t>32285000933167</t>
  </si>
  <si>
    <t>893243238</t>
  </si>
  <si>
    <t>RC489.F45 W68 1987</t>
  </si>
  <si>
    <t>0                      RC 0489000F  45                 W  68          1987</t>
  </si>
  <si>
    <t>Women's therapy groups : paradigms of feminist treatment / Claire M. Brody, editor. Introd. by Hannah Lerman.</t>
  </si>
  <si>
    <t>New York : Springer Pub. Co., c1987.</t>
  </si>
  <si>
    <t>Springer series, focus on women ; 10</t>
  </si>
  <si>
    <t>1995-03-01</t>
  </si>
  <si>
    <t>909704919:eng</t>
  </si>
  <si>
    <t>15316295</t>
  </si>
  <si>
    <t>991001014209702656</t>
  </si>
  <si>
    <t>2257953560002656</t>
  </si>
  <si>
    <t>9780826155702</t>
  </si>
  <si>
    <t>32285000933159</t>
  </si>
  <si>
    <t>893522212</t>
  </si>
  <si>
    <t>RC489.F62 G46 1996</t>
  </si>
  <si>
    <t>0                      RC 0489000F  62                 G  46          1996</t>
  </si>
  <si>
    <t>Focusing-oriented psychotherapy : a manual of the experiential method / Eugene T. Gendlin.</t>
  </si>
  <si>
    <t>Gendlin, Eugene T., 1926-2017.</t>
  </si>
  <si>
    <t>The practicing professional</t>
  </si>
  <si>
    <t>2008-04-15</t>
  </si>
  <si>
    <t>2001-01-17</t>
  </si>
  <si>
    <t>837053501:eng</t>
  </si>
  <si>
    <t>34121030</t>
  </si>
  <si>
    <t>991003349709702656</t>
  </si>
  <si>
    <t>2269204020002656</t>
  </si>
  <si>
    <t>9780898624793</t>
  </si>
  <si>
    <t>32285004284609</t>
  </si>
  <si>
    <t>893445628</t>
  </si>
  <si>
    <t>RC489.F67 .E57 2000</t>
  </si>
  <si>
    <t>0                      RC 0489000F  67                 E  57          2000</t>
  </si>
  <si>
    <t>Helping clients forgive : an empirical guide for resolving anger and restoring hope / Robert D. Enright and Richard P. Fitzgibbons.</t>
  </si>
  <si>
    <t>Enright, Robert D.</t>
  </si>
  <si>
    <t>Washington, DC : American Psychological Association, 2000.</t>
  </si>
  <si>
    <t>2002-08-12</t>
  </si>
  <si>
    <t>836955503:eng</t>
  </si>
  <si>
    <t>43656966</t>
  </si>
  <si>
    <t>991003855019702656</t>
  </si>
  <si>
    <t>2267755170002656</t>
  </si>
  <si>
    <t>9781557986894</t>
  </si>
  <si>
    <t>32285004642574</t>
  </si>
  <si>
    <t>893894242</t>
  </si>
  <si>
    <t>RC489.G4 B49</t>
  </si>
  <si>
    <t>0                      RC 0489000G  4                  B  49</t>
  </si>
  <si>
    <t>Beyond the hot seat : Gestalt approaches to group / edited by Bud Feder and Ruth Ronall.</t>
  </si>
  <si>
    <t>1993-04-12</t>
  </si>
  <si>
    <t>865283108:eng</t>
  </si>
  <si>
    <t>5353173</t>
  </si>
  <si>
    <t>991004825169702656</t>
  </si>
  <si>
    <t>2257536510002656</t>
  </si>
  <si>
    <t>9780876302057</t>
  </si>
  <si>
    <t>32285001616753</t>
  </si>
  <si>
    <t>893332090</t>
  </si>
  <si>
    <t>RC489.G4 F3</t>
  </si>
  <si>
    <t>0                      RC 0489000G  4                  F  3</t>
  </si>
  <si>
    <t>Gestalt therapy now : theory, techniques, applications / edited by Joen Fagan and Irma Lee Shepherd.</t>
  </si>
  <si>
    <t>Fagan, Joen, 1933-</t>
  </si>
  <si>
    <t>Palo Alto, Calif. : Science and Behavior Books, [1970]</t>
  </si>
  <si>
    <t>2008-03-12</t>
  </si>
  <si>
    <t>1990-10-25</t>
  </si>
  <si>
    <t>1090557559:eng</t>
  </si>
  <si>
    <t>58442</t>
  </si>
  <si>
    <t>991000143669702656</t>
  </si>
  <si>
    <t>2260061520002656</t>
  </si>
  <si>
    <t>9780831400231</t>
  </si>
  <si>
    <t>32285000353986</t>
  </si>
  <si>
    <t>893777728</t>
  </si>
  <si>
    <t>RC489.G4 L37</t>
  </si>
  <si>
    <t>0                      RC 0489000G  4                  L  37</t>
  </si>
  <si>
    <t>The Gestalt therapy book : a holistic guide to the theory, principles, and techniques of Gestalt therapy developed by Frederick S. Perls and others.</t>
  </si>
  <si>
    <t>Latner, Joel.</t>
  </si>
  <si>
    <t>New York : Julian Press, [1973]</t>
  </si>
  <si>
    <t>1994-11-05</t>
  </si>
  <si>
    <t>1773651:eng</t>
  </si>
  <si>
    <t>797987</t>
  </si>
  <si>
    <t>991003273169702656</t>
  </si>
  <si>
    <t>2261017620002656</t>
  </si>
  <si>
    <t>32285000760164</t>
  </si>
  <si>
    <t>893617177</t>
  </si>
  <si>
    <t>RC489.G4 R68 1975</t>
  </si>
  <si>
    <t>0                      RC 0489000G  4                  R  68          1975</t>
  </si>
  <si>
    <t>Opening doors : what happens in Gestalt therapy / Daniel Rosenblatt.</t>
  </si>
  <si>
    <t>Rosenblatt, Daniel.</t>
  </si>
  <si>
    <t>New York : Harper &amp; Row, c1975.</t>
  </si>
  <si>
    <t>2513452:eng</t>
  </si>
  <si>
    <t>1676146</t>
  </si>
  <si>
    <t>991003865129702656</t>
  </si>
  <si>
    <t>2267698960002656</t>
  </si>
  <si>
    <t>9780060136536</t>
  </si>
  <si>
    <t>32285000353994</t>
  </si>
  <si>
    <t>893868971</t>
  </si>
  <si>
    <t>RC489.G4 S54</t>
  </si>
  <si>
    <t>0                      RC 0489000G  4                  S  54</t>
  </si>
  <si>
    <t>Gestalt therapy mini-lectures / James S. Simkin ; edited by Abraham Levitsky and Zoe Snyder.</t>
  </si>
  <si>
    <t>Simkin, James S. (James Solomon), 1919-</t>
  </si>
  <si>
    <t>1996-12-01</t>
  </si>
  <si>
    <t>1993-12-01</t>
  </si>
  <si>
    <t>5352586:eng</t>
  </si>
  <si>
    <t>2521197</t>
  </si>
  <si>
    <t>991004148929702656</t>
  </si>
  <si>
    <t>2269172930002656</t>
  </si>
  <si>
    <t>9780890871706</t>
  </si>
  <si>
    <t>32285001814978</t>
  </si>
  <si>
    <t>893687427</t>
  </si>
  <si>
    <t>RC489.G4 V36 1980</t>
  </si>
  <si>
    <t>0                      RC 0489000G  4                  V  36          1980</t>
  </si>
  <si>
    <t>Gestalt therapy, an introduction / Vernon Van De Riet, Margaret P. Korb, John Jeffrey Gorrell.</t>
  </si>
  <si>
    <t>Van De Riet, Vernon, 1935-</t>
  </si>
  <si>
    <t>New York : Pergamon Press, c1980.</t>
  </si>
  <si>
    <t>Pergamon general psychology series ; 92</t>
  </si>
  <si>
    <t>2001-03-31</t>
  </si>
  <si>
    <t>407698:eng</t>
  </si>
  <si>
    <t>6092562</t>
  </si>
  <si>
    <t>991004930449702656</t>
  </si>
  <si>
    <t>2263403560002656</t>
  </si>
  <si>
    <t>9780080255866</t>
  </si>
  <si>
    <t>32285000112036</t>
  </si>
  <si>
    <t>893520184</t>
  </si>
  <si>
    <t>RC489.G4 Z56 1978</t>
  </si>
  <si>
    <t>0                      RC 0489000G  4                  Z  56          1978</t>
  </si>
  <si>
    <t>Creative process in Gestalt therapy / Joseph Zinker. --</t>
  </si>
  <si>
    <t>Zinker, Joseph C. (Joseph Chaim)</t>
  </si>
  <si>
    <t>New York : Vintage Books, 1978.</t>
  </si>
  <si>
    <t>2000-04-01</t>
  </si>
  <si>
    <t>1993-03-09</t>
  </si>
  <si>
    <t>464406:eng</t>
  </si>
  <si>
    <t>3748209</t>
  </si>
  <si>
    <t>991004507739702656</t>
  </si>
  <si>
    <t>2269228420002656</t>
  </si>
  <si>
    <t>9780394725673</t>
  </si>
  <si>
    <t>32285001498129</t>
  </si>
  <si>
    <t>893888799</t>
  </si>
  <si>
    <t>RC489.L6 F33 1980</t>
  </si>
  <si>
    <t>0                      RC 0489000L  6                  F  33          1980</t>
  </si>
  <si>
    <t>The pursuit of meaning : Viktor Frankl, logotherapy, and life / Joseph B. Fabry.</t>
  </si>
  <si>
    <t>San Francisco : Harper &amp; Row, c1980.</t>
  </si>
  <si>
    <t>2007-03-27</t>
  </si>
  <si>
    <t>1991-12-16</t>
  </si>
  <si>
    <t>3901030884:eng</t>
  </si>
  <si>
    <t>5498840</t>
  </si>
  <si>
    <t>991004841309702656</t>
  </si>
  <si>
    <t>2263826240002656</t>
  </si>
  <si>
    <t>9780062503022</t>
  </si>
  <si>
    <t>32285000880541</t>
  </si>
  <si>
    <t>893776501</t>
  </si>
  <si>
    <t>RC489.L6 F734 1993</t>
  </si>
  <si>
    <t>0                      RC 0489000L  6                  F  734         1993</t>
  </si>
  <si>
    <t>Viktor E. Frankl : life with meaning / William Blair Gould.</t>
  </si>
  <si>
    <t>Gould, William Blair.</t>
  </si>
  <si>
    <t>Pacific Grove, Calif. : Brooks/Cole Pub., c1993.</t>
  </si>
  <si>
    <t>1994-05-17</t>
  </si>
  <si>
    <t>328496094:eng</t>
  </si>
  <si>
    <t>25873669</t>
  </si>
  <si>
    <t>991002032329702656</t>
  </si>
  <si>
    <t>2269665180002656</t>
  </si>
  <si>
    <t>9780534194703</t>
  </si>
  <si>
    <t>32285001896777</t>
  </si>
  <si>
    <t>893510210</t>
  </si>
  <si>
    <t>RC489.M43 M43 1984</t>
  </si>
  <si>
    <t>0                      RC 0489000M  43                 M  43          1984</t>
  </si>
  <si>
    <t>Meditation, classic and contemporary perspectives / Deane H. Shapiro, Jr., Roger N. Walsh, editors.</t>
  </si>
  <si>
    <t>New York : Aldine Pub. Co., c1984.</t>
  </si>
  <si>
    <t>2002-04-21</t>
  </si>
  <si>
    <t>3372111994:eng</t>
  </si>
  <si>
    <t>10348378</t>
  </si>
  <si>
    <t>991000357599702656</t>
  </si>
  <si>
    <t>2263591010002656</t>
  </si>
  <si>
    <t>9780202251363</t>
  </si>
  <si>
    <t>32285001607125</t>
  </si>
  <si>
    <t>893683331</t>
  </si>
  <si>
    <t>RC489.P46 C66 1995</t>
  </si>
  <si>
    <t>0                      RC 0489000P  46                 C  66          1995</t>
  </si>
  <si>
    <t>Constructivism in psychotherapy / edited by Robert A. Neimeyer and Michael J. Mahoney.</t>
  </si>
  <si>
    <t>Washington, DC : American Psychological Association, c1995.</t>
  </si>
  <si>
    <t>2000-08-11</t>
  </si>
  <si>
    <t>1995-10-30</t>
  </si>
  <si>
    <t>1060377473:eng</t>
  </si>
  <si>
    <t>31518985</t>
  </si>
  <si>
    <t>991002420919702656</t>
  </si>
  <si>
    <t>2267155510002656</t>
  </si>
  <si>
    <t>9781557982797</t>
  </si>
  <si>
    <t>32285002069572</t>
  </si>
  <si>
    <t>893704056</t>
  </si>
  <si>
    <t>RC489.P68 O33 1989</t>
  </si>
  <si>
    <t>0                      RC 0489000P  68                 O  33          1989</t>
  </si>
  <si>
    <t>In search of solutions : a new direction in psychotherapy / William Hudson O'Hanlon, Michele Weiner-Davis.</t>
  </si>
  <si>
    <t>O'Hanlon, Bill, 1952-</t>
  </si>
  <si>
    <t>New York : Norton, c1989.</t>
  </si>
  <si>
    <t>1996-02-02</t>
  </si>
  <si>
    <t>1991-03-11</t>
  </si>
  <si>
    <t>796426543:eng</t>
  </si>
  <si>
    <t>18106756</t>
  </si>
  <si>
    <t>991001307189702656</t>
  </si>
  <si>
    <t>2257674340002656</t>
  </si>
  <si>
    <t>9780393700619</t>
  </si>
  <si>
    <t>32285000511088</t>
  </si>
  <si>
    <t>893772501</t>
  </si>
  <si>
    <t>RC489.P7 G72</t>
  </si>
  <si>
    <t>0                      RC 0489000P  7                  G  72</t>
  </si>
  <si>
    <t>Psychodrama : theory and therapy / edited by Ira A. Greenberg.</t>
  </si>
  <si>
    <t>Greenberg, Ira A., 1924-, compiler.</t>
  </si>
  <si>
    <t>New York : Behavioral Publications, 1974.</t>
  </si>
  <si>
    <t>2007-03-20</t>
  </si>
  <si>
    <t>796476872:eng</t>
  </si>
  <si>
    <t>754570</t>
  </si>
  <si>
    <t>991003229869702656</t>
  </si>
  <si>
    <t>2267620360002656</t>
  </si>
  <si>
    <t>9780877051107</t>
  </si>
  <si>
    <t>32285000104538</t>
  </si>
  <si>
    <t>893422323</t>
  </si>
  <si>
    <t>RC489.P7 K3</t>
  </si>
  <si>
    <t>0                      RC 0489000P  7                  K  3</t>
  </si>
  <si>
    <t>Psychodrama explained / with an introd. by J. L. Moreno.</t>
  </si>
  <si>
    <t>Kahn, Samuel, 1898-1981.</t>
  </si>
  <si>
    <t>New York : Philosophical Library, [1964]</t>
  </si>
  <si>
    <t>1458630:eng</t>
  </si>
  <si>
    <t>411572</t>
  </si>
  <si>
    <t>991002717109702656</t>
  </si>
  <si>
    <t>2265099980002656</t>
  </si>
  <si>
    <t>32285000104520</t>
  </si>
  <si>
    <t>893523965</t>
  </si>
  <si>
    <t>RC489.P7 L35 1993</t>
  </si>
  <si>
    <t>0                      RC 0489000P  7                  L  35          1993</t>
  </si>
  <si>
    <t>Persona and performance : the meaning of role in drama, therapy, and everyday life / Robert J. Landy.</t>
  </si>
  <si>
    <t>Landy, Robert J.</t>
  </si>
  <si>
    <t>2000-11-17</t>
  </si>
  <si>
    <t>14981938:eng</t>
  </si>
  <si>
    <t>28256306</t>
  </si>
  <si>
    <t>991002197429702656</t>
  </si>
  <si>
    <t>2261653500002656</t>
  </si>
  <si>
    <t>9780898620238</t>
  </si>
  <si>
    <t>32285002199122</t>
  </si>
  <si>
    <t>893232669</t>
  </si>
  <si>
    <t>RC489.P7 L36 2006</t>
  </si>
  <si>
    <t>0                      RC 0489000P  7                  L  36          2006</t>
  </si>
  <si>
    <t>An introduction to dramatherapy / Dorothy Langley.</t>
  </si>
  <si>
    <t>Langley, Dorothy M.</t>
  </si>
  <si>
    <t>London ; Thousand Oaks, Calif. : Sage Publications, 2006.</t>
  </si>
  <si>
    <t>Creative therapies in practice</t>
  </si>
  <si>
    <t>2008-12-08</t>
  </si>
  <si>
    <t>51297321:eng</t>
  </si>
  <si>
    <t>67872084</t>
  </si>
  <si>
    <t>991005273589702656</t>
  </si>
  <si>
    <t>2267307390002656</t>
  </si>
  <si>
    <t>9780761959762</t>
  </si>
  <si>
    <t>32285005471486</t>
  </si>
  <si>
    <t>893533477</t>
  </si>
  <si>
    <t>RC489.P7 Y3</t>
  </si>
  <si>
    <t>0                      RC 0489000P  7                  Y  3</t>
  </si>
  <si>
    <t>Psychodrama : resolving emotional problems through role-playing / Lewis Yablonsky.</t>
  </si>
  <si>
    <t>Yablonsky, Lewis.</t>
  </si>
  <si>
    <t>1993-12-21</t>
  </si>
  <si>
    <t>396724:eng</t>
  </si>
  <si>
    <t>2020114</t>
  </si>
  <si>
    <t>991003981119702656</t>
  </si>
  <si>
    <t>2271454370002656</t>
  </si>
  <si>
    <t>9780465066391</t>
  </si>
  <si>
    <t>32285000104512</t>
  </si>
  <si>
    <t>893599281</t>
  </si>
  <si>
    <t>RC489.P76 H37 1987</t>
  </si>
  <si>
    <t>0                      RC 0489000P  76                 H  37          1987</t>
  </si>
  <si>
    <t>A psychology with a soul : psychosynthesis in evolutionary context / Jean Hardy.</t>
  </si>
  <si>
    <t>Hardy, Jean.</t>
  </si>
  <si>
    <t>London ; New York : Routledge &amp; Kegan Paul, 1987.</t>
  </si>
  <si>
    <t>836672873:eng</t>
  </si>
  <si>
    <t>14243164</t>
  </si>
  <si>
    <t>991000928989702656</t>
  </si>
  <si>
    <t>2267021800002656</t>
  </si>
  <si>
    <t>9780710211224</t>
  </si>
  <si>
    <t>32285000106806</t>
  </si>
  <si>
    <t>893897349</t>
  </si>
  <si>
    <t>RC489.R3 B37</t>
  </si>
  <si>
    <t>0                      RC 0489000R  3                  B  37</t>
  </si>
  <si>
    <t>Rational emotive therapy in practice / James A. Bard.</t>
  </si>
  <si>
    <t>Bard, James A.</t>
  </si>
  <si>
    <t>Champaign, Ill. : Research Press, c1980.</t>
  </si>
  <si>
    <t>1996-05-02</t>
  </si>
  <si>
    <t>25159752:eng</t>
  </si>
  <si>
    <t>6943109</t>
  </si>
  <si>
    <t>991005064409702656</t>
  </si>
  <si>
    <t>2257138780002656</t>
  </si>
  <si>
    <t>9780878222131</t>
  </si>
  <si>
    <t>32285000217546</t>
  </si>
  <si>
    <t>893326102</t>
  </si>
  <si>
    <t>RC489.R3 E43</t>
  </si>
  <si>
    <t>0                      RC 0489000R  3                  E  43</t>
  </si>
  <si>
    <t>Brief psychotherapy in medical and health practice / Albert Ellis and Eliot Abrahms.</t>
  </si>
  <si>
    <t>New York : Springer Pub. Co., c1978.</t>
  </si>
  <si>
    <t>1996-01-15</t>
  </si>
  <si>
    <t>1990-07-11</t>
  </si>
  <si>
    <t>1781735028:eng</t>
  </si>
  <si>
    <t>4194507</t>
  </si>
  <si>
    <t>991005318119702656</t>
  </si>
  <si>
    <t>2262453780002656</t>
  </si>
  <si>
    <t>9780826126405</t>
  </si>
  <si>
    <t>32285000235621</t>
  </si>
  <si>
    <t>893870886</t>
  </si>
  <si>
    <t>RC489.R3 E444 1975</t>
  </si>
  <si>
    <t>0                      RC 0489000R  3                  E  444         1975</t>
  </si>
  <si>
    <t>A new guide to rational living / Albert Ellis and Robert A. Harper.</t>
  </si>
  <si>
    <t>1993-11-12</t>
  </si>
  <si>
    <t>105185761:eng</t>
  </si>
  <si>
    <t>1218545</t>
  </si>
  <si>
    <t>991003628319702656</t>
  </si>
  <si>
    <t>2271741080002656</t>
  </si>
  <si>
    <t>9780136149095</t>
  </si>
  <si>
    <t>32285001211704</t>
  </si>
  <si>
    <t>893793835</t>
  </si>
  <si>
    <t>RC489.R3 H36</t>
  </si>
  <si>
    <t>0                      RC 0489000R  3                  H  36</t>
  </si>
  <si>
    <t>Handbook of rational-emotive therapy / Albert Ellis and Russell Grieger, with contributors.</t>
  </si>
  <si>
    <t>New York : Springer Pub. Co., c1977-&lt;c1986 &gt;</t>
  </si>
  <si>
    <t>2006-10-06</t>
  </si>
  <si>
    <t>1990-07-16</t>
  </si>
  <si>
    <t>3901527682:eng</t>
  </si>
  <si>
    <t>3202592</t>
  </si>
  <si>
    <t>991004373069702656</t>
  </si>
  <si>
    <t>2270344110002656</t>
  </si>
  <si>
    <t>9780826122001</t>
  </si>
  <si>
    <t>32285000231166</t>
  </si>
  <si>
    <t>893624651</t>
  </si>
  <si>
    <t>RC489.R3 I57 1989</t>
  </si>
  <si>
    <t>0                      RC 0489000R  3                  I  57          1989</t>
  </si>
  <si>
    <t>Inside rational-emotive therapy : a critical appraisal of the theory and therapy of Albert Ellis / edited by Michael E. Bernard, Raymond DiGiuseppe.</t>
  </si>
  <si>
    <t>San Diego : Academic Press, 1989.</t>
  </si>
  <si>
    <t>Personality, psychopathology, and psychotherapy ; 38</t>
  </si>
  <si>
    <t>2010-11-12</t>
  </si>
  <si>
    <t>836863556:eng</t>
  </si>
  <si>
    <t>17805670</t>
  </si>
  <si>
    <t>991001266059702656</t>
  </si>
  <si>
    <t>2265990600002656</t>
  </si>
  <si>
    <t>9780120928750</t>
  </si>
  <si>
    <t>32285000593680</t>
  </si>
  <si>
    <t>893516064</t>
  </si>
  <si>
    <t>RC489.R3 T67</t>
  </si>
  <si>
    <t>0                      RC 0489000R  3                  T  67</t>
  </si>
  <si>
    <t>Youth : toward personal growth : a rational-emotive approach / [by] Donald J. Tosi.</t>
  </si>
  <si>
    <t>Tosi, Donald J.</t>
  </si>
  <si>
    <t>Columbus, Ohio : Merrill, [1974]</t>
  </si>
  <si>
    <t>Counseling youth series</t>
  </si>
  <si>
    <t>1994-12-04</t>
  </si>
  <si>
    <t>279675910:eng</t>
  </si>
  <si>
    <t>834970</t>
  </si>
  <si>
    <t>991003311649702656</t>
  </si>
  <si>
    <t>2267453980002656</t>
  </si>
  <si>
    <t>9780675088770</t>
  </si>
  <si>
    <t>32285001814960</t>
  </si>
  <si>
    <t>893342451</t>
  </si>
  <si>
    <t>RC489.R3 W34</t>
  </si>
  <si>
    <t>0                      RC 0489000R  3                  W  34</t>
  </si>
  <si>
    <t>A practitioner's guide to rational-emotive therapy / Susan R. Walen, Raymond DiGiuseppe, Richard L. Wessler.</t>
  </si>
  <si>
    <t>Walen, Susan R.</t>
  </si>
  <si>
    <t>New York : Oxford University Press, 1980.</t>
  </si>
  <si>
    <t>1998-06-21</t>
  </si>
  <si>
    <t>15265086:eng</t>
  </si>
  <si>
    <t>5101953</t>
  </si>
  <si>
    <t>991004778809702656</t>
  </si>
  <si>
    <t>2259005750002656</t>
  </si>
  <si>
    <t>9780195026672</t>
  </si>
  <si>
    <t>32285001102465</t>
  </si>
  <si>
    <t>893776426</t>
  </si>
  <si>
    <t>RC489.R3 W47</t>
  </si>
  <si>
    <t>0                      RC 0489000R  3                  W  47</t>
  </si>
  <si>
    <t>The principles and practice of rational-emotive therapy / Ruth A. Wessler, Richard L. Wessler.</t>
  </si>
  <si>
    <t>Wessler, Ruth, 1938-</t>
  </si>
  <si>
    <t>San Francisco : Jossey-Bass, 1980.</t>
  </si>
  <si>
    <t>111179431:eng</t>
  </si>
  <si>
    <t>6708754</t>
  </si>
  <si>
    <t>991005029139702656</t>
  </si>
  <si>
    <t>2254948480002656</t>
  </si>
  <si>
    <t>9780875894737</t>
  </si>
  <si>
    <t>32285000235639</t>
  </si>
  <si>
    <t>893507508</t>
  </si>
  <si>
    <t>RC489.R3 Y35 1994</t>
  </si>
  <si>
    <t>0                      RC 0489000R  3                  Y  35          1994</t>
  </si>
  <si>
    <t>Albert Ellis / Joseph Yankura, Windy Dryden.</t>
  </si>
  <si>
    <t>Yankura, Joseph.</t>
  </si>
  <si>
    <t>London ; Thousand Oaks, Calif. : Sage Publications, 1994.</t>
  </si>
  <si>
    <t>Key figures in counselling and psychotherapy</t>
  </si>
  <si>
    <t>33750316:eng</t>
  </si>
  <si>
    <t>32204136</t>
  </si>
  <si>
    <t>991002474029702656</t>
  </si>
  <si>
    <t>2268931610002656</t>
  </si>
  <si>
    <t>9780803985285</t>
  </si>
  <si>
    <t>32285002405214</t>
  </si>
  <si>
    <t>893498148</t>
  </si>
  <si>
    <t>RC489.R3 Y6 1974</t>
  </si>
  <si>
    <t>0                      RC 0489000R  3                  Y  6           1974</t>
  </si>
  <si>
    <t>A rational counseling primer / by Howard S. Young ; illustrated by Kenneth Aptekar.</t>
  </si>
  <si>
    <t>Young, Howard S.</t>
  </si>
  <si>
    <t>New York : Institute for Rational Living, 1974.</t>
  </si>
  <si>
    <t>947163207:eng</t>
  </si>
  <si>
    <t>2069035</t>
  </si>
  <si>
    <t>991003998599702656</t>
  </si>
  <si>
    <t>2265950130002656</t>
  </si>
  <si>
    <t>32285000082387</t>
  </si>
  <si>
    <t>893794365</t>
  </si>
  <si>
    <t>RC489.R37 G55 1981</t>
  </si>
  <si>
    <t>0                      RC 0489000R  37                 G  55          1981</t>
  </si>
  <si>
    <t>Stations of the mind : new directions for reality therapy / William Glasser.</t>
  </si>
  <si>
    <t>New York : Harper &amp; Row, c1981.</t>
  </si>
  <si>
    <t>2007-12-03</t>
  </si>
  <si>
    <t>1992-06-16</t>
  </si>
  <si>
    <t>287721478:eng</t>
  </si>
  <si>
    <t>7165751</t>
  </si>
  <si>
    <t>991005078749702656</t>
  </si>
  <si>
    <t>2269373550002656</t>
  </si>
  <si>
    <t>9780060114787</t>
  </si>
  <si>
    <t>32285001131449</t>
  </si>
  <si>
    <t>893260512</t>
  </si>
  <si>
    <t>RC489.R37 R4 1976</t>
  </si>
  <si>
    <t>0                      RC 0489000R  37                 R  4           1976</t>
  </si>
  <si>
    <t>The Reality therapy reader : a survey of the work of William Glasser, M.D. / editors, Alexander Bassin, Thomas Edward Bratter, Richard L. Rachin.</t>
  </si>
  <si>
    <t>New York : Harper &amp; Row, c1976.</t>
  </si>
  <si>
    <t>2006-10-17</t>
  </si>
  <si>
    <t>3132874843:eng</t>
  </si>
  <si>
    <t>1863248</t>
  </si>
  <si>
    <t>991003917099702656</t>
  </si>
  <si>
    <t>2263125420002656</t>
  </si>
  <si>
    <t>9780060102388</t>
  </si>
  <si>
    <t>32285001060606</t>
  </si>
  <si>
    <t>893624132</t>
  </si>
  <si>
    <t>RC489.R37 W33 1980</t>
  </si>
  <si>
    <t>0                      RC 0489000R  37                 W  33          1980</t>
  </si>
  <si>
    <t>What are you doing? : How people are helped through reality therapy : cases / edited by Naomi Glasser.</t>
  </si>
  <si>
    <t>New York : Harper &amp; Row, c1980.</t>
  </si>
  <si>
    <t>2005-06-27</t>
  </si>
  <si>
    <t>354086328:eng</t>
  </si>
  <si>
    <t>6199744</t>
  </si>
  <si>
    <t>991004944939702656</t>
  </si>
  <si>
    <t>2262167220002656</t>
  </si>
  <si>
    <t>9780060116460</t>
  </si>
  <si>
    <t>32285000191527</t>
  </si>
  <si>
    <t>893895659</t>
  </si>
  <si>
    <t>RC489.R37 W33 1982</t>
  </si>
  <si>
    <t>0                      RC 0489000R  37                 W  33          1982</t>
  </si>
  <si>
    <t>What are you doing? : how people are helped through reality therapy, including instructor's guide : cases / edited by Naomi Glasser.</t>
  </si>
  <si>
    <t>New York : Harper &amp; Row, 1982, c1980.</t>
  </si>
  <si>
    <t>1st Harper Colophon ed.</t>
  </si>
  <si>
    <t>10182324038:eng</t>
  </si>
  <si>
    <t>8576867</t>
  </si>
  <si>
    <t>991000021879702656</t>
  </si>
  <si>
    <t>2258029570002656</t>
  </si>
  <si>
    <t>9780060909475</t>
  </si>
  <si>
    <t>32285000514694</t>
  </si>
  <si>
    <t>893249006</t>
  </si>
  <si>
    <t>RC489.R37 W828 1991</t>
  </si>
  <si>
    <t>0                      RC 0489000R  37                 W  828         1991</t>
  </si>
  <si>
    <t>Understanding reality therapy : a metaphorical approach / Robert E. Wubbolding.</t>
  </si>
  <si>
    <t>Wubbolding, Robert E.</t>
  </si>
  <si>
    <t>New York, N.Y. : HarperPerennial, 1991.</t>
  </si>
  <si>
    <t>434332161:eng</t>
  </si>
  <si>
    <t>22488711</t>
  </si>
  <si>
    <t>991001782819702656</t>
  </si>
  <si>
    <t>2267492660002656</t>
  </si>
  <si>
    <t>9780060965723</t>
  </si>
  <si>
    <t>32285000514728</t>
  </si>
  <si>
    <t>893697031</t>
  </si>
  <si>
    <t>RC489.R37 W83 1988</t>
  </si>
  <si>
    <t>0                      RC 0489000R  37                 W  83          1988</t>
  </si>
  <si>
    <t>Using reality therapy / Robert E. Wubbolding. Foreword by William Glasser.</t>
  </si>
  <si>
    <t>New York : Harper &amp; Row, c1988.</t>
  </si>
  <si>
    <t>3768708252:eng</t>
  </si>
  <si>
    <t>17296115</t>
  </si>
  <si>
    <t>991001196689702656</t>
  </si>
  <si>
    <t>2267836690002656</t>
  </si>
  <si>
    <t>9780060962661</t>
  </si>
  <si>
    <t>32285000239094</t>
  </si>
  <si>
    <t>893261764</t>
  </si>
  <si>
    <t>RC489.R49 B76 2011</t>
  </si>
  <si>
    <t>0                      RC 0489000R  49                 B  76          2011</t>
  </si>
  <si>
    <t>Therapy with coerced and reluctant clients / Stanley L. Brodsky.</t>
  </si>
  <si>
    <t>Brodsky, Stanley L., 1939-</t>
  </si>
  <si>
    <t>Washington, DC : American Psychological Association, c2011.</t>
  </si>
  <si>
    <t>2011</t>
  </si>
  <si>
    <t>2010-12-16</t>
  </si>
  <si>
    <t>489928936:eng</t>
  </si>
  <si>
    <t>624405636</t>
  </si>
  <si>
    <t>991000379469702656</t>
  </si>
  <si>
    <t>2269020860002656</t>
  </si>
  <si>
    <t>9781433808708</t>
  </si>
  <si>
    <t>32285005652010</t>
  </si>
  <si>
    <t>893231068</t>
  </si>
  <si>
    <t>RC489.R49 E43 1985</t>
  </si>
  <si>
    <t>0                      RC 0489000R  49                 E  43          1985</t>
  </si>
  <si>
    <t>Overcoming resistance : rational-emotive therapy with difficult clients / Albert Ellis.</t>
  </si>
  <si>
    <t>1997-01-14</t>
  </si>
  <si>
    <t>3755171325:eng</t>
  </si>
  <si>
    <t>11814057</t>
  </si>
  <si>
    <t>991000597349702656</t>
  </si>
  <si>
    <t>2261233130002656</t>
  </si>
  <si>
    <t>9780826149107</t>
  </si>
  <si>
    <t>32285000235647</t>
  </si>
  <si>
    <t>893425856</t>
  </si>
  <si>
    <t>RC489.S25 S26 1981</t>
  </si>
  <si>
    <t>0                      RC 0489000S  25                 S  26          1981</t>
  </si>
  <si>
    <t>Sandplay studies : origins, theory, and practice / contributing authors, Katherine Bradway ... [et al.] ; editorial committee, Gareth Hill ... [et al.].</t>
  </si>
  <si>
    <t>San Francisco, Calif. : C.G. Jung Institute of San Francisco, c1981.</t>
  </si>
  <si>
    <t>1806900771:eng</t>
  </si>
  <si>
    <t>7272802</t>
  </si>
  <si>
    <t>991005095519702656</t>
  </si>
  <si>
    <t>2261269880002656</t>
  </si>
  <si>
    <t>9780932630032</t>
  </si>
  <si>
    <t>32285000821149</t>
  </si>
  <si>
    <t>893412307</t>
  </si>
  <si>
    <t>RC489.S63 H35 1985</t>
  </si>
  <si>
    <t>0                      RC 0489000S  63                 H  35          1985</t>
  </si>
  <si>
    <t>Handbook of social skills training and research / edited by Luciano L'Abate and Michael A. Milan.</t>
  </si>
  <si>
    <t>New York : Wiley, c1985.</t>
  </si>
  <si>
    <t>Wiley series on personality processes, 0737-7920</t>
  </si>
  <si>
    <t>1992-07-16</t>
  </si>
  <si>
    <t>3831021:eng</t>
  </si>
  <si>
    <t>11211520</t>
  </si>
  <si>
    <t>991000506679702656</t>
  </si>
  <si>
    <t>2256459980002656</t>
  </si>
  <si>
    <t>9780471898320</t>
  </si>
  <si>
    <t>32285001210987</t>
  </si>
  <si>
    <t>893333535</t>
  </si>
  <si>
    <t>RC489.S74 F74 1996</t>
  </si>
  <si>
    <t>0                      RC 0489000S  74                 F  74          1996</t>
  </si>
  <si>
    <t>Narrative therapy : the social construction of preferred realities / Jill Freedman and Gene Combs.</t>
  </si>
  <si>
    <t>Freedman, Jill, M.S.W.</t>
  </si>
  <si>
    <t>New York : Norton, c1996.</t>
  </si>
  <si>
    <t>2010-03-30</t>
  </si>
  <si>
    <t>2000-07-20</t>
  </si>
  <si>
    <t>892265601:eng</t>
  </si>
  <si>
    <t>34358181</t>
  </si>
  <si>
    <t>991003210819702656</t>
  </si>
  <si>
    <t>2258447680002656</t>
  </si>
  <si>
    <t>9780393702071</t>
  </si>
  <si>
    <t>32285003712741</t>
  </si>
  <si>
    <t>893711141</t>
  </si>
  <si>
    <t>RC489.S74 P37 1994</t>
  </si>
  <si>
    <t>0                      RC 0489000S  74                 P  37          1994</t>
  </si>
  <si>
    <t>Story re-visions : narrative therapy in the postmodern world / Alan Parry, Robert E. Doan.</t>
  </si>
  <si>
    <t>Parry, Alan (Thomas Alan)</t>
  </si>
  <si>
    <t>New York : The Guilford Press, 1994.</t>
  </si>
  <si>
    <t>1997-11-15</t>
  </si>
  <si>
    <t>891805531:eng</t>
  </si>
  <si>
    <t>30625917</t>
  </si>
  <si>
    <t>991002354189702656</t>
  </si>
  <si>
    <t>2263085800002656</t>
  </si>
  <si>
    <t>9780898622133</t>
  </si>
  <si>
    <t>32285002374832</t>
  </si>
  <si>
    <t>893335202</t>
  </si>
  <si>
    <t>RC489.S74 W35 1985</t>
  </si>
  <si>
    <t>0                      RC 0489000S  74                 W  35          1985</t>
  </si>
  <si>
    <t>Stories for the third ear / Lee Wallas.</t>
  </si>
  <si>
    <t>Wallas, Lee.</t>
  </si>
  <si>
    <t>2000-10-26</t>
  </si>
  <si>
    <t>1010953:eng</t>
  </si>
  <si>
    <t>11971322</t>
  </si>
  <si>
    <t>991000620409702656</t>
  </si>
  <si>
    <t>2256937670002656</t>
  </si>
  <si>
    <t>9780393700190</t>
  </si>
  <si>
    <t>32285000088533</t>
  </si>
  <si>
    <t>893438435</t>
  </si>
  <si>
    <t>RC489.T7 H36 1985</t>
  </si>
  <si>
    <t>0                      RC 0489000T  7                  H  36          1985</t>
  </si>
  <si>
    <t>Staying OK / Amy Bjork Harris and Thomas A. Harris.</t>
  </si>
  <si>
    <t>Harris, Amy Bjork.</t>
  </si>
  <si>
    <t>New York : Harper &amp; Row, c1985.</t>
  </si>
  <si>
    <t>1992-06-01</t>
  </si>
  <si>
    <t>2829620310:eng</t>
  </si>
  <si>
    <t>11234951</t>
  </si>
  <si>
    <t>991000510089702656</t>
  </si>
  <si>
    <t>2257453580002656</t>
  </si>
  <si>
    <t>9780060153151</t>
  </si>
  <si>
    <t>32285001114445</t>
  </si>
  <si>
    <t>893231167</t>
  </si>
  <si>
    <t>RC489.T7 I56 1977</t>
  </si>
  <si>
    <t>0                      RC 0489000T  7                  I  56          1977</t>
  </si>
  <si>
    <t>Current issues in transactional analysis : the first International Transactional Analysis Association European conference / edited by Roger N. Blakeney.</t>
  </si>
  <si>
    <t>International Transactional Analysis Association.</t>
  </si>
  <si>
    <t>New York : Brunner/Mazel, c1977.</t>
  </si>
  <si>
    <t>364047815:eng</t>
  </si>
  <si>
    <t>2523427</t>
  </si>
  <si>
    <t>991004150279702656</t>
  </si>
  <si>
    <t>2270017940002656</t>
  </si>
  <si>
    <t>9780876301364</t>
  </si>
  <si>
    <t>32285000427954</t>
  </si>
  <si>
    <t>893618308</t>
  </si>
  <si>
    <t>RC489.T7 J34</t>
  </si>
  <si>
    <t>0                      RC 0489000T  7                  J  34</t>
  </si>
  <si>
    <t>Born to love; transactional analysis in the Church.</t>
  </si>
  <si>
    <t>James, Muriel.</t>
  </si>
  <si>
    <t>Reading, Mass., Addison-Wesley Pub. Co. [1973]</t>
  </si>
  <si>
    <t>1997-09-11</t>
  </si>
  <si>
    <t>1782053:eng</t>
  </si>
  <si>
    <t>799529</t>
  </si>
  <si>
    <t>991003274889702656</t>
  </si>
  <si>
    <t>2266819970002656</t>
  </si>
  <si>
    <t>9780201033281</t>
  </si>
  <si>
    <t>32285003092185</t>
  </si>
  <si>
    <t>893887306</t>
  </si>
  <si>
    <t>RC489.T7 J35 1971b</t>
  </si>
  <si>
    <t>0                      RC 0489000T  7                  J  35          1971b</t>
  </si>
  <si>
    <t>Born to win : transactional analysis with gestalt experiments / Muriel James, Dorothy Jongeward.</t>
  </si>
  <si>
    <t>Reading, Mass. : Addison-Wesley Pub. Co., c1971, 1983 printing.</t>
  </si>
  <si>
    <t>1995-12-09</t>
  </si>
  <si>
    <t>1992-05-13</t>
  </si>
  <si>
    <t>101115:eng</t>
  </si>
  <si>
    <t>6483420</t>
  </si>
  <si>
    <t>991005266339702656</t>
  </si>
  <si>
    <t>2271338820002656</t>
  </si>
  <si>
    <t>9780201033199</t>
  </si>
  <si>
    <t>32285001117760</t>
  </si>
  <si>
    <t>893795894</t>
  </si>
  <si>
    <t>RC489.T7 J6</t>
  </si>
  <si>
    <t>0                      RC 0489000T  7                  J  6</t>
  </si>
  <si>
    <t>Winning with people : group exercises in transactional analysis / [by] Dorothy Jongeward [and] Muriel James.</t>
  </si>
  <si>
    <t>Jongeward, Dorothy.</t>
  </si>
  <si>
    <t>Reading, Mass. : Addison-Wesley Pub. Co., [c1973]</t>
  </si>
  <si>
    <t>1993-11-16</t>
  </si>
  <si>
    <t>1991-02-04</t>
  </si>
  <si>
    <t>235160531:eng</t>
  </si>
  <si>
    <t>871656</t>
  </si>
  <si>
    <t>991003340679702656</t>
  </si>
  <si>
    <t>2261291040002656</t>
  </si>
  <si>
    <t>32285000471192</t>
  </si>
  <si>
    <t>893441188</t>
  </si>
  <si>
    <t>RC489.T7 S73</t>
  </si>
  <si>
    <t>0                      RC 0489000T  7                  S  73</t>
  </si>
  <si>
    <t>Scripts people live : transactional analysis of life scripts / Claude M. Steiner.</t>
  </si>
  <si>
    <t>Steiner, Claude, 1935-</t>
  </si>
  <si>
    <t>New York : Grove Press : distributed by Random House, [1974]</t>
  </si>
  <si>
    <t>1992-06-02</t>
  </si>
  <si>
    <t>3887262586:eng</t>
  </si>
  <si>
    <t>1059763</t>
  </si>
  <si>
    <t>991003507159702656</t>
  </si>
  <si>
    <t>2262660370002656</t>
  </si>
  <si>
    <t>9780802100436</t>
  </si>
  <si>
    <t>32285001114437</t>
  </si>
  <si>
    <t>893627619</t>
  </si>
  <si>
    <t>RC49 .A419</t>
  </si>
  <si>
    <t>0                      RC 0049000A  419</t>
  </si>
  <si>
    <t>Stress power! : How to turn tension into energy / Robert A. Anderson.</t>
  </si>
  <si>
    <t>Anderson, Roberta.</t>
  </si>
  <si>
    <t>New York : Human Sciences Press, c1978.</t>
  </si>
  <si>
    <t>1996-02-19</t>
  </si>
  <si>
    <t>889345669:eng</t>
  </si>
  <si>
    <t>3869218</t>
  </si>
  <si>
    <t>991004535069702656</t>
  </si>
  <si>
    <t>2263017330002656</t>
  </si>
  <si>
    <t>9780877053286</t>
  </si>
  <si>
    <t>32285000217520</t>
  </si>
  <si>
    <t>893694050</t>
  </si>
  <si>
    <t>RC49 .B52</t>
  </si>
  <si>
    <t>0                      RC 0049000B  52</t>
  </si>
  <si>
    <t>Grid approaches to managing stress / by Robert R. Blake and Jane Srygley Mouton.</t>
  </si>
  <si>
    <t>Blake, Robert R. (Robert Rogers), 1918-2004.</t>
  </si>
  <si>
    <t>497712307:eng</t>
  </si>
  <si>
    <t>6305227</t>
  </si>
  <si>
    <t>991004961389702656</t>
  </si>
  <si>
    <t>2259135160002656</t>
  </si>
  <si>
    <t>9780398040932</t>
  </si>
  <si>
    <t>32285001588796</t>
  </si>
  <si>
    <t>893424389</t>
  </si>
  <si>
    <t>RC49 .C674 1989</t>
  </si>
  <si>
    <t>0                      RC 0049000C  674         1989</t>
  </si>
  <si>
    <t>Head first : the biology of hope / Norman Cousins.</t>
  </si>
  <si>
    <t>Cousins, Norman.</t>
  </si>
  <si>
    <t>New York : Dutton, c1989.</t>
  </si>
  <si>
    <t>1998-02-23</t>
  </si>
  <si>
    <t>1990-02-13</t>
  </si>
  <si>
    <t>22308906:eng</t>
  </si>
  <si>
    <t>19590008</t>
  </si>
  <si>
    <t>991001478349702656</t>
  </si>
  <si>
    <t>2267549620002656</t>
  </si>
  <si>
    <t>9780525248057</t>
  </si>
  <si>
    <t>32285000037423</t>
  </si>
  <si>
    <t>893684348</t>
  </si>
  <si>
    <t>RC49 .D5 1991</t>
  </si>
  <si>
    <t>0                      RC 0049000D  5           1991</t>
  </si>
  <si>
    <t>Where the mind meets the body : type A, the relaxation response, psychoneuroimmunology, biofeedback, neuropeptides, hypnosis, imagery, and the search for the mind's effect on physical health / Harris Dienstfrey.</t>
  </si>
  <si>
    <t>Dienstfrey, Harris.</t>
  </si>
  <si>
    <t>New York, N.Y. : HarperCollins Publishers, c1991.</t>
  </si>
  <si>
    <t>2008-11-04</t>
  </si>
  <si>
    <t>1024266956:eng</t>
  </si>
  <si>
    <t>23470056</t>
  </si>
  <si>
    <t>991001867689702656</t>
  </si>
  <si>
    <t>2272293980002656</t>
  </si>
  <si>
    <t>9780060165703</t>
  </si>
  <si>
    <t>32285000867613</t>
  </si>
  <si>
    <t>893256579</t>
  </si>
  <si>
    <t>RC49 .E9 1986</t>
  </si>
  <si>
    <t>0                      RC 0049000E  9           1986</t>
  </si>
  <si>
    <t>Psychosomatic medicine : past and future / edited by George N. Christodoulou.</t>
  </si>
  <si>
    <t>European Conference on Psychosomatic Research (16th : 1986 : Athens, Greece)</t>
  </si>
  <si>
    <t>New York : Plenum Press, c1987.</t>
  </si>
  <si>
    <t>144592004:eng</t>
  </si>
  <si>
    <t>16922666</t>
  </si>
  <si>
    <t>991001164989702656</t>
  </si>
  <si>
    <t>2271871200002656</t>
  </si>
  <si>
    <t>9780306427800</t>
  </si>
  <si>
    <t>32285000056605</t>
  </si>
  <si>
    <t>893866016</t>
  </si>
  <si>
    <t>RC49 .H329 1996</t>
  </si>
  <si>
    <t>0                      RC 0049000H  329         1996</t>
  </si>
  <si>
    <t>Handbook of stress, medicine, and health / edited by Cary L. Cooper.</t>
  </si>
  <si>
    <t>Boca Raton : CRC Press, c1996.</t>
  </si>
  <si>
    <t>2005-06-12</t>
  </si>
  <si>
    <t>1007178315:eng</t>
  </si>
  <si>
    <t>32169212</t>
  </si>
  <si>
    <t>991002471009702656</t>
  </si>
  <si>
    <t>2264089690002656</t>
  </si>
  <si>
    <t>9780849329081</t>
  </si>
  <si>
    <t>32285002316270</t>
  </si>
  <si>
    <t>893804645</t>
  </si>
  <si>
    <t>RC49 .H44</t>
  </si>
  <si>
    <t>0                      RC 0049000H  44</t>
  </si>
  <si>
    <t>Stress, health, and the social environment : a sociobiologic approach to medicine / J. P. Henry and P. M. Stephens.</t>
  </si>
  <si>
    <t>Henry, J. P. (James Paget), 1914-1996.</t>
  </si>
  <si>
    <t>New York : Springer-Verlag, c1977.</t>
  </si>
  <si>
    <t>Topics in environmental physiology and medicine</t>
  </si>
  <si>
    <t>1990-02-25</t>
  </si>
  <si>
    <t>863915030:eng</t>
  </si>
  <si>
    <t>3204676</t>
  </si>
  <si>
    <t>991001785379702656</t>
  </si>
  <si>
    <t>2269500980002656</t>
  </si>
  <si>
    <t>9780387902937</t>
  </si>
  <si>
    <t>32285001026714</t>
  </si>
  <si>
    <t>893244414</t>
  </si>
  <si>
    <t>RC49 .L475 1989</t>
  </si>
  <si>
    <t>0                      RC 0049000L  475         1989</t>
  </si>
  <si>
    <t>Life change, life events, and illness : selected papers / edited by Thomas H. Holmes and Ella M. David.</t>
  </si>
  <si>
    <t>New York : Praeger, 1989.</t>
  </si>
  <si>
    <t>1991-01-03</t>
  </si>
  <si>
    <t>836750090:eng</t>
  </si>
  <si>
    <t>18522315</t>
  </si>
  <si>
    <t>991001362049702656</t>
  </si>
  <si>
    <t>2267718170002656</t>
  </si>
  <si>
    <t>9780275924805</t>
  </si>
  <si>
    <t>32285000406982</t>
  </si>
  <si>
    <t>893878826</t>
  </si>
  <si>
    <t>RC49 .P416 1982</t>
  </si>
  <si>
    <t>0                      RC 0049000P  416         1982</t>
  </si>
  <si>
    <t>The psychology of physical symptoms / James W. Pennebaker.</t>
  </si>
  <si>
    <t>Pennebaker, James W.</t>
  </si>
  <si>
    <t>New York : Springer-Verlag, c1982.</t>
  </si>
  <si>
    <t>2010-05-12</t>
  </si>
  <si>
    <t>19756675:eng</t>
  </si>
  <si>
    <t>8627040</t>
  </si>
  <si>
    <t>991000034269702656</t>
  </si>
  <si>
    <t>2261633240002656</t>
  </si>
  <si>
    <t>9780387907307</t>
  </si>
  <si>
    <t>32285000075373</t>
  </si>
  <si>
    <t>893871339</t>
  </si>
  <si>
    <t>RC49 .P75 1993</t>
  </si>
  <si>
    <t>0                      RC 0049000P  75          1993</t>
  </si>
  <si>
    <t>Psychophysiological disorders : research and clinical applications / edited by Robert J. Gatchel and Edward B. Blanchard.</t>
  </si>
  <si>
    <t>2005-04-29</t>
  </si>
  <si>
    <t>1996-06-17</t>
  </si>
  <si>
    <t>1078121342:eng</t>
  </si>
  <si>
    <t>28847192</t>
  </si>
  <si>
    <t>991002236319702656</t>
  </si>
  <si>
    <t>2262905770002656</t>
  </si>
  <si>
    <t>9781557982179</t>
  </si>
  <si>
    <t>32285002193455</t>
  </si>
  <si>
    <t>893244926</t>
  </si>
  <si>
    <t>RC49 .P78</t>
  </si>
  <si>
    <t>0                      RC 0049000P  78</t>
  </si>
  <si>
    <t>Psychosomatic classics : selected papers from "Psychosomatic medicine", 1939-1958 / ed. by a committee from the editorial board of Psychosomatic medicine consisting of L. A. Gottschalk ... [and others]</t>
  </si>
  <si>
    <t>Basel ; New York : S. Karger, 1972.</t>
  </si>
  <si>
    <t>2002-01-25</t>
  </si>
  <si>
    <t>53978160:eng</t>
  </si>
  <si>
    <t>524724</t>
  </si>
  <si>
    <t>991002917499702656</t>
  </si>
  <si>
    <t>2261182600002656</t>
  </si>
  <si>
    <t>32285003658571</t>
  </si>
  <si>
    <t>893616759</t>
  </si>
  <si>
    <t>RC49 .R3 1965</t>
  </si>
  <si>
    <t>0                      RC 0049000R  3           1965</t>
  </si>
  <si>
    <t>Mind and body in eighteenth century medicine : a study based on Jerome Gaub's De regimine mentis / by L. J. Rather.</t>
  </si>
  <si>
    <t>Berkeley : University of California Press, 1965.</t>
  </si>
  <si>
    <t>1999-04-09</t>
  </si>
  <si>
    <t>19528801:eng</t>
  </si>
  <si>
    <t>21198972</t>
  </si>
  <si>
    <t>991002733749702656</t>
  </si>
  <si>
    <t>2260997760002656</t>
  </si>
  <si>
    <t>32285001588812</t>
  </si>
  <si>
    <t>893409459</t>
  </si>
  <si>
    <t>RC49 .R85 1973</t>
  </si>
  <si>
    <t>0                      RC 0049000R  85          1973</t>
  </si>
  <si>
    <t>The interpretation of death / edited and introduced by Hendrik M. Ruitenbeek.</t>
  </si>
  <si>
    <t>Ruitenbeek, Hendrik Marinus, 1928-</t>
  </si>
  <si>
    <t>[New York] : J. Aronson, [1973]</t>
  </si>
  <si>
    <t>2006-11-14</t>
  </si>
  <si>
    <t>1519799:eng</t>
  </si>
  <si>
    <t>707559</t>
  </si>
  <si>
    <t>991003172189702656</t>
  </si>
  <si>
    <t>2270809300002656</t>
  </si>
  <si>
    <t>9780876680957</t>
  </si>
  <si>
    <t>32285000334598</t>
  </si>
  <si>
    <t>893252091</t>
  </si>
  <si>
    <t>RC49 .S435 1992</t>
  </si>
  <si>
    <t>0                      RC 0049000S  435         1992</t>
  </si>
  <si>
    <t>From paralysis to fatigue : a history of psychosomatic illness in the modern era / Edward Shorter.</t>
  </si>
  <si>
    <t>Shorter, Edward.</t>
  </si>
  <si>
    <t>2001-01-19</t>
  </si>
  <si>
    <t>1994-02-14</t>
  </si>
  <si>
    <t>325222:eng</t>
  </si>
  <si>
    <t>24067352</t>
  </si>
  <si>
    <t>991001905359702656</t>
  </si>
  <si>
    <t>2258364440002656</t>
  </si>
  <si>
    <t>9780029286654</t>
  </si>
  <si>
    <t>32285001841666</t>
  </si>
  <si>
    <t>893684739</t>
  </si>
  <si>
    <t>RC49 .W43 1988</t>
  </si>
  <si>
    <t>0                      RC 0049000W  43          1988</t>
  </si>
  <si>
    <t>Symptom reduction through clinical biofeedback / Ivan Wentworth-Rohr.</t>
  </si>
  <si>
    <t>Wentworth-Rohr, Ivan, 1918-</t>
  </si>
  <si>
    <t>New York, N.Y. : Human Sciences Press, c1988.</t>
  </si>
  <si>
    <t>Paperback ed.</t>
  </si>
  <si>
    <t>1992-10-30</t>
  </si>
  <si>
    <t>21615138:eng</t>
  </si>
  <si>
    <t>19232594</t>
  </si>
  <si>
    <t>991001440609702656</t>
  </si>
  <si>
    <t>2263933320002656</t>
  </si>
  <si>
    <t>9780898853667</t>
  </si>
  <si>
    <t>32285000075381</t>
  </si>
  <si>
    <t>893232000</t>
  </si>
  <si>
    <t>RC495 .A75</t>
  </si>
  <si>
    <t>0                      RC 0495000A  75</t>
  </si>
  <si>
    <t>The handbook of professional hypnosis : an advanced course for hypnotherapists and hypnotechnicians / by Harry Arons and Marne F. H. Bubeck.</t>
  </si>
  <si>
    <t>Arons, Harry.</t>
  </si>
  <si>
    <t>Irvington, N.J. : Power Publishers, [1971]</t>
  </si>
  <si>
    <t>1997-11-04</t>
  </si>
  <si>
    <t>1992-11-18</t>
  </si>
  <si>
    <t>1328971:eng</t>
  </si>
  <si>
    <t>147178</t>
  </si>
  <si>
    <t>991000829449702656</t>
  </si>
  <si>
    <t>2258767160002656</t>
  </si>
  <si>
    <t>32285001405561</t>
  </si>
  <si>
    <t>893589775</t>
  </si>
  <si>
    <t>RC495 .B4513 1973a</t>
  </si>
  <si>
    <t>0                      RC 0495000B  4513        1973a</t>
  </si>
  <si>
    <t>Hypnosis &amp; suggestion in psychotherapy; a treatise on the nature and uses of hypnotism [by] H. Bernheim. Introd. by Ernest R. Hilgard. Tr. from the 2nd rev. ed. by Christian A. Herter.</t>
  </si>
  <si>
    <t>Bernheim, H. (Hippolyte), 1840-1919.</t>
  </si>
  <si>
    <t>New York, Jason Aronson, Inc. [1973]</t>
  </si>
  <si>
    <t>1999-10-30</t>
  </si>
  <si>
    <t>1992-09-29</t>
  </si>
  <si>
    <t>4040359:eng</t>
  </si>
  <si>
    <t>972874</t>
  </si>
  <si>
    <t>991003437229702656</t>
  </si>
  <si>
    <t>2258721180002656</t>
  </si>
  <si>
    <t>9780876681107</t>
  </si>
  <si>
    <t>32285001334811</t>
  </si>
  <si>
    <t>893258415</t>
  </si>
  <si>
    <t>RC495 .F68</t>
  </si>
  <si>
    <t>0                      RC 0495000F  68</t>
  </si>
  <si>
    <t>Hypnosis : trance as a coping mechanism / Fred H. Frankel. --</t>
  </si>
  <si>
    <t>Frankel, Fred H.</t>
  </si>
  <si>
    <t>New York : Plenum Medical Book Co., c1976.</t>
  </si>
  <si>
    <t>Topics in general psychiatry</t>
  </si>
  <si>
    <t>2001-03-12</t>
  </si>
  <si>
    <t>836643546:eng</t>
  </si>
  <si>
    <t>2189280</t>
  </si>
  <si>
    <t>991004042299702656</t>
  </si>
  <si>
    <t>2265395360002656</t>
  </si>
  <si>
    <t>9780306309328</t>
  </si>
  <si>
    <t>32285000058619</t>
  </si>
  <si>
    <t>893442104</t>
  </si>
  <si>
    <t>RC495 .G6</t>
  </si>
  <si>
    <t>0                      RC 0495000G  6</t>
  </si>
  <si>
    <t>Handbook of clinical and experimental hypnosis / edited by Jesse E. Gordon.</t>
  </si>
  <si>
    <t>Gordon, Jesse E., 1930-, editor.</t>
  </si>
  <si>
    <t>New York : Macmillan, [c1967]</t>
  </si>
  <si>
    <t>1998-10-08</t>
  </si>
  <si>
    <t>346821060:eng</t>
  </si>
  <si>
    <t>173982</t>
  </si>
  <si>
    <t>991001022049702656</t>
  </si>
  <si>
    <t>2268470490002656</t>
  </si>
  <si>
    <t>32285000779230</t>
  </si>
  <si>
    <t>893702669</t>
  </si>
  <si>
    <t>RC495 .H356 1993</t>
  </si>
  <si>
    <t>0                      RC 0495000H  356         1993</t>
  </si>
  <si>
    <t>Handbook of clinical hypnosis / edited by Judith W. Rhue, Steven Jay Lynn, and Irving Kirsch.</t>
  </si>
  <si>
    <t>Washington, DC : American Psychological Association, c1993.</t>
  </si>
  <si>
    <t>1994-01-11</t>
  </si>
  <si>
    <t>4916800427:eng</t>
  </si>
  <si>
    <t>27728598</t>
  </si>
  <si>
    <t>991002152709702656</t>
  </si>
  <si>
    <t>2265908280002656</t>
  </si>
  <si>
    <t>9781557981998</t>
  </si>
  <si>
    <t>32285001830677</t>
  </si>
  <si>
    <t>893621964</t>
  </si>
  <si>
    <t>RC495 .R65 1986</t>
  </si>
  <si>
    <t>0                      RC 0495000R  65          1986</t>
  </si>
  <si>
    <t>The psychobiology of mind-body healing : new concepts of therapeutic hypnosis / Ernest Lawrence Rossi.</t>
  </si>
  <si>
    <t>Rossi, Ernest Lawrence.</t>
  </si>
  <si>
    <t>New York : W.W. Norton, c1986.</t>
  </si>
  <si>
    <t>443239252:eng</t>
  </si>
  <si>
    <t>13642607</t>
  </si>
  <si>
    <t>991000853789702656</t>
  </si>
  <si>
    <t>2271846550002656</t>
  </si>
  <si>
    <t>9780393700343</t>
  </si>
  <si>
    <t>32285001380491</t>
  </si>
  <si>
    <t>893589800</t>
  </si>
  <si>
    <t>RC497 .C73 1993</t>
  </si>
  <si>
    <t>0                      RC 0497000C  73          1993</t>
  </si>
  <si>
    <t>From Mesmer to Freud : magnetic sleep and the roots of psychological healing / Adam Crabtree.</t>
  </si>
  <si>
    <t>Crabtree, Adam.</t>
  </si>
  <si>
    <t>New Haven : Yale University Press, c1993.</t>
  </si>
  <si>
    <t>253818742:eng</t>
  </si>
  <si>
    <t>27975956</t>
  </si>
  <si>
    <t>991002174099702656</t>
  </si>
  <si>
    <t>2262236470002656</t>
  </si>
  <si>
    <t>9780300055887</t>
  </si>
  <si>
    <t>32285001975589</t>
  </si>
  <si>
    <t>893529630</t>
  </si>
  <si>
    <t>RC497 .H54</t>
  </si>
  <si>
    <t>0                      RC 0497000H  54</t>
  </si>
  <si>
    <t>Hypnosis in the relief of pain / Ernest R. Hilgard, Josephine R. Hilgard.</t>
  </si>
  <si>
    <t>Hilgard, Ernest R. (Ernest Ropiequet), 1904-2001.</t>
  </si>
  <si>
    <t>Los Altos, Calif. : W. Kaufmann, [1975]</t>
  </si>
  <si>
    <t>138060583:eng</t>
  </si>
  <si>
    <t>1527608</t>
  </si>
  <si>
    <t>991003801429702656</t>
  </si>
  <si>
    <t>2258113850002656</t>
  </si>
  <si>
    <t>9780913232163</t>
  </si>
  <si>
    <t>32285001985695</t>
  </si>
  <si>
    <t>893623916</t>
  </si>
  <si>
    <t>RC499.A8 L55 1990</t>
  </si>
  <si>
    <t>0                      RC 0499000A  8                  L  55          1990</t>
  </si>
  <si>
    <t>Autogenic training : a clinical guide / Wolfgang Linden ; foreword by Paul Lehrer.</t>
  </si>
  <si>
    <t>Linden, Wolfgang (Professor of clinical and health psychology)</t>
  </si>
  <si>
    <t>New York : Guilford Press, c1990.</t>
  </si>
  <si>
    <t>1999-12-04</t>
  </si>
  <si>
    <t>1996-11-25</t>
  </si>
  <si>
    <t>348963443:eng</t>
  </si>
  <si>
    <t>22345117</t>
  </si>
  <si>
    <t>991001768359702656</t>
  </si>
  <si>
    <t>2258025730002656</t>
  </si>
  <si>
    <t>9780898625516</t>
  </si>
  <si>
    <t>32285002385713</t>
  </si>
  <si>
    <t>893334556</t>
  </si>
  <si>
    <t>RC504 .B35 1990</t>
  </si>
  <si>
    <t>0                      RC 0504000B  35          1990</t>
  </si>
  <si>
    <t>Freud's Vienna and other essays / Bruno Bettelheim.</t>
  </si>
  <si>
    <t>Bettelheim, Bruno.</t>
  </si>
  <si>
    <t>New York : Knopf : Distributed by Random House, 1990, c1989.</t>
  </si>
  <si>
    <t>1998-09-21</t>
  </si>
  <si>
    <t>101211:eng</t>
  </si>
  <si>
    <t>19723975</t>
  </si>
  <si>
    <t>991001491659702656</t>
  </si>
  <si>
    <t>2260483550002656</t>
  </si>
  <si>
    <t>9780394572093</t>
  </si>
  <si>
    <t>32285000037456</t>
  </si>
  <si>
    <t>893596510</t>
  </si>
  <si>
    <t>RC504 .F32 1973</t>
  </si>
  <si>
    <t>0                      RC 0504000F  32          1973</t>
  </si>
  <si>
    <t>Psychoanalytic psychology : the development of Freud's thought / [by] Raymond E. Fancher.</t>
  </si>
  <si>
    <t>Fancher, Raymond E.</t>
  </si>
  <si>
    <t>New York : Norton, [1973]</t>
  </si>
  <si>
    <t>1999-09-25</t>
  </si>
  <si>
    <t>422817766:eng</t>
  </si>
  <si>
    <t>572875</t>
  </si>
  <si>
    <t>991003005799702656</t>
  </si>
  <si>
    <t>2272574080002656</t>
  </si>
  <si>
    <t>9780393011012</t>
  </si>
  <si>
    <t>32285001383115</t>
  </si>
  <si>
    <t>893317544</t>
  </si>
  <si>
    <t>RC504 .G38 1993</t>
  </si>
  <si>
    <t>0                      RC 0504000G  38          1993</t>
  </si>
  <si>
    <t>Beyond interpretation : toward a revised theory for psychoanalysis / John E. Gedo.</t>
  </si>
  <si>
    <t>Gedo, John E.</t>
  </si>
  <si>
    <t>Hillsdale, NJ : Analytic Press, 1993.</t>
  </si>
  <si>
    <t>9380875218:eng</t>
  </si>
  <si>
    <t>28801802</t>
  </si>
  <si>
    <t>991002235219702656</t>
  </si>
  <si>
    <t>2258991550002656</t>
  </si>
  <si>
    <t>9780881631647</t>
  </si>
  <si>
    <t>32285001978831</t>
  </si>
  <si>
    <t>893523360</t>
  </si>
  <si>
    <t>RC504 .G7 v...</t>
  </si>
  <si>
    <t>0                      RC 0504000G  7                                                       v...</t>
  </si>
  <si>
    <t>The technique and practice of psychoanalysis [by] Ralph R. Greenson.</t>
  </si>
  <si>
    <t>v...*</t>
  </si>
  <si>
    <t>Greenson, Ralph R. (Ralph Romeo), 1911-1979.</t>
  </si>
  <si>
    <t>New York, International Universities Press [1967-</t>
  </si>
  <si>
    <t>1994-12-01</t>
  </si>
  <si>
    <t>8907298267:eng</t>
  </si>
  <si>
    <t>169313</t>
  </si>
  <si>
    <t>991000961169702656</t>
  </si>
  <si>
    <t>2264013470002656</t>
  </si>
  <si>
    <t>32285001607174</t>
  </si>
  <si>
    <t>893897374</t>
  </si>
  <si>
    <t>RC506 .C58 1992</t>
  </si>
  <si>
    <t>0                      RC 0506000C  58          1992</t>
  </si>
  <si>
    <t>Child and adult development : a psychoanalytic introduction for clinicians / Calvin A. Colarusso.</t>
  </si>
  <si>
    <t>Colarusso, Calvin A.</t>
  </si>
  <si>
    <t>2009-02-18</t>
  </si>
  <si>
    <t>1993-01-14</t>
  </si>
  <si>
    <t>796281862:eng</t>
  </si>
  <si>
    <t>26163655</t>
  </si>
  <si>
    <t>991002051169702656</t>
  </si>
  <si>
    <t>2271042690002656</t>
  </si>
  <si>
    <t>9780306442858</t>
  </si>
  <si>
    <t>32285001446037</t>
  </si>
  <si>
    <t>893427152</t>
  </si>
  <si>
    <t>RC506 .F558</t>
  </si>
  <si>
    <t>0                      RC 0506000F  558</t>
  </si>
  <si>
    <t>Hello Sigmund, this is Eric : psychoanalysis and TA in dialogue / Louis H. Forman and Janelle Smith Ramsburg.</t>
  </si>
  <si>
    <t>Forman, Louis H.</t>
  </si>
  <si>
    <t>Kansas City : S. Andrews and McMeel, c1978.</t>
  </si>
  <si>
    <t>1997-01-09</t>
  </si>
  <si>
    <t>13596506:eng</t>
  </si>
  <si>
    <t>4003442</t>
  </si>
  <si>
    <t>991004561769702656</t>
  </si>
  <si>
    <t>2267663590002656</t>
  </si>
  <si>
    <t>9780836207545</t>
  </si>
  <si>
    <t>32285001607190</t>
  </si>
  <si>
    <t>893532541</t>
  </si>
  <si>
    <t>RC506 .F69713</t>
  </si>
  <si>
    <t>0                      RC 0506000F  69713</t>
  </si>
  <si>
    <t>The Freud/Jung letters; the correspondence between Sigmund Freud and C. G. Jung. Edited by William McGuire. Translated by Ralph Manheim and R. F. C. Hull.</t>
  </si>
  <si>
    <t>Freud, Sigmund, 1856-1939.</t>
  </si>
  <si>
    <t>[Princeton, N.J.] Princeton University Press [1974]</t>
  </si>
  <si>
    <t>Bollingen series ; 94</t>
  </si>
  <si>
    <t>1999-04-27</t>
  </si>
  <si>
    <t>1059148331:eng</t>
  </si>
  <si>
    <t>715417</t>
  </si>
  <si>
    <t>991003190109702656</t>
  </si>
  <si>
    <t>2256975070002656</t>
  </si>
  <si>
    <t>9780691098906</t>
  </si>
  <si>
    <t>32285003092243</t>
  </si>
  <si>
    <t>893717396</t>
  </si>
  <si>
    <t>RC506 .G7613 1977</t>
  </si>
  <si>
    <t>0                      RC 0506000G  7613        1977</t>
  </si>
  <si>
    <t>The meaning of illness : selected psychoanalytic writings / by Georg Groddeck, including his correspondence with Sigmund Freud ; selected, and with an introd. by Lore Schacht ; translated by Gertrud Mander.</t>
  </si>
  <si>
    <t>Groddeck, Georg, 1866-1934.</t>
  </si>
  <si>
    <t>New York : International Universities Press, 1977.</t>
  </si>
  <si>
    <t>1993-11-13</t>
  </si>
  <si>
    <t>11580061:eng</t>
  </si>
  <si>
    <t>3252103</t>
  </si>
  <si>
    <t>991004388339702656</t>
  </si>
  <si>
    <t>2255441440002656</t>
  </si>
  <si>
    <t>9780823632053</t>
  </si>
  <si>
    <t>32285001607497</t>
  </si>
  <si>
    <t>893337667</t>
  </si>
  <si>
    <t>RC506 .I553 1992</t>
  </si>
  <si>
    <t>0                      RC 0506000I  553         1992</t>
  </si>
  <si>
    <t>Interface of psychoanalysis and psychology / James W. Barron, Morris N. Eagle, David L. Wolitzky, editors.</t>
  </si>
  <si>
    <t>Washington, DC : American Psychological Association, 1992.</t>
  </si>
  <si>
    <t>2004-06-16</t>
  </si>
  <si>
    <t>1078472538:eng</t>
  </si>
  <si>
    <t>25593453</t>
  </si>
  <si>
    <t>991002013569702656</t>
  </si>
  <si>
    <t>2259894210002656</t>
  </si>
  <si>
    <t>9781557981561</t>
  </si>
  <si>
    <t>32285001369478</t>
  </si>
  <si>
    <t>893885747</t>
  </si>
  <si>
    <t>RC506 .L58</t>
  </si>
  <si>
    <t>0                      RC 0506000L  58</t>
  </si>
  <si>
    <t>Adolescents : psychoanalytic approach to problems and therapy / by 19 contributors. Edited by Sandor Lorand and Henry I. Schneer. Foreword by David M. Engelhardt.</t>
  </si>
  <si>
    <t>Lorand, Sándor, 1892-1987, editor.</t>
  </si>
  <si>
    <t>[New York] : P. B. Hoeber, [1961]</t>
  </si>
  <si>
    <t>1994-01-31</t>
  </si>
  <si>
    <t>1993-12-13</t>
  </si>
  <si>
    <t>314848174:eng</t>
  </si>
  <si>
    <t>22808538</t>
  </si>
  <si>
    <t>991001814959702656</t>
  </si>
  <si>
    <t>2257609240002656</t>
  </si>
  <si>
    <t>32285001807618</t>
  </si>
  <si>
    <t>893426891</t>
  </si>
  <si>
    <t>RC506 .P77 1978</t>
  </si>
  <si>
    <t>0                      RC 0506000P  77          1978</t>
  </si>
  <si>
    <t>Psychoanalysis, creativity, and literature : a French-American inquiry / Alan Roland, editor.</t>
  </si>
  <si>
    <t>New York : Columbia University Press, 1978.</t>
  </si>
  <si>
    <t>2003-12-05</t>
  </si>
  <si>
    <t>878520456:eng</t>
  </si>
  <si>
    <t>3516696</t>
  </si>
  <si>
    <t>991004453269702656</t>
  </si>
  <si>
    <t>2272509060002656</t>
  </si>
  <si>
    <t>9780231043243</t>
  </si>
  <si>
    <t>32285001607257</t>
  </si>
  <si>
    <t>893526109</t>
  </si>
  <si>
    <t>RC506 .P79</t>
  </si>
  <si>
    <t>0                      RC 0506000P  79</t>
  </si>
  <si>
    <t>The Psychology of the self : a casebook / written with the collaboration of Heinz Kohut ; editor, Arnold Goldberg, contributing editors, Michael Pranz Pasch ... [et al.]. --</t>
  </si>
  <si>
    <t>New York : International Universities Press, c1978.</t>
  </si>
  <si>
    <t>920385310:eng</t>
  </si>
  <si>
    <t>3869061</t>
  </si>
  <si>
    <t>991005265829702656</t>
  </si>
  <si>
    <t>2263010080002656</t>
  </si>
  <si>
    <t>9780823655823</t>
  </si>
  <si>
    <t>32285001607265</t>
  </si>
  <si>
    <t>893437428</t>
  </si>
  <si>
    <t>RC506 .S27</t>
  </si>
  <si>
    <t>0                      RC 0506000S  27</t>
  </si>
  <si>
    <t>The childhood emotional pattern : the key to personality, its disorders and therapy / Leon J. Saul. --</t>
  </si>
  <si>
    <t>Saul, Leon J. (Leon Joseph), 1901-1983.</t>
  </si>
  <si>
    <t>New York : Van Nostrand Reinhold Co., c1977.</t>
  </si>
  <si>
    <t>1993-11-30</t>
  </si>
  <si>
    <t>316534855:eng</t>
  </si>
  <si>
    <t>2905703</t>
  </si>
  <si>
    <t>991004279659702656</t>
  </si>
  <si>
    <t>2271821170002656</t>
  </si>
  <si>
    <t>9780442273606</t>
  </si>
  <si>
    <t>32285001607281</t>
  </si>
  <si>
    <t>893687561</t>
  </si>
  <si>
    <t>RC509 .G73</t>
  </si>
  <si>
    <t>0                      RC 0509000G  73</t>
  </si>
  <si>
    <t>Explorations in psychoanalysis / Ralph R. Greenson.</t>
  </si>
  <si>
    <t>1993-11-17</t>
  </si>
  <si>
    <t>489249:eng</t>
  </si>
  <si>
    <t>3650694</t>
  </si>
  <si>
    <t>991004488919702656</t>
  </si>
  <si>
    <t>2261411690002656</t>
  </si>
  <si>
    <t>9780823618101</t>
  </si>
  <si>
    <t>32285001607315</t>
  </si>
  <si>
    <t>893687795</t>
  </si>
  <si>
    <t>RC509.8 .I5 1985</t>
  </si>
  <si>
    <t>0                      RC 0509800I  5           1985</t>
  </si>
  <si>
    <t>In Dora's case : Freud--hysteria--feminism / Charles Bernheimer and Claire Kahane, editors.</t>
  </si>
  <si>
    <t>New York : Columbia University Press, 1985.</t>
  </si>
  <si>
    <t>Gender and culture</t>
  </si>
  <si>
    <t>795556610:eng</t>
  </si>
  <si>
    <t>11158895</t>
  </si>
  <si>
    <t>991000498359702656</t>
  </si>
  <si>
    <t>2255031200002656</t>
  </si>
  <si>
    <t>9780231059114</t>
  </si>
  <si>
    <t>32285001607323</t>
  </si>
  <si>
    <t>893515313</t>
  </si>
  <si>
    <t>RC509.8 .L64 1996</t>
  </si>
  <si>
    <t>0                      RC 0509800L  64          1996</t>
  </si>
  <si>
    <t>Unorthodox Freud : the view from the couch / Beate Lohser, Peter M. Newton.</t>
  </si>
  <si>
    <t>Lohser, Beate.</t>
  </si>
  <si>
    <t>1999-03-22</t>
  </si>
  <si>
    <t>836924802:eng</t>
  </si>
  <si>
    <t>34470960</t>
  </si>
  <si>
    <t>991002627489702656</t>
  </si>
  <si>
    <t>2268003450002656</t>
  </si>
  <si>
    <t>9781572301283</t>
  </si>
  <si>
    <t>32285002366036</t>
  </si>
  <si>
    <t>893323159</t>
  </si>
  <si>
    <t>RC510 .W67 1993</t>
  </si>
  <si>
    <t>0                      RC 0510000W  67          1993</t>
  </si>
  <si>
    <t>A Work book of group-analytic interventions / David Kennard, Jeff Roberts, and David A. Winter, with contributions from Yiannis Arzoumanides and Malcolm Pines.</t>
  </si>
  <si>
    <t>London ; New York : Routledge, 1993.</t>
  </si>
  <si>
    <t>The International library of group psychotherapy and group process</t>
  </si>
  <si>
    <t>1995-02-02</t>
  </si>
  <si>
    <t>40650879:eng</t>
  </si>
  <si>
    <t>27311153</t>
  </si>
  <si>
    <t>991002131109702656</t>
  </si>
  <si>
    <t>2255706920002656</t>
  </si>
  <si>
    <t>9780415087834</t>
  </si>
  <si>
    <t>32285001996759</t>
  </si>
  <si>
    <t>893798223</t>
  </si>
  <si>
    <t>RC512 .F18 1978</t>
  </si>
  <si>
    <t>0                      RC 0512000F  18          1978</t>
  </si>
  <si>
    <t>Exploring madness : experience, theory, and research / edited by James Fadiman, Donald Kewman.</t>
  </si>
  <si>
    <t>Fadiman, James, 1939- compiler.</t>
  </si>
  <si>
    <t>2004-03-04</t>
  </si>
  <si>
    <t>1745754:eng</t>
  </si>
  <si>
    <t>4036616</t>
  </si>
  <si>
    <t>991004573079702656</t>
  </si>
  <si>
    <t>2269511460002656</t>
  </si>
  <si>
    <t>9780818502811</t>
  </si>
  <si>
    <t>32285001607331</t>
  </si>
  <si>
    <t>893247728</t>
  </si>
  <si>
    <t>RC512 .F75</t>
  </si>
  <si>
    <t>0                      RC 0512000F  75</t>
  </si>
  <si>
    <t>Going crazy : an inquiry into madness in our time / Otto Friedrich.</t>
  </si>
  <si>
    <t>Friedrich, Otto, 1929-1995.</t>
  </si>
  <si>
    <t>New York : Simon and Schuster, c1976.</t>
  </si>
  <si>
    <t>2001-06-01</t>
  </si>
  <si>
    <t>1993-01-08</t>
  </si>
  <si>
    <t>918612309:eng</t>
  </si>
  <si>
    <t>1582777</t>
  </si>
  <si>
    <t>991003829129702656</t>
  </si>
  <si>
    <t>2270793710002656</t>
  </si>
  <si>
    <t>9780671221744</t>
  </si>
  <si>
    <t>32285001473940</t>
  </si>
  <si>
    <t>893258914</t>
  </si>
  <si>
    <t>RC512 .P737 1986</t>
  </si>
  <si>
    <t>0                      RC 0512000P  737         1986</t>
  </si>
  <si>
    <t>Psychoses, affective disorders, and dementia / [edited by] John E. Helzer, Samuel B. Guze.</t>
  </si>
  <si>
    <t>New York : Basic Books ; Philadelphia : Lippincott, c1986.</t>
  </si>
  <si>
    <t>Psychiatry ; v. 2</t>
  </si>
  <si>
    <t>2010-10-03</t>
  </si>
  <si>
    <t>474978108:eng</t>
  </si>
  <si>
    <t>13665558</t>
  </si>
  <si>
    <t>991000857089702656</t>
  </si>
  <si>
    <t>2269886350002656</t>
  </si>
  <si>
    <t>9780397508112</t>
  </si>
  <si>
    <t>32285000072446</t>
  </si>
  <si>
    <t>893872069</t>
  </si>
  <si>
    <t>RC512 .P79</t>
  </si>
  <si>
    <t>0                      RC 0512000P  79</t>
  </si>
  <si>
    <t>Psychotic children grown up : a prospective follow-up study in adolescence and adulthood / William Goldfarb, Donald Meyers, Judy Florsheim, Nathan Goldfarb.</t>
  </si>
  <si>
    <t>Issues in child mental health ; v. 5, no. 2</t>
  </si>
  <si>
    <t>2002-08-28</t>
  </si>
  <si>
    <t>1992-12-03</t>
  </si>
  <si>
    <t>3859224350:eng</t>
  </si>
  <si>
    <t>5023423</t>
  </si>
  <si>
    <t>991004764259702656</t>
  </si>
  <si>
    <t>2257265590002656</t>
  </si>
  <si>
    <t>9780877053316</t>
  </si>
  <si>
    <t>32285001411932</t>
  </si>
  <si>
    <t>893353527</t>
  </si>
  <si>
    <t>RC512 .W313</t>
  </si>
  <si>
    <t>0                      RC 0512000W  313</t>
  </si>
  <si>
    <t>Schizophrenia : a philosophical reflection on Lacan's structuralist interpretation / Alphonse de Waelhens ; translated, with introd., notes, and bibliography by W. Ver Eecke.</t>
  </si>
  <si>
    <t>Waelhens, Alphonse de.</t>
  </si>
  <si>
    <t>Pittsburgh : Duquesne University Press ; Atlantic Highlands, N.J. : distributed by Humanities Press, c1978.</t>
  </si>
  <si>
    <t>Philosophical series ; v. 35</t>
  </si>
  <si>
    <t>2007-10-08</t>
  </si>
  <si>
    <t>890717101:eng</t>
  </si>
  <si>
    <t>3274093</t>
  </si>
  <si>
    <t>991004394009702656</t>
  </si>
  <si>
    <t>2256177660002656</t>
  </si>
  <si>
    <t>9780391006584</t>
  </si>
  <si>
    <t>32285000106814</t>
  </si>
  <si>
    <t>893500499</t>
  </si>
  <si>
    <t>RC514 .A63</t>
  </si>
  <si>
    <t>0                      RC 0514000A  63</t>
  </si>
  <si>
    <t>Psychopathology of schizophrenia / edited by Paul H. Hoch and Joseph Zubin.</t>
  </si>
  <si>
    <t>New York : Grune &amp; Stratton, 1966.</t>
  </si>
  <si>
    <t>2002-11-01</t>
  </si>
  <si>
    <t>350730931:eng</t>
  </si>
  <si>
    <t>14491452</t>
  </si>
  <si>
    <t>991003469529702656</t>
  </si>
  <si>
    <t>2255337960002656</t>
  </si>
  <si>
    <t>32285000975473</t>
  </si>
  <si>
    <t>893246374</t>
  </si>
  <si>
    <t>RC514 .A633 1984</t>
  </si>
  <si>
    <t>0                      RC 0514000A  633         1984</t>
  </si>
  <si>
    <t>Controversies in schizophrenia : changes and constancies : proceedings on the 74th Annual Meeting of the American Psychopathological Association, New York City, March 1-3, 1984 / edited by Murray Alpert.</t>
  </si>
  <si>
    <t>American Psychopathological Association. Meeting (74th : 1984 : New York, N.Y.)</t>
  </si>
  <si>
    <t>New York : Guilford Press, c1985.</t>
  </si>
  <si>
    <t>2007-10-12</t>
  </si>
  <si>
    <t>143825047:eng</t>
  </si>
  <si>
    <t>11496832</t>
  </si>
  <si>
    <t>991000542609702656</t>
  </si>
  <si>
    <t>2260775300002656</t>
  </si>
  <si>
    <t>9780898626575</t>
  </si>
  <si>
    <t>32285000112986</t>
  </si>
  <si>
    <t>893871772</t>
  </si>
  <si>
    <t>RC514 .A7 1974</t>
  </si>
  <si>
    <t>0                      RC 0514000A  7           1974</t>
  </si>
  <si>
    <t>Interpretation of schizophrenia.</t>
  </si>
  <si>
    <t>New York : Basic Books, [1974]</t>
  </si>
  <si>
    <t>2d ed., completely rev. and expanded.</t>
  </si>
  <si>
    <t>487457:eng</t>
  </si>
  <si>
    <t>1029523</t>
  </si>
  <si>
    <t>991005243339702656</t>
  </si>
  <si>
    <t>2255304250002656</t>
  </si>
  <si>
    <t>9780465034291</t>
  </si>
  <si>
    <t>32285001020220</t>
  </si>
  <si>
    <t>893424789</t>
  </si>
  <si>
    <t>RC514 .A838 1995</t>
  </si>
  <si>
    <t>0                      RC 0514000A  838         1995</t>
  </si>
  <si>
    <t>Families coping with schizophrenia : a practitioner's guide to family groups / Jacqueline M. Atkinson and Denise A. Coia.</t>
  </si>
  <si>
    <t>Atkinson, Jacqueline M.</t>
  </si>
  <si>
    <t>Chichester ; New York : J. Wiley &amp; Sons, 1995.</t>
  </si>
  <si>
    <t>1996-08-23</t>
  </si>
  <si>
    <t>32921926:eng</t>
  </si>
  <si>
    <t>31170457</t>
  </si>
  <si>
    <t>991002398579702656</t>
  </si>
  <si>
    <t>2256213990002656</t>
  </si>
  <si>
    <t>9780471941811</t>
  </si>
  <si>
    <t>32285002291853</t>
  </si>
  <si>
    <t>893341380</t>
  </si>
  <si>
    <t>RC514 .B28 1994</t>
  </si>
  <si>
    <t>0                      RC 0514000B  28          1994</t>
  </si>
  <si>
    <t>The family face of schizophrenia : practical counsel from America's leading experts / by Patricia Backlar ; introduction by Nancy C. Andreasen.</t>
  </si>
  <si>
    <t>Backlar, Patricia, 1932-</t>
  </si>
  <si>
    <t>New York : Putnam, c1994.</t>
  </si>
  <si>
    <t>230320480:eng</t>
  </si>
  <si>
    <t>27810551</t>
  </si>
  <si>
    <t>991002157459702656</t>
  </si>
  <si>
    <t>2259167330002656</t>
  </si>
  <si>
    <t>9780874777468</t>
  </si>
  <si>
    <t>32285002017993</t>
  </si>
  <si>
    <t>893590981</t>
  </si>
  <si>
    <t>RC514 .B44</t>
  </si>
  <si>
    <t>0                      RC 0514000B  44</t>
  </si>
  <si>
    <t>The schizophrenic syndrome. Leopold Bellak and Laurence Loeb, editors.</t>
  </si>
  <si>
    <t>Bellak, Leopold, 1916-2000.</t>
  </si>
  <si>
    <t>New York, Grune &amp; Stratton [1969]</t>
  </si>
  <si>
    <t>1143769:eng</t>
  </si>
  <si>
    <t>21444</t>
  </si>
  <si>
    <t>991000039239702656</t>
  </si>
  <si>
    <t>2261503080002656</t>
  </si>
  <si>
    <t>32285003092359</t>
  </si>
  <si>
    <t>893437946</t>
  </si>
  <si>
    <t>RC514 .B47 1979</t>
  </si>
  <si>
    <t>0                      RC 0514000B  47          1979</t>
  </si>
  <si>
    <t>Schizophrenia : symptoms, causes, treatments / Kayla F. Bernheim, Richard R. J. Lewine.</t>
  </si>
  <si>
    <t>Bernheim, Kayla F.</t>
  </si>
  <si>
    <t>New York : Norton, c1979.</t>
  </si>
  <si>
    <t>1998-08-06</t>
  </si>
  <si>
    <t>425174186:eng</t>
  </si>
  <si>
    <t>4194393</t>
  </si>
  <si>
    <t>991004605659702656</t>
  </si>
  <si>
    <t>2262474410002656</t>
  </si>
  <si>
    <t>9780393011746</t>
  </si>
  <si>
    <t>32285003262184</t>
  </si>
  <si>
    <t>893618859</t>
  </si>
  <si>
    <t>RC514 .B48</t>
  </si>
  <si>
    <t>0                      RC 0514000B  48</t>
  </si>
  <si>
    <t>Beyond the double bind : communication and family systems, theories, and techniques with schizophrenics / edited by Milton M. Berger.</t>
  </si>
  <si>
    <t>905431115:eng</t>
  </si>
  <si>
    <t>4036688</t>
  </si>
  <si>
    <t>991004573239702656</t>
  </si>
  <si>
    <t>2269528380002656</t>
  </si>
  <si>
    <t>9780876301845</t>
  </si>
  <si>
    <t>32285001607349</t>
  </si>
  <si>
    <t>893895165</t>
  </si>
  <si>
    <t>RC514 .B525 1982</t>
  </si>
  <si>
    <t>0                      RC 0514000B  525         1982</t>
  </si>
  <si>
    <t>Biological aspects of schizophrenia and addiction / edited by Gwynneth Hemmings.</t>
  </si>
  <si>
    <t>Chichester [Sussex] ; New York : Wiley, c1982.</t>
  </si>
  <si>
    <t>2006-11-26</t>
  </si>
  <si>
    <t>54461201:eng</t>
  </si>
  <si>
    <t>7837085</t>
  </si>
  <si>
    <t>991005167789702656</t>
  </si>
  <si>
    <t>2256775260002656</t>
  </si>
  <si>
    <t>9780471101178</t>
  </si>
  <si>
    <t>32285001381002</t>
  </si>
  <si>
    <t>893248478</t>
  </si>
  <si>
    <t>RC514 .B7</t>
  </si>
  <si>
    <t>0                      RC 0514000B  7</t>
  </si>
  <si>
    <t>Psychotherapy with schizophrenics / edited by Eugene B. Brody and Fredrick C. Redlich. Introd. by Robert P. Knight.</t>
  </si>
  <si>
    <t>Brody, Eugene B. editor.</t>
  </si>
  <si>
    <t>New York : International Universities Press, [1952]</t>
  </si>
  <si>
    <t>Monograph series on schizophrenia ; no. 3</t>
  </si>
  <si>
    <t>1990-04-02</t>
  </si>
  <si>
    <t>354071103:eng</t>
  </si>
  <si>
    <t>1610070</t>
  </si>
  <si>
    <t>991003838319702656</t>
  </si>
  <si>
    <t>2268540980002656</t>
  </si>
  <si>
    <t>32285000100031</t>
  </si>
  <si>
    <t>893868939</t>
  </si>
  <si>
    <t>RC514 .B87</t>
  </si>
  <si>
    <t>0                      RC 0514000B  87</t>
  </si>
  <si>
    <t>Theories of schizophrenia / edited by Arnold H. Buss and Edith H. Buss.</t>
  </si>
  <si>
    <t>Buss, Arnold H., 1924- compiler.</t>
  </si>
  <si>
    <t>New York : Atherton Press, 1969.</t>
  </si>
  <si>
    <t>[An Atherton controversy]</t>
  </si>
  <si>
    <t>2005-10-02</t>
  </si>
  <si>
    <t>1992-11-30</t>
  </si>
  <si>
    <t>353952913:eng</t>
  </si>
  <si>
    <t>2708</t>
  </si>
  <si>
    <t>991005434999702656</t>
  </si>
  <si>
    <t>2262727410002656</t>
  </si>
  <si>
    <t>32285001409928</t>
  </si>
  <si>
    <t>893883888</t>
  </si>
  <si>
    <t>RC514 .C47</t>
  </si>
  <si>
    <t>0                      RC 0514000C  47</t>
  </si>
  <si>
    <t>Intensive psychotherapy of the borderline patient / Richard D. Chessick.</t>
  </si>
  <si>
    <t>Chessick, Richard D., 1931-</t>
  </si>
  <si>
    <t>New York : J. Aronson, c1977.</t>
  </si>
  <si>
    <t>1998-10-31</t>
  </si>
  <si>
    <t>534728:eng</t>
  </si>
  <si>
    <t>3003838</t>
  </si>
  <si>
    <t>991004315849702656</t>
  </si>
  <si>
    <t>2272789070002656</t>
  </si>
  <si>
    <t>9780876682548</t>
  </si>
  <si>
    <t>32285003092367</t>
  </si>
  <si>
    <t>893337561</t>
  </si>
  <si>
    <t>RC514 .C615 1976</t>
  </si>
  <si>
    <t>0                      RC 0514000C  615         1976</t>
  </si>
  <si>
    <t>The Construction of madness : emerging conceptions and interventions into the psychotic process / edited by Peter A. Magaro.</t>
  </si>
  <si>
    <t>New York : Pergamon Press, 1976.</t>
  </si>
  <si>
    <t>Pergamon general psychology series ; 59</t>
  </si>
  <si>
    <t>1992-10-29</t>
  </si>
  <si>
    <t>836668367:eng</t>
  </si>
  <si>
    <t>2605828</t>
  </si>
  <si>
    <t>991004181539702656</t>
  </si>
  <si>
    <t>2270196480002656</t>
  </si>
  <si>
    <t>9780080199047</t>
  </si>
  <si>
    <t>32285001385953</t>
  </si>
  <si>
    <t>893235149</t>
  </si>
  <si>
    <t>RC514 .C6155 1986</t>
  </si>
  <si>
    <t>0                      RC 0514000C  6155        1986</t>
  </si>
  <si>
    <t>Contemporary issues in schizophrenia / edited by Alan Kerr, Philip Snaith ; with the assistance of Stanley Thorley (indexing) Alison Campbell.</t>
  </si>
  <si>
    <t>London : Gaskell ; [Washington, D.C.] : Distributed in North America by American Psychiatric Press, c1986.</t>
  </si>
  <si>
    <t>2003-04-27</t>
  </si>
  <si>
    <t>353017188:eng</t>
  </si>
  <si>
    <t>13718786</t>
  </si>
  <si>
    <t>991001786669702656</t>
  </si>
  <si>
    <t>2257622740002656</t>
  </si>
  <si>
    <t>9780880482288</t>
  </si>
  <si>
    <t>32285001025328</t>
  </si>
  <si>
    <t>893602898</t>
  </si>
  <si>
    <t>RC514 .D53</t>
  </si>
  <si>
    <t>0                      RC 0514000D  53</t>
  </si>
  <si>
    <t>Disorders of the schizophrenic syndrome / edited by Leopold Bellak.</t>
  </si>
  <si>
    <t>New York : Basic Books, c1979.</t>
  </si>
  <si>
    <t>1989-12-08</t>
  </si>
  <si>
    <t>3857796814:eng</t>
  </si>
  <si>
    <t>5937827</t>
  </si>
  <si>
    <t>991004901089702656</t>
  </si>
  <si>
    <t>2263854980002656</t>
  </si>
  <si>
    <t>9780465016754</t>
  </si>
  <si>
    <t>32285000030436</t>
  </si>
  <si>
    <t>893706970</t>
  </si>
  <si>
    <t>RC514 .F325 1984</t>
  </si>
  <si>
    <t>0                      RC 0514000F  325         1984</t>
  </si>
  <si>
    <t>Family care of schizophrenia : a problem-solving approach to the treatment of mental illness / Ian R.H. Falloon, Jeffrey L. Boyd, Christine W. McGill.</t>
  </si>
  <si>
    <t>Falloon, Ian R. H.</t>
  </si>
  <si>
    <t>2004-10-10</t>
  </si>
  <si>
    <t>1995-06-29</t>
  </si>
  <si>
    <t>905502964:eng</t>
  </si>
  <si>
    <t>10799224</t>
  </si>
  <si>
    <t>991000436949702656</t>
  </si>
  <si>
    <t>2269785480002656</t>
  </si>
  <si>
    <t>9780898620498</t>
  </si>
  <si>
    <t>32285002052610</t>
  </si>
  <si>
    <t>893419452</t>
  </si>
  <si>
    <t>RC514 .G5318 1985</t>
  </si>
  <si>
    <t>0                      RC 0514000G  5318        1985</t>
  </si>
  <si>
    <t>Delusion : internal dimensions of political life / James M. Glass.</t>
  </si>
  <si>
    <t>Glass, James M.</t>
  </si>
  <si>
    <t>Chicago : University of Chicago Press, c1985.</t>
  </si>
  <si>
    <t>2002-10-07</t>
  </si>
  <si>
    <t>836676778:eng</t>
  </si>
  <si>
    <t>11133014</t>
  </si>
  <si>
    <t>991000494589702656</t>
  </si>
  <si>
    <t>2255342510002656</t>
  </si>
  <si>
    <t>9780226297972</t>
  </si>
  <si>
    <t>32285001607356</t>
  </si>
  <si>
    <t>893407235</t>
  </si>
  <si>
    <t>RC514 .G698</t>
  </si>
  <si>
    <t>0                      RC 0514000G  698</t>
  </si>
  <si>
    <t>The borderline patient / Roy R. Grinker and Beatrice Werble. --</t>
  </si>
  <si>
    <t>Grinker, Roy R. (Roy Richard), 1900-1993.</t>
  </si>
  <si>
    <t>2003-07-29</t>
  </si>
  <si>
    <t>102224452:eng</t>
  </si>
  <si>
    <t>3186222</t>
  </si>
  <si>
    <t>991004369369702656</t>
  </si>
  <si>
    <t>2260014960002656</t>
  </si>
  <si>
    <t>9780876683156</t>
  </si>
  <si>
    <t>32285001133759</t>
  </si>
  <si>
    <t>893325296</t>
  </si>
  <si>
    <t>RC514 .H43</t>
  </si>
  <si>
    <t>0                      RC 0514000H  43</t>
  </si>
  <si>
    <t>Aversive maternal control: a theory of schizophrenic development [by] Alfred B. Heilbrun, Jr.</t>
  </si>
  <si>
    <t>Heilbrun, Alfred B., 1924-</t>
  </si>
  <si>
    <t>New York, Wiley [1973]</t>
  </si>
  <si>
    <t>1992-02-19</t>
  </si>
  <si>
    <t>1581736:eng</t>
  </si>
  <si>
    <t>446207</t>
  </si>
  <si>
    <t>991002799409702656</t>
  </si>
  <si>
    <t>2265706430002656</t>
  </si>
  <si>
    <t>9780471368953</t>
  </si>
  <si>
    <t>32285000948025</t>
  </si>
  <si>
    <t>893597890</t>
  </si>
  <si>
    <t>RC514 .H434 2001</t>
  </si>
  <si>
    <t>0                      RC 0514000H  434         2001</t>
  </si>
  <si>
    <t>In search of madness : schizophrenia and neuroscience / R. Walter Heinrichs.</t>
  </si>
  <si>
    <t>Heinrichs, R. Walter, 1952-</t>
  </si>
  <si>
    <t>Oxford ; New York : Oxford University Press, 2001.</t>
  </si>
  <si>
    <t>2002-01-08</t>
  </si>
  <si>
    <t>355381812:eng</t>
  </si>
  <si>
    <t>44841507</t>
  </si>
  <si>
    <t>991003685999702656</t>
  </si>
  <si>
    <t>2265429190002656</t>
  </si>
  <si>
    <t>9780195122190</t>
  </si>
  <si>
    <t>32285004446430</t>
  </si>
  <si>
    <t>893904468</t>
  </si>
  <si>
    <t>RC514 .H46 1998</t>
  </si>
  <si>
    <t>0                      RC 0514000H  46          1998</t>
  </si>
  <si>
    <t>Nola : a memoir of faith, art, and madness / by Robin Hemley.</t>
  </si>
  <si>
    <t>Hemley, Robin, 1958-</t>
  </si>
  <si>
    <t>St. Paul, Minn. : Graywolf Press, c1998.</t>
  </si>
  <si>
    <t>2006-06-09</t>
  </si>
  <si>
    <t>1999-02-25</t>
  </si>
  <si>
    <t>41519933:eng</t>
  </si>
  <si>
    <t>39856183</t>
  </si>
  <si>
    <t>991002973689702656</t>
  </si>
  <si>
    <t>2258120000002656</t>
  </si>
  <si>
    <t>9781555972783</t>
  </si>
  <si>
    <t>32285003527099</t>
  </si>
  <si>
    <t>893692226</t>
  </si>
  <si>
    <t>RC514 .H495 1983</t>
  </si>
  <si>
    <t>0                      RC 0514000H  495         1983</t>
  </si>
  <si>
    <t>The politics of schizophrenia : psychiatric oppression in the United States / David Hill.</t>
  </si>
  <si>
    <t>Hill, David, 1952-</t>
  </si>
  <si>
    <t>502662985:eng</t>
  </si>
  <si>
    <t>9946401</t>
  </si>
  <si>
    <t>991000288699702656</t>
  </si>
  <si>
    <t>2261822230002656</t>
  </si>
  <si>
    <t>9780819136152</t>
  </si>
  <si>
    <t>32285001607364</t>
  </si>
  <si>
    <t>893314817</t>
  </si>
  <si>
    <t>RC514 .H53</t>
  </si>
  <si>
    <t>0                      RC 0514000H  53</t>
  </si>
  <si>
    <t>Abnormalities in parents of schizophrenics : a review of the literature and an investigation of communication defects and deviances / by Steven R. Hirsch and Julian P. Leff.</t>
  </si>
  <si>
    <t>Hirsch, Steven R.</t>
  </si>
  <si>
    <t>London ; New York : Oxford University Press, 1975.</t>
  </si>
  <si>
    <t>Maudsley monographs ; no. 22</t>
  </si>
  <si>
    <t>1996-11-05</t>
  </si>
  <si>
    <t>836626857:eng</t>
  </si>
  <si>
    <t>1598162</t>
  </si>
  <si>
    <t>991003834139702656</t>
  </si>
  <si>
    <t>2264617880002656</t>
  </si>
  <si>
    <t>9780197121443</t>
  </si>
  <si>
    <t>32285000410463</t>
  </si>
  <si>
    <t>893435505</t>
  </si>
  <si>
    <t>RC514 .I525 1976</t>
  </si>
  <si>
    <t>0                      RC 0514000I  525         1976</t>
  </si>
  <si>
    <t>Borderline personality disorders : the concept, the syndrome, the patient / edited by Peter Hartocollis. --</t>
  </si>
  <si>
    <t>International Conference on Borderline Disorders (1976 : Topeka, Kan.)</t>
  </si>
  <si>
    <t>New York : International Universities Press, c1977.</t>
  </si>
  <si>
    <t>2007-10-30</t>
  </si>
  <si>
    <t>906485599:eng</t>
  </si>
  <si>
    <t>3034677</t>
  </si>
  <si>
    <t>991005072319702656</t>
  </si>
  <si>
    <t>2261362180002656</t>
  </si>
  <si>
    <t>9780823605750</t>
  </si>
  <si>
    <t>32285001020212</t>
  </si>
  <si>
    <t>893895806</t>
  </si>
  <si>
    <t>RC514 .L23 2000</t>
  </si>
  <si>
    <t>0                      RC 0514000L  23          2000</t>
  </si>
  <si>
    <t>The outsider : a journey into my father's struggle with madness / Nathaniel Lachenmeyer.</t>
  </si>
  <si>
    <t>Lachenmeyer, Nathaniel, 1969-</t>
  </si>
  <si>
    <t>New York : Broadway Books, c2000.</t>
  </si>
  <si>
    <t>2003-03-31</t>
  </si>
  <si>
    <t>20497175:eng</t>
  </si>
  <si>
    <t>42680400</t>
  </si>
  <si>
    <t>991003244839702656</t>
  </si>
  <si>
    <t>2262001940002656</t>
  </si>
  <si>
    <t>9780767901901</t>
  </si>
  <si>
    <t>32285004264171</t>
  </si>
  <si>
    <t>893428591</t>
  </si>
  <si>
    <t>RC514 .L274 1971</t>
  </si>
  <si>
    <t>0                      RC 0514000L  274         1971</t>
  </si>
  <si>
    <t>Sanity, madness, and the family : families of schizophrenics / [by] R. D. Laing [and] A. Esterson.</t>
  </si>
  <si>
    <t>New York : Basic Books, [1971, c1964]</t>
  </si>
  <si>
    <t>2d [American] ed.</t>
  </si>
  <si>
    <t>1994-03-28</t>
  </si>
  <si>
    <t>116826526:eng</t>
  </si>
  <si>
    <t>143277</t>
  </si>
  <si>
    <t>991000817469702656</t>
  </si>
  <si>
    <t>2256553170002656</t>
  </si>
  <si>
    <t>9780465071753</t>
  </si>
  <si>
    <t>32285001409910</t>
  </si>
  <si>
    <t>893444474</t>
  </si>
  <si>
    <t>RC514 .L48</t>
  </si>
  <si>
    <t>0                      RC 0514000L  48</t>
  </si>
  <si>
    <t>The origin and treatment of schizophrenic disorders.</t>
  </si>
  <si>
    <t>Lidz, Theodore.</t>
  </si>
  <si>
    <t>New York : Basic Books, [1973]</t>
  </si>
  <si>
    <t>2002-10-21</t>
  </si>
  <si>
    <t>1598724:eng</t>
  </si>
  <si>
    <t>701029</t>
  </si>
  <si>
    <t>991003162419702656</t>
  </si>
  <si>
    <t>2255342450002656</t>
  </si>
  <si>
    <t>9780465053377</t>
  </si>
  <si>
    <t>32285000101906</t>
  </si>
  <si>
    <t>893252085</t>
  </si>
  <si>
    <t>RC514 .L5</t>
  </si>
  <si>
    <t>0                      RC 0514000L  5</t>
  </si>
  <si>
    <t>Schizophrenia and the family / by Theodore Lidz, Stephen Fleck, and Alice R. Cornelison with the collaboration of Yrjö O. Alanen [and others]</t>
  </si>
  <si>
    <t>New York : International Universities Press, [1965]</t>
  </si>
  <si>
    <t>Monograph series on schizophrenia ; no. 7</t>
  </si>
  <si>
    <t>1320505:eng</t>
  </si>
  <si>
    <t>179995</t>
  </si>
  <si>
    <t>991005265349702656</t>
  </si>
  <si>
    <t>2265011540002656</t>
  </si>
  <si>
    <t>32285000760172</t>
  </si>
  <si>
    <t>893351008</t>
  </si>
  <si>
    <t>RC514 .M36 1976</t>
  </si>
  <si>
    <t>0                      RC 0514000M  36          1976</t>
  </si>
  <si>
    <t>Psychotherapy of the borderline adult : a developmental approach / by James F. Masterson.</t>
  </si>
  <si>
    <t>Masterson, James F.</t>
  </si>
  <si>
    <t>533808:eng</t>
  </si>
  <si>
    <t>2213350</t>
  </si>
  <si>
    <t>991004051879702656</t>
  </si>
  <si>
    <t>2256112260002656</t>
  </si>
  <si>
    <t>9780876301272</t>
  </si>
  <si>
    <t>32285000843531</t>
  </si>
  <si>
    <t>893888255</t>
  </si>
  <si>
    <t>RC514 .M43</t>
  </si>
  <si>
    <t>0                      RC 0514000M  43</t>
  </si>
  <si>
    <t>Schizophrenia : the experience and its treatment / Werner M. Mendel ; with contributions by Robert E. Allen ; foreword by R. Bruce Sloane.</t>
  </si>
  <si>
    <t>Mendel, Werner M. (Werner Max), 1927-</t>
  </si>
  <si>
    <t>San Francisco : Jossey-Bass, 1976.</t>
  </si>
  <si>
    <t>279679210:eng</t>
  </si>
  <si>
    <t>3004067</t>
  </si>
  <si>
    <t>991004316259702656</t>
  </si>
  <si>
    <t>2271111720002656</t>
  </si>
  <si>
    <t>9780875892962</t>
  </si>
  <si>
    <t>32285000101914</t>
  </si>
  <si>
    <t>893532256</t>
  </si>
  <si>
    <t>RC514 .M434 1989</t>
  </si>
  <si>
    <t>0                      RC 0514000M  434         1989</t>
  </si>
  <si>
    <t>Treating schizophrenia / Werner M. Mendel.</t>
  </si>
  <si>
    <t>San Francisco : Jossey-Bass Publishers, 1989.</t>
  </si>
  <si>
    <t>19126512:eng</t>
  </si>
  <si>
    <t>19130907</t>
  </si>
  <si>
    <t>991001437389702656</t>
  </si>
  <si>
    <t>2261529430002656</t>
  </si>
  <si>
    <t>9781555421519</t>
  </si>
  <si>
    <t>32285000796937</t>
  </si>
  <si>
    <t>893797584</t>
  </si>
  <si>
    <t>RC514 .M44 1969</t>
  </si>
  <si>
    <t>0                      RC 0514000M  44          1969</t>
  </si>
  <si>
    <t>The schizophrenic reactions : a critique of the concept, hospital treatment, and current research : the proceedings / Robert Cancro, editor.</t>
  </si>
  <si>
    <t>Menninger Foundation Conference on the Schizophrenic Syndrome (1969 : Topeka, Kan.)</t>
  </si>
  <si>
    <t>New York : Brunner/Mazel, 1970.</t>
  </si>
  <si>
    <t>2006-04-11</t>
  </si>
  <si>
    <t>1189338:eng</t>
  </si>
  <si>
    <t>56547</t>
  </si>
  <si>
    <t>991000136559702656</t>
  </si>
  <si>
    <t>2261214940002656</t>
  </si>
  <si>
    <t>9780876300220</t>
  </si>
  <si>
    <t>32285000100023</t>
  </si>
  <si>
    <t>893790272</t>
  </si>
  <si>
    <t>RC514 .M5</t>
  </si>
  <si>
    <t>0                      RC 0514000M  5</t>
  </si>
  <si>
    <t>Family processes and schizophrenia / edited by Elliot G. Mishler and Nancy E. Waxler.</t>
  </si>
  <si>
    <t>Mishler, Elliot George, 1924- compiler.</t>
  </si>
  <si>
    <t>New York : Science House, [1968]</t>
  </si>
  <si>
    <t>376647643:eng</t>
  </si>
  <si>
    <t>11138</t>
  </si>
  <si>
    <t>991000002469702656</t>
  </si>
  <si>
    <t>2267735860002656</t>
  </si>
  <si>
    <t>32285000760180</t>
  </si>
  <si>
    <t>893345293</t>
  </si>
  <si>
    <t>RC514 .O18</t>
  </si>
  <si>
    <t>0                      RC 0514000O  18</t>
  </si>
  <si>
    <t>The disordered mind : what we now know about schizophrenia / Patrick O'Brien.</t>
  </si>
  <si>
    <t>O'Brien, Patrick, 1941-</t>
  </si>
  <si>
    <t>Englewood Cliffs, N.J. : Prentice-Hall, c1978.</t>
  </si>
  <si>
    <t>1990-06-01</t>
  </si>
  <si>
    <t>410666:eng</t>
  </si>
  <si>
    <t>4037024</t>
  </si>
  <si>
    <t>991004574409702656</t>
  </si>
  <si>
    <t>2270832370002656</t>
  </si>
  <si>
    <t>9780132164658</t>
  </si>
  <si>
    <t>32285005012231</t>
  </si>
  <si>
    <t>893606198</t>
  </si>
  <si>
    <t>RC514 .P3</t>
  </si>
  <si>
    <t>0                      RC 0514000P  3</t>
  </si>
  <si>
    <t>Schizophrenics in the community : an experimental study in the prevention of hospitalization / [by] Benjamin Pasamanick, Frank R. Scarpitti [and] Simon Dinitz. With the collaboration of Joseph Albini [and] Mark Lefton.</t>
  </si>
  <si>
    <t>Pasamanick, Benjamin.</t>
  </si>
  <si>
    <t>New York : Appleton-Century-Crofts, [1967]</t>
  </si>
  <si>
    <t>Sociology series</t>
  </si>
  <si>
    <t>1718282:eng</t>
  </si>
  <si>
    <t>625746</t>
  </si>
  <si>
    <t>991003071399702656</t>
  </si>
  <si>
    <t>2259154620002656</t>
  </si>
  <si>
    <t>32285000410471</t>
  </si>
  <si>
    <t>893616967</t>
  </si>
  <si>
    <t>RC514 .P45</t>
  </si>
  <si>
    <t>0                      RC 0514000P  45</t>
  </si>
  <si>
    <t>The far side of madness.</t>
  </si>
  <si>
    <t>Perry, John Weir.</t>
  </si>
  <si>
    <t>931016:eng</t>
  </si>
  <si>
    <t>815101</t>
  </si>
  <si>
    <t>991003293489702656</t>
  </si>
  <si>
    <t>2272590600002656</t>
  </si>
  <si>
    <t>9780133030327</t>
  </si>
  <si>
    <t>32285000760198</t>
  </si>
  <si>
    <t>893686409</t>
  </si>
  <si>
    <t>RC514 .P72</t>
  </si>
  <si>
    <t>0                      RC 0514000P  72</t>
  </si>
  <si>
    <t>Psychotherapy for the whole family : case histories, techniques, and concepts of family therapy of schizophrenia in the home and clinic / [by] Alfred S. Friedman [and others]</t>
  </si>
  <si>
    <t>New York : Springer Pub. Co., [1965]</t>
  </si>
  <si>
    <t>1994-04-06</t>
  </si>
  <si>
    <t>4020941349:eng</t>
  </si>
  <si>
    <t>14497619</t>
  </si>
  <si>
    <t>991001206249702656</t>
  </si>
  <si>
    <t>2258515090002656</t>
  </si>
  <si>
    <t>32285000760214</t>
  </si>
  <si>
    <t>893626604</t>
  </si>
  <si>
    <t>RC514 .R63 1976</t>
  </si>
  <si>
    <t>0                      RC 0514000R  63          1976</t>
  </si>
  <si>
    <t>The therapeutic relationship and its impact : a study of psychotherapy with schizophrenics / edited by Carl R. Rogers, with the collaboration of Eugene T. Gendlin ... [et al.].</t>
  </si>
  <si>
    <t>Rogers, Carl R. (Carl Ransom), 1902-1987.</t>
  </si>
  <si>
    <t>Westport, Conn. : Greenwood Press, 1976, c1967.</t>
  </si>
  <si>
    <t>1996-06-11</t>
  </si>
  <si>
    <t>226083101:eng</t>
  </si>
  <si>
    <t>2164983</t>
  </si>
  <si>
    <t>991004034249702656</t>
  </si>
  <si>
    <t>2265389950002656</t>
  </si>
  <si>
    <t>9780837183589</t>
  </si>
  <si>
    <t>32285000232842</t>
  </si>
  <si>
    <t>893618141</t>
  </si>
  <si>
    <t>RC514 .S313 1964</t>
  </si>
  <si>
    <t>0                      RC 0514000S  313         1964</t>
  </si>
  <si>
    <t>Schizophrenic women : studies in marital crisis / [by] Harold Sampson, Sheldon L. Messinger [and] Robert D. Towne, with the collaboration of David Ross [and] others]</t>
  </si>
  <si>
    <t>Sampson, Harold.</t>
  </si>
  <si>
    <t>New York : Atherton Press, 1964.</t>
  </si>
  <si>
    <t>1997-06-25</t>
  </si>
  <si>
    <t>1990-09-26</t>
  </si>
  <si>
    <t>4020419672:eng</t>
  </si>
  <si>
    <t>552652</t>
  </si>
  <si>
    <t>991002977089702656</t>
  </si>
  <si>
    <t>2259465350002656</t>
  </si>
  <si>
    <t>32285000320779</t>
  </si>
  <si>
    <t>893428295</t>
  </si>
  <si>
    <t>RC514 .S3163 1994</t>
  </si>
  <si>
    <t>0                      RC 0514000S  3163        1994</t>
  </si>
  <si>
    <t>The paradoxes of delusion : Wittgenstein, Schreber, and the schizophrenic mind / Louis A. Sass.</t>
  </si>
  <si>
    <t>Sass, Louis Arnorsson.</t>
  </si>
  <si>
    <t>Ithaca, N.Y. : Cornell University Press, 1994.</t>
  </si>
  <si>
    <t>2004-03-02</t>
  </si>
  <si>
    <t>1994-05-09</t>
  </si>
  <si>
    <t>24564419:eng</t>
  </si>
  <si>
    <t>28293046</t>
  </si>
  <si>
    <t>991002199799702656</t>
  </si>
  <si>
    <t>2259330960002656</t>
  </si>
  <si>
    <t>9780801422102</t>
  </si>
  <si>
    <t>32285001879757</t>
  </si>
  <si>
    <t>893335046</t>
  </si>
  <si>
    <t>RC514 .S318</t>
  </si>
  <si>
    <t>0                      RC 0514000S  318</t>
  </si>
  <si>
    <t>Soul murder : persecution in the family.</t>
  </si>
  <si>
    <t>Schatzman, Morton.</t>
  </si>
  <si>
    <t>New York : Random House, [1973]</t>
  </si>
  <si>
    <t>1991-10-21</t>
  </si>
  <si>
    <t>1522939:eng</t>
  </si>
  <si>
    <t>427451</t>
  </si>
  <si>
    <t>991002759519702656</t>
  </si>
  <si>
    <t>2264606210002656</t>
  </si>
  <si>
    <t>9780394481487</t>
  </si>
  <si>
    <t>32285000775378</t>
  </si>
  <si>
    <t>893710650</t>
  </si>
  <si>
    <t>RC514 .S33455 1987</t>
  </si>
  <si>
    <t>0                      RC 0514000S  33455       1987</t>
  </si>
  <si>
    <t>Schizophrenia and aging : schizophrenia, paranoia, and schizophreniform disorders in later life / edited by Nancy E. Miller, Gene D. Cohen.</t>
  </si>
  <si>
    <t>New York : Guilford Press, 1987.</t>
  </si>
  <si>
    <t>The Guilford psychiatry series</t>
  </si>
  <si>
    <t>836627882:eng</t>
  </si>
  <si>
    <t>15860201</t>
  </si>
  <si>
    <t>991001069999702656</t>
  </si>
  <si>
    <t>2259004320002656</t>
  </si>
  <si>
    <t>9780898622287</t>
  </si>
  <si>
    <t>32285001607372</t>
  </si>
  <si>
    <t>893589996</t>
  </si>
  <si>
    <t>RC514 .S33644 1991</t>
  </si>
  <si>
    <t>0                      RC 0514000S  33644       1991</t>
  </si>
  <si>
    <t>Schizophrenia simplified : a field guide to schizophrenia for frontline workers, families, and professionals / J. F. Thornton ... [et al.] ; the Clarke Institute of Psychiatry, Toronto, Canada.</t>
  </si>
  <si>
    <t>Toronto ; Lewiston, NY : Hogrefe &amp; Huber Publishers, 1991.</t>
  </si>
  <si>
    <t>2000-01-05</t>
  </si>
  <si>
    <t>866854468:eng</t>
  </si>
  <si>
    <t>23975272</t>
  </si>
  <si>
    <t>991001898329702656</t>
  </si>
  <si>
    <t>2270629830002656</t>
  </si>
  <si>
    <t>9780920887172</t>
  </si>
  <si>
    <t>32285003637617</t>
  </si>
  <si>
    <t>893244502</t>
  </si>
  <si>
    <t>RC514 .S59 2001</t>
  </si>
  <si>
    <t>0                      RC 0514000S  59          2001</t>
  </si>
  <si>
    <t>Social cognition and schizophrenia / edited by Patrick W. Corrigan and David L. Penn.</t>
  </si>
  <si>
    <t>2007-03-12</t>
  </si>
  <si>
    <t>2003-04-22</t>
  </si>
  <si>
    <t>349504222:eng</t>
  </si>
  <si>
    <t>45667667</t>
  </si>
  <si>
    <t>991003978089702656</t>
  </si>
  <si>
    <t>2262738280002656</t>
  </si>
  <si>
    <t>9781557987747</t>
  </si>
  <si>
    <t>32285004743349</t>
  </si>
  <si>
    <t>893442031</t>
  </si>
  <si>
    <t>RC514 .S83</t>
  </si>
  <si>
    <t>0                      RC 0514000S  83</t>
  </si>
  <si>
    <t>Schizophrenia as a human process / with introd. and commentaries by Helen Swick Perry.</t>
  </si>
  <si>
    <t>New York : W. W. Norton, [1962]</t>
  </si>
  <si>
    <t>2006-04-06</t>
  </si>
  <si>
    <t>459474:eng</t>
  </si>
  <si>
    <t>217699</t>
  </si>
  <si>
    <t>991001289449702656</t>
  </si>
  <si>
    <t>2258804070002656</t>
  </si>
  <si>
    <t>32285000760206</t>
  </si>
  <si>
    <t>893702916</t>
  </si>
  <si>
    <t>RC514 .S93</t>
  </si>
  <si>
    <t>0                      RC 0514000S  93</t>
  </si>
  <si>
    <t>Schizophrenia : the sacred symbol of psychiatry / Thomas Szasz.</t>
  </si>
  <si>
    <t>487617:eng</t>
  </si>
  <si>
    <t>2373464</t>
  </si>
  <si>
    <t>991001786709702656</t>
  </si>
  <si>
    <t>2259541380002656</t>
  </si>
  <si>
    <t>9780465072224</t>
  </si>
  <si>
    <t>32285000796929</t>
  </si>
  <si>
    <t>893690917</t>
  </si>
  <si>
    <t>RC514 .T5</t>
  </si>
  <si>
    <t>0                      RC 0514000T  5</t>
  </si>
  <si>
    <t>Annotated bibliography on childhood schizophrenia, 1955-1964 / [by] James R. Tilton, Marian K. DeMyer [and] Lois Hendrickson Loew.</t>
  </si>
  <si>
    <t>Tilton, James R.</t>
  </si>
  <si>
    <t>New York : Grune &amp; Stratton, [1966]</t>
  </si>
  <si>
    <t>3326563:eng</t>
  </si>
  <si>
    <t>2046882</t>
  </si>
  <si>
    <t>991003991179702656</t>
  </si>
  <si>
    <t>2267544190002656</t>
  </si>
  <si>
    <t>32285000773886</t>
  </si>
  <si>
    <t>893435742</t>
  </si>
  <si>
    <t>RC514 .T633 1983</t>
  </si>
  <si>
    <t>0                      RC 0514000T  633         1983</t>
  </si>
  <si>
    <t>Surviving schizophrenia : a family manual / E. Fuller Torrey.</t>
  </si>
  <si>
    <t>New York : Harper &amp; Row, c1983.</t>
  </si>
  <si>
    <t>2006-10-11</t>
  </si>
  <si>
    <t>4926685093:eng</t>
  </si>
  <si>
    <t>9045082</t>
  </si>
  <si>
    <t>991000117979702656</t>
  </si>
  <si>
    <t>2268620090002656</t>
  </si>
  <si>
    <t>9780060151126</t>
  </si>
  <si>
    <t>32285005061014</t>
  </si>
  <si>
    <t>893877811</t>
  </si>
  <si>
    <t>RC514 .W4</t>
  </si>
  <si>
    <t>0                      RC 0514000W  4</t>
  </si>
  <si>
    <t>Psychodiagnosis in schizophrenia / [by] Irving B. Weiner.</t>
  </si>
  <si>
    <t>New York : Wiley, [1966]</t>
  </si>
  <si>
    <t>1495578:eng</t>
  </si>
  <si>
    <t>346268</t>
  </si>
  <si>
    <t>991002429329702656</t>
  </si>
  <si>
    <t>2272059980002656</t>
  </si>
  <si>
    <t>32285000775386</t>
  </si>
  <si>
    <t>893347485</t>
  </si>
  <si>
    <t>RC516 .B4</t>
  </si>
  <si>
    <t>0                      RC 0516000B  4</t>
  </si>
  <si>
    <t>Manic-depressive psychosis and allied conditions / by Leopold Bellak [and others]. Foreword by Winfred Overholser.</t>
  </si>
  <si>
    <t>New York : Grune &amp; Stratton, 1952.</t>
  </si>
  <si>
    <t>2005-04-10</t>
  </si>
  <si>
    <t>1991-09-18</t>
  </si>
  <si>
    <t>1287434:eng</t>
  </si>
  <si>
    <t>167430</t>
  </si>
  <si>
    <t>991000948029702656</t>
  </si>
  <si>
    <t>2272356890002656</t>
  </si>
  <si>
    <t>32285000737873</t>
  </si>
  <si>
    <t>893340032</t>
  </si>
  <si>
    <t>RC516 .K45</t>
  </si>
  <si>
    <t>0                      RC 0516000K  45</t>
  </si>
  <si>
    <t>The classification of depressive illnesses / by R. E. Kendell.</t>
  </si>
  <si>
    <t>Kendell, R. E. (Robert Evan)</t>
  </si>
  <si>
    <t>London ; New York : Oxford, U.P., 1968.</t>
  </si>
  <si>
    <t>Maudsley monographs ; no. 18</t>
  </si>
  <si>
    <t>1516007:eng</t>
  </si>
  <si>
    <t>464521</t>
  </si>
  <si>
    <t>991002818649702656</t>
  </si>
  <si>
    <t>2260445830002656</t>
  </si>
  <si>
    <t>32285000737899</t>
  </si>
  <si>
    <t>893774056</t>
  </si>
  <si>
    <t>RC516 .K7</t>
  </si>
  <si>
    <t>0                      RC 0516000K  7</t>
  </si>
  <si>
    <t>Mental depressions and their treatment.</t>
  </si>
  <si>
    <t>Kraines, Samuel Henry, 1906-</t>
  </si>
  <si>
    <t>New York : Macmillan, 1957.</t>
  </si>
  <si>
    <t>1957</t>
  </si>
  <si>
    <t>2005-04-06</t>
  </si>
  <si>
    <t>1990-03-08</t>
  </si>
  <si>
    <t>1619768:eng</t>
  </si>
  <si>
    <t>704184</t>
  </si>
  <si>
    <t>991003166589702656</t>
  </si>
  <si>
    <t>2257178430002656</t>
  </si>
  <si>
    <t>32285000081140</t>
  </si>
  <si>
    <t>893874492</t>
  </si>
  <si>
    <t>RC516 .M36</t>
  </si>
  <si>
    <t>0                      RC 0516000M  36</t>
  </si>
  <si>
    <t>Manic-depressive illness : history of a syndrome / edited by Edward A. Wolpert.</t>
  </si>
  <si>
    <t>2005-09-20</t>
  </si>
  <si>
    <t>906899189:eng</t>
  </si>
  <si>
    <t>3016351</t>
  </si>
  <si>
    <t>991004318959702656</t>
  </si>
  <si>
    <t>2271423330002656</t>
  </si>
  <si>
    <t>9780823630950</t>
  </si>
  <si>
    <t>32285001056745</t>
  </si>
  <si>
    <t>893599693</t>
  </si>
  <si>
    <t>RC516 .M45</t>
  </si>
  <si>
    <t>0                      RC 0516000M  45</t>
  </si>
  <si>
    <t>Concepts of depression.</t>
  </si>
  <si>
    <t>Mendels, Joseph.</t>
  </si>
  <si>
    <t>376075000:eng</t>
  </si>
  <si>
    <t>91565</t>
  </si>
  <si>
    <t>991000546749702656</t>
  </si>
  <si>
    <t>2264763150002656</t>
  </si>
  <si>
    <t>9780471593508</t>
  </si>
  <si>
    <t>32285000427947</t>
  </si>
  <si>
    <t>893508885</t>
  </si>
  <si>
    <t>RC520 .C64 1975</t>
  </si>
  <si>
    <t>0                      RC 0520000C  64          1975</t>
  </si>
  <si>
    <t>Artificial paranoia : a computer simulation of paranoid processes.</t>
  </si>
  <si>
    <t>Colby, Kenneth Mark, 1920-</t>
  </si>
  <si>
    <t>New York : Pergamon Press, [1975]</t>
  </si>
  <si>
    <t>Pergamon general psychology series ; 49</t>
  </si>
  <si>
    <t>1997-04-07</t>
  </si>
  <si>
    <t>1855367:eng</t>
  </si>
  <si>
    <t>914826</t>
  </si>
  <si>
    <t>991001786749702656</t>
  </si>
  <si>
    <t>2262722040002656</t>
  </si>
  <si>
    <t>9780080181622</t>
  </si>
  <si>
    <t>32285001473932</t>
  </si>
  <si>
    <t>893621623</t>
  </si>
  <si>
    <t>RC520 .K36 2004</t>
  </si>
  <si>
    <t>0                      RC 0520000K  36          2004</t>
  </si>
  <si>
    <t>Understanding paranoia : a guide for professionals, families, and sufferers / Martin Kantor.</t>
  </si>
  <si>
    <t>Kantor, Martin.</t>
  </si>
  <si>
    <t>Westport, Conn. : Praeger, 2004.</t>
  </si>
  <si>
    <t>2004-11-03</t>
  </si>
  <si>
    <t>894209:eng</t>
  </si>
  <si>
    <t>54543366</t>
  </si>
  <si>
    <t>991004380839702656</t>
  </si>
  <si>
    <t>2259603160002656</t>
  </si>
  <si>
    <t>9780275981525</t>
  </si>
  <si>
    <t>32285005008544</t>
  </si>
  <si>
    <t>893788633</t>
  </si>
  <si>
    <t>RC520 .P78 1988</t>
  </si>
  <si>
    <t>0                      RC 0520000P  78          1988</t>
  </si>
  <si>
    <t>Psychosis and sexual identity : toward a post-analytic view of the Schreber case / edited by David B. Allison ... [et al.].</t>
  </si>
  <si>
    <t>Albany, N.Y. : State University of New York Press, c1988.</t>
  </si>
  <si>
    <t>Intersections. Philosophy and critical theory</t>
  </si>
  <si>
    <t>1998-10-16</t>
  </si>
  <si>
    <t>1990-06-04</t>
  </si>
  <si>
    <t>794177203:eng</t>
  </si>
  <si>
    <t>15654670</t>
  </si>
  <si>
    <t>991001051259702656</t>
  </si>
  <si>
    <t>2265494240002656</t>
  </si>
  <si>
    <t>9780887066177</t>
  </si>
  <si>
    <t>32285000156686</t>
  </si>
  <si>
    <t>893884998</t>
  </si>
  <si>
    <t>RC520 .R4</t>
  </si>
  <si>
    <t>0                      RC 0520000R  4</t>
  </si>
  <si>
    <t>Prognosis in paranoid psychoses.</t>
  </si>
  <si>
    <t>Retterstøl, Nils, 1924-2008.</t>
  </si>
  <si>
    <t>Oslo : Universitetsforlaget, 1970.</t>
  </si>
  <si>
    <t xml:space="preserve">no </t>
  </si>
  <si>
    <t>Norwegian monographs on medical science</t>
  </si>
  <si>
    <t>1995-11-08</t>
  </si>
  <si>
    <t>1333962:eng</t>
  </si>
  <si>
    <t>99657</t>
  </si>
  <si>
    <t>991000607899702656</t>
  </si>
  <si>
    <t>2268913290002656</t>
  </si>
  <si>
    <t>32285001473924</t>
  </si>
  <si>
    <t>893784378</t>
  </si>
  <si>
    <t>RC522 .H47 1983</t>
  </si>
  <si>
    <t>0                      RC 0522000H  47          1983</t>
  </si>
  <si>
    <t>Dementia : a practical guide to Alzheimer's disease and related illnesses / Leonard L. Heston, June A. White.</t>
  </si>
  <si>
    <t>Heston, Leonard L.</t>
  </si>
  <si>
    <t>New York : Freeman, c1983.</t>
  </si>
  <si>
    <t>902104918:eng</t>
  </si>
  <si>
    <t>9575576</t>
  </si>
  <si>
    <t>991000219399702656</t>
  </si>
  <si>
    <t>2267068570002656</t>
  </si>
  <si>
    <t>9780716715689</t>
  </si>
  <si>
    <t>32285000885144</t>
  </si>
  <si>
    <t>893796519</t>
  </si>
  <si>
    <t>RC522 .H47 1991</t>
  </si>
  <si>
    <t>0                      RC 0522000H  47          1991</t>
  </si>
  <si>
    <t>The vanishing mind : a practical guide to Alzheimer's disease and other dementias / Leonard L. Heston, June A. White.</t>
  </si>
  <si>
    <t>New York : Freeman, c1991.</t>
  </si>
  <si>
    <t>2010-11-30</t>
  </si>
  <si>
    <t>1991-06-19</t>
  </si>
  <si>
    <t>20796194:eng</t>
  </si>
  <si>
    <t>22765113</t>
  </si>
  <si>
    <t>991001812519702656</t>
  </si>
  <si>
    <t>2260367630002656</t>
  </si>
  <si>
    <t>9780716721925</t>
  </si>
  <si>
    <t>32285000657071</t>
  </si>
  <si>
    <t>893420648</t>
  </si>
  <si>
    <t>RC523 .C37 1994</t>
  </si>
  <si>
    <t>0                      RC 0523000C  37          1994</t>
  </si>
  <si>
    <t>Caring for the caregiver : a guide to living with Alzheimer's disease / sponsored by Parke-Davis.</t>
  </si>
  <si>
    <t>Morris Plains, N.J. : Parke-Davis, c1994.</t>
  </si>
  <si>
    <t>2009-08-10</t>
  </si>
  <si>
    <t>1809255890:eng</t>
  </si>
  <si>
    <t>33489978</t>
  </si>
  <si>
    <t>991002575359702656</t>
  </si>
  <si>
    <t>2265572060002656</t>
  </si>
  <si>
    <t>32285002107034</t>
  </si>
  <si>
    <t>893329262</t>
  </si>
  <si>
    <t>RC523 .C66 1987</t>
  </si>
  <si>
    <t>0                      RC 0523000C  66          1987</t>
  </si>
  <si>
    <t>Confronting Alzheimer's disease / edited by Anne C. Kalicki.</t>
  </si>
  <si>
    <t>Owings Mils, Md. : National Health Publishing, 1987.</t>
  </si>
  <si>
    <t>2008-11-30</t>
  </si>
  <si>
    <t>1990-02-15</t>
  </si>
  <si>
    <t>14010085:eng</t>
  </si>
  <si>
    <t>16794488</t>
  </si>
  <si>
    <t>991001147479702656</t>
  </si>
  <si>
    <t>2266583890002656</t>
  </si>
  <si>
    <t>9780932500915</t>
  </si>
  <si>
    <t>32285000053586</t>
  </si>
  <si>
    <t>893608594</t>
  </si>
  <si>
    <t>RC523 .F384 2008</t>
  </si>
  <si>
    <t>0                      RC 0523000F  384         2008</t>
  </si>
  <si>
    <t>The enduring self in people with Alzheimer's : getting to the heart of individualized care / by Sam Fazio.</t>
  </si>
  <si>
    <t>Fazio, Sam.</t>
  </si>
  <si>
    <t>Baltimore : Health Professions Press, c2008.</t>
  </si>
  <si>
    <t>2009-04-16</t>
  </si>
  <si>
    <t>836503571:eng</t>
  </si>
  <si>
    <t>169452515</t>
  </si>
  <si>
    <t>991005306949702656</t>
  </si>
  <si>
    <t>2258637680002656</t>
  </si>
  <si>
    <t>9781932529388</t>
  </si>
  <si>
    <t>32285005516447</t>
  </si>
  <si>
    <t>893607190</t>
  </si>
  <si>
    <t>RC523 .G45 1998</t>
  </si>
  <si>
    <t>0                      RC 0523000G  45          1998</t>
  </si>
  <si>
    <t>Genetic testing for Alzheimer disease : ethical and clinical issues / edited by Stephen G. Post &amp; Peter J. Whitehouse.</t>
  </si>
  <si>
    <t>Baltimore : Johns Hopkins University Press, c1998.</t>
  </si>
  <si>
    <t>2006-04-03</t>
  </si>
  <si>
    <t>2000-07-24</t>
  </si>
  <si>
    <t>837020593:eng</t>
  </si>
  <si>
    <t>37910801</t>
  </si>
  <si>
    <t>991003214569702656</t>
  </si>
  <si>
    <t>2269159190002656</t>
  </si>
  <si>
    <t>9780801858406</t>
  </si>
  <si>
    <t>32285003741773</t>
  </si>
  <si>
    <t>893258175</t>
  </si>
  <si>
    <t>RC523 .G476 2010</t>
  </si>
  <si>
    <t>0                      RC 0523000G  476         2010</t>
  </si>
  <si>
    <t>Keeper : one house, three generations, and a journey into Alzheimer's / Andrea Gillies.</t>
  </si>
  <si>
    <t>Gillies, Andrea.</t>
  </si>
  <si>
    <t>New York : Broadway Books, [2010], c2009.</t>
  </si>
  <si>
    <t>1st U.S. ed.</t>
  </si>
  <si>
    <t>2010-09-20</t>
  </si>
  <si>
    <t>865183905:eng</t>
  </si>
  <si>
    <t>505417104</t>
  </si>
  <si>
    <t>991000081689702656</t>
  </si>
  <si>
    <t>2258128260002656</t>
  </si>
  <si>
    <t>9780307719119</t>
  </si>
  <si>
    <t>32285005595128</t>
  </si>
  <si>
    <t>893237055</t>
  </si>
  <si>
    <t>RC523 .G83 1986</t>
  </si>
  <si>
    <t>0                      RC 0523000G  83          1986</t>
  </si>
  <si>
    <t>Oldtimers and Alzheimer's : the descriptive organization of senility / by Jaber F. Gubrium.</t>
  </si>
  <si>
    <t>Gubrium, Jaber F.</t>
  </si>
  <si>
    <t>Greenwich, Conn. : JAI Press, c1986.</t>
  </si>
  <si>
    <t>Contemporary ethnographic studies</t>
  </si>
  <si>
    <t>2007-02-24</t>
  </si>
  <si>
    <t>836656263:eng</t>
  </si>
  <si>
    <t>13793200</t>
  </si>
  <si>
    <t>991000871569702656</t>
  </si>
  <si>
    <t>2271983600002656</t>
  </si>
  <si>
    <t>9780892326976</t>
  </si>
  <si>
    <t>32285000053594</t>
  </si>
  <si>
    <t>893522086</t>
  </si>
  <si>
    <t>RC523 .M33 1991</t>
  </si>
  <si>
    <t>0                      RC 0523000M  33          1991</t>
  </si>
  <si>
    <t>The 36-hour day : a family guide to caring for persons with Alzheimer's disease, related dementing illnesses, and memory loss in later life / Nancy L. Mace, Peter V. Rabins.</t>
  </si>
  <si>
    <t>Mace, Nancy L.</t>
  </si>
  <si>
    <t>Baltimore : Johns Hopkins University Press, c1991.</t>
  </si>
  <si>
    <t>2009-03-03</t>
  </si>
  <si>
    <t>1991-10-16</t>
  </si>
  <si>
    <t>8961540570:eng</t>
  </si>
  <si>
    <t>22508083</t>
  </si>
  <si>
    <t>991001786909702656</t>
  </si>
  <si>
    <t>2272024350002656</t>
  </si>
  <si>
    <t>9780801840340</t>
  </si>
  <si>
    <t>32285000726769</t>
  </si>
  <si>
    <t>893797830</t>
  </si>
  <si>
    <t>RC523 .M45 1992</t>
  </si>
  <si>
    <t>0                      RC 0523000M  45          1992</t>
  </si>
  <si>
    <t>Memory functioning in dementia / edited by Lars Bäckman.</t>
  </si>
  <si>
    <t>Amsterdam ; New York : North-Holland, 1992.</t>
  </si>
  <si>
    <t>Advances in psychology ; 89</t>
  </si>
  <si>
    <t>1994-12-14</t>
  </si>
  <si>
    <t>1011455905:eng</t>
  </si>
  <si>
    <t>25676948</t>
  </si>
  <si>
    <t>991002019619702656</t>
  </si>
  <si>
    <t>2269134750002656</t>
  </si>
  <si>
    <t>9780444889201</t>
  </si>
  <si>
    <t>32285001977064</t>
  </si>
  <si>
    <t>893262039</t>
  </si>
  <si>
    <t>RC523 .P79 1988</t>
  </si>
  <si>
    <t>0                      RC 0523000P  79          1988</t>
  </si>
  <si>
    <t>The Psychiatric treatment of Alzheimer's disease / formulated by the Committee on Aging, Group for the Advancement of Psychiatry.</t>
  </si>
  <si>
    <t>Report ; no. 125</t>
  </si>
  <si>
    <t>2009-10-06</t>
  </si>
  <si>
    <t>1991-05-17</t>
  </si>
  <si>
    <t>9738224327:eng</t>
  </si>
  <si>
    <t>17953985</t>
  </si>
  <si>
    <t>991001285819702656</t>
  </si>
  <si>
    <t>2271825350002656</t>
  </si>
  <si>
    <t>9780876305195</t>
  </si>
  <si>
    <t>32285000574243</t>
  </si>
  <si>
    <t>893684225</t>
  </si>
  <si>
    <t>RC523.2 .S535 2001</t>
  </si>
  <si>
    <t>0                      RC 0523200S  535         2001</t>
  </si>
  <si>
    <t>The forgetting : Alzheimer's, portrait of an epidemic / David Shenk.</t>
  </si>
  <si>
    <t>Shenk, David.</t>
  </si>
  <si>
    <t>New York : Doubleday, 2001.</t>
  </si>
  <si>
    <t>2003-12-23</t>
  </si>
  <si>
    <t>2004-09-21</t>
  </si>
  <si>
    <t>2001-10-13</t>
  </si>
  <si>
    <t>2641640:eng</t>
  </si>
  <si>
    <t>45888939</t>
  </si>
  <si>
    <t>991001707649702656</t>
  </si>
  <si>
    <t>2262422860002656</t>
  </si>
  <si>
    <t>9780385498371</t>
  </si>
  <si>
    <t>32285004396015</t>
  </si>
  <si>
    <t>893715645</t>
  </si>
  <si>
    <t>RC523.2 .S535 2003</t>
  </si>
  <si>
    <t>0                      RC 0523200S  535         2003</t>
  </si>
  <si>
    <t>Shenk, David, 1966-</t>
  </si>
  <si>
    <t>New York : Anchor Books, 2003.</t>
  </si>
  <si>
    <t>1st Anchor Books ed.</t>
  </si>
  <si>
    <t>2010-11-16</t>
  </si>
  <si>
    <t>2004-10-08</t>
  </si>
  <si>
    <t>51619921</t>
  </si>
  <si>
    <t>991004396799702656</t>
  </si>
  <si>
    <t>2265323680002656</t>
  </si>
  <si>
    <t>9780385498388</t>
  </si>
  <si>
    <t>32285004955091</t>
  </si>
  <si>
    <t>893712537</t>
  </si>
  <si>
    <t>RC523.2 .V36 2003</t>
  </si>
  <si>
    <t>0                      RC 0523200V  36          2003</t>
  </si>
  <si>
    <t>The house on Beartown Road : a memoir of learning and forgetting / Elizabeth Cohen.</t>
  </si>
  <si>
    <t>Cohen, Elizabeth.</t>
  </si>
  <si>
    <t>New York : Random House, c2003.</t>
  </si>
  <si>
    <t>233186982:eng</t>
  </si>
  <si>
    <t>50851583</t>
  </si>
  <si>
    <t>991004175449702656</t>
  </si>
  <si>
    <t>2259915990002656</t>
  </si>
  <si>
    <t>9780375507274</t>
  </si>
  <si>
    <t>32285004845680</t>
  </si>
  <si>
    <t>893532071</t>
  </si>
  <si>
    <t>RC524 .E64</t>
  </si>
  <si>
    <t>0                      RC 0524000E  64</t>
  </si>
  <si>
    <t>The Epidemiology of dementia / edited by James A. Mortimer and Leonard M. Schuman.</t>
  </si>
  <si>
    <t>New York : Oxford University Press, 1981.</t>
  </si>
  <si>
    <t>Monographs in epidemiology and biostatistics</t>
  </si>
  <si>
    <t>1992-03-31</t>
  </si>
  <si>
    <t>348341894:eng</t>
  </si>
  <si>
    <t>7275946</t>
  </si>
  <si>
    <t>991005097349702656</t>
  </si>
  <si>
    <t>2259939980002656</t>
  </si>
  <si>
    <t>9780195029062</t>
  </si>
  <si>
    <t>32285001031649</t>
  </si>
  <si>
    <t>893526891</t>
  </si>
  <si>
    <t>RC524 .R44 1981</t>
  </si>
  <si>
    <t>0                      RC 0524000R  44          1981</t>
  </si>
  <si>
    <t>Brain failure : an introduction to current concepts of senility / Barry Reisberg.</t>
  </si>
  <si>
    <t>Reisberg, Barry.</t>
  </si>
  <si>
    <t>New York : Free Press, 1981.</t>
  </si>
  <si>
    <t>1994-04-24</t>
  </si>
  <si>
    <t>909738809:eng</t>
  </si>
  <si>
    <t>7590852</t>
  </si>
  <si>
    <t>991005138029702656</t>
  </si>
  <si>
    <t>2271610590002656</t>
  </si>
  <si>
    <t>9780029262603</t>
  </si>
  <si>
    <t>32285000180132</t>
  </si>
  <si>
    <t>893248429</t>
  </si>
  <si>
    <t>RC530 .E9</t>
  </si>
  <si>
    <t>0                      RC 0530000E  9</t>
  </si>
  <si>
    <t>The causes and cures of neurosis; an introduction to modern behaviour therapy based on learning theory and the principles of conditioning, by H. J. Eysenck and S. Rachman.</t>
  </si>
  <si>
    <t>Eysenck, H. J. (Hans Jurgen), 1916-1997.</t>
  </si>
  <si>
    <t>San Diego, Calif., R. R. Knapp [1965]</t>
  </si>
  <si>
    <t>2009-06-18</t>
  </si>
  <si>
    <t>57519785:eng</t>
  </si>
  <si>
    <t>421273</t>
  </si>
  <si>
    <t>991002741449702656</t>
  </si>
  <si>
    <t>2270093180002656</t>
  </si>
  <si>
    <t>32285003092409</t>
  </si>
  <si>
    <t>893341784</t>
  </si>
  <si>
    <t>RC530 .L47</t>
  </si>
  <si>
    <t>0                      RC 0530000L  47</t>
  </si>
  <si>
    <t>Freud's early psychology of the neuroses : a historical perspective / Kenneth Levin.</t>
  </si>
  <si>
    <t>Levin, Kenneth, 1944-</t>
  </si>
  <si>
    <t>Pittsburgh : University of Pittsburgh Press, [1978]</t>
  </si>
  <si>
    <t>889852520:eng</t>
  </si>
  <si>
    <t>3543598</t>
  </si>
  <si>
    <t>991004461469702656</t>
  </si>
  <si>
    <t>2264928980002656</t>
  </si>
  <si>
    <t>9780822933663</t>
  </si>
  <si>
    <t>32285001607380</t>
  </si>
  <si>
    <t>893788719</t>
  </si>
  <si>
    <t>RC530 .M3</t>
  </si>
  <si>
    <t>0                      RC 0530000M  3</t>
  </si>
  <si>
    <t>Neuroses and personality disorders / [by] Elton B. McNeil.</t>
  </si>
  <si>
    <t>McNeil, Elton B.</t>
  </si>
  <si>
    <t>Englewood Cliffs, N.J. : Prentice-Hall, [1970]</t>
  </si>
  <si>
    <t>2010-04-08</t>
  </si>
  <si>
    <t>411653:eng</t>
  </si>
  <si>
    <t>97389</t>
  </si>
  <si>
    <t>991000597249702656</t>
  </si>
  <si>
    <t>2269869070002656</t>
  </si>
  <si>
    <t>9780136115090</t>
  </si>
  <si>
    <t>32285000082437</t>
  </si>
  <si>
    <t>893496377</t>
  </si>
  <si>
    <t>RC530 .M464 1987</t>
  </si>
  <si>
    <t>0                      RC 0530000M  464         1987</t>
  </si>
  <si>
    <t>The neurotic behavior of organizations / Uri Merry, George I. Brown.</t>
  </si>
  <si>
    <t>Merry, Uri.</t>
  </si>
  <si>
    <t>New York : Gestalt Institute of Cleveland Press : Published and distributed by Gardner Press, c1987.</t>
  </si>
  <si>
    <t>1995-10-01</t>
  </si>
  <si>
    <t>4923400:eng</t>
  </si>
  <si>
    <t>12556688</t>
  </si>
  <si>
    <t>991000705189702656</t>
  </si>
  <si>
    <t>2254836600002656</t>
  </si>
  <si>
    <t>9780898761160</t>
  </si>
  <si>
    <t>32285001607398</t>
  </si>
  <si>
    <t>893595800</t>
  </si>
  <si>
    <t>RC530 .N813</t>
  </si>
  <si>
    <t>0                      RC 0530000N  813</t>
  </si>
  <si>
    <t>Principles of psychoanalysis : their application to the neuroses / foreword by Sigmund Freud. Translated by Madlyn Kahr and Sidney Kahr.</t>
  </si>
  <si>
    <t>Nunberg, Herman, 1884-1970.</t>
  </si>
  <si>
    <t>New York : International Universities Press, [1955]</t>
  </si>
  <si>
    <t>9355687:eng</t>
  </si>
  <si>
    <t>480373</t>
  </si>
  <si>
    <t>991002836829702656</t>
  </si>
  <si>
    <t>2268854830002656</t>
  </si>
  <si>
    <t>32285000093343</t>
  </si>
  <si>
    <t>893721665</t>
  </si>
  <si>
    <t>RC530 .S4 1982</t>
  </si>
  <si>
    <t>0                      RC 0530000S  4           1982</t>
  </si>
  <si>
    <t>The tyranny of magical thinking : the child's world of belief and adult neurosis / George Serban.</t>
  </si>
  <si>
    <t>Serban, George, 1926-</t>
  </si>
  <si>
    <t>New York : E.P. Dutton, c1982.</t>
  </si>
  <si>
    <t>479216923:eng</t>
  </si>
  <si>
    <t>8281653</t>
  </si>
  <si>
    <t>991005225549702656</t>
  </si>
  <si>
    <t>2266740540002656</t>
  </si>
  <si>
    <t>32285001443315</t>
  </si>
  <si>
    <t>893883550</t>
  </si>
  <si>
    <t>RC531 .A566 1995</t>
  </si>
  <si>
    <t>0                      RC 0531000A  566         1995</t>
  </si>
  <si>
    <t>Anxiety and depression in adults and children / Kenneth D. Craig, Keith S. Dobson, editors.</t>
  </si>
  <si>
    <t>Thousand Oaks, Calif. : Sage Publications, c1995.</t>
  </si>
  <si>
    <t>Banff international behavioral science series</t>
  </si>
  <si>
    <t>2008-01-14</t>
  </si>
  <si>
    <t>1995-04-05</t>
  </si>
  <si>
    <t>353260340:eng</t>
  </si>
  <si>
    <t>31434046</t>
  </si>
  <si>
    <t>991002414499702656</t>
  </si>
  <si>
    <t>2263678650002656</t>
  </si>
  <si>
    <t>9780803970205</t>
  </si>
  <si>
    <t>32285002016474</t>
  </si>
  <si>
    <t>893498087</t>
  </si>
  <si>
    <t>RC531 .A576 1987</t>
  </si>
  <si>
    <t>0                      RC 0531000A  576         1987</t>
  </si>
  <si>
    <t>Anxiety and stress disorders : cognitive-behavioral assessment and treatment / edited by Larry Michelson, L. Michael Ascher.</t>
  </si>
  <si>
    <t>2007-05-25</t>
  </si>
  <si>
    <t>1992-02-20</t>
  </si>
  <si>
    <t>353262738:eng</t>
  </si>
  <si>
    <t>14933042</t>
  </si>
  <si>
    <t>991000969929702656</t>
  </si>
  <si>
    <t>2260896580002656</t>
  </si>
  <si>
    <t>9780898626933</t>
  </si>
  <si>
    <t>32285000972009</t>
  </si>
  <si>
    <t>893237773</t>
  </si>
  <si>
    <t>RC531 .A6125 1994</t>
  </si>
  <si>
    <t>0                      RC 0531000A  6125        1994</t>
  </si>
  <si>
    <t>Anxiety disorders in African Americans / Steven Friedman, editor.</t>
  </si>
  <si>
    <t>2000-02-24</t>
  </si>
  <si>
    <t>1996-06-18</t>
  </si>
  <si>
    <t>968112:eng</t>
  </si>
  <si>
    <t>30593987</t>
  </si>
  <si>
    <t>991002349169702656</t>
  </si>
  <si>
    <t>2260726190002656</t>
  </si>
  <si>
    <t>9780826185402</t>
  </si>
  <si>
    <t>32285002194305</t>
  </si>
  <si>
    <t>893697670</t>
  </si>
  <si>
    <t>RC531 .B473 1993</t>
  </si>
  <si>
    <t>0                      RC 0531000B  473         1993</t>
  </si>
  <si>
    <t>Biology of anxiety disorders / edited by Rudolf Hoehn-Saric, Daniel R. McLeod.</t>
  </si>
  <si>
    <t>Washington, DC : American Psychiatric Press, c1993.</t>
  </si>
  <si>
    <t>Progress in psychiatry ; no. 36</t>
  </si>
  <si>
    <t>1996-06-13</t>
  </si>
  <si>
    <t>3857366913:eng</t>
  </si>
  <si>
    <t>25874391</t>
  </si>
  <si>
    <t>991002032899702656</t>
  </si>
  <si>
    <t>2267622130002656</t>
  </si>
  <si>
    <t>9780880484763</t>
  </si>
  <si>
    <t>32285002192622</t>
  </si>
  <si>
    <t>893621838</t>
  </si>
  <si>
    <t>RC531 .G65</t>
  </si>
  <si>
    <t>0                      RC 0531000G  65</t>
  </si>
  <si>
    <t>The experience of anxiety : a casebook / [by] Michael J. Goldstein [and] James O. Palmer.</t>
  </si>
  <si>
    <t>Goldstein, Michael J. (Michael Joseph), 1930-</t>
  </si>
  <si>
    <t>New York : Oxford University Press, 1963.</t>
  </si>
  <si>
    <t>2005-03-15</t>
  </si>
  <si>
    <t>414850:eng</t>
  </si>
  <si>
    <t>541877</t>
  </si>
  <si>
    <t>991002955529702656</t>
  </si>
  <si>
    <t>2268244750002656</t>
  </si>
  <si>
    <t>32285000081157</t>
  </si>
  <si>
    <t>893899452</t>
  </si>
  <si>
    <t>RC531 .K44</t>
  </si>
  <si>
    <t>0                      RC 0531000K  44</t>
  </si>
  <si>
    <t>Anxiety and emotions : physiological basis and treatment / by Desmond Kelly ; foreword by W. Horsley Gantt.</t>
  </si>
  <si>
    <t>Kelly, Desmond.</t>
  </si>
  <si>
    <t>American lecture series ; no. 1026</t>
  </si>
  <si>
    <t>374706185:eng</t>
  </si>
  <si>
    <t>4638129</t>
  </si>
  <si>
    <t>991004693779702656</t>
  </si>
  <si>
    <t>2256108950002656</t>
  </si>
  <si>
    <t>9780398038939</t>
  </si>
  <si>
    <t>32285000072453</t>
  </si>
  <si>
    <t>893688032</t>
  </si>
  <si>
    <t>RC531 .P192 1989</t>
  </si>
  <si>
    <t>0                      RC 0531000P  192         1989</t>
  </si>
  <si>
    <t>Panic disorder : theory, research, and therapy / edited by Roger Baker.</t>
  </si>
  <si>
    <t>Chichester ; New York : Wiley, c1989.</t>
  </si>
  <si>
    <t>The Wiley series in clinical psychology</t>
  </si>
  <si>
    <t>2001-09-12</t>
  </si>
  <si>
    <t>836709356:eng</t>
  </si>
  <si>
    <t>21765395</t>
  </si>
  <si>
    <t>991001721819702656</t>
  </si>
  <si>
    <t>2263685710002656</t>
  </si>
  <si>
    <t>9780471923190</t>
  </si>
  <si>
    <t>32285001126712</t>
  </si>
  <si>
    <t>893903544</t>
  </si>
  <si>
    <t>RC531 .W64 2005</t>
  </si>
  <si>
    <t>0                      RC 0531000W  64          2005</t>
  </si>
  <si>
    <t>Understanding and treating anxiety disorders : an integrative approach to healing the wounded self / Barry E. Wolfe.</t>
  </si>
  <si>
    <t>Wolfe, Barry.</t>
  </si>
  <si>
    <t>2009-11-18</t>
  </si>
  <si>
    <t>2006-03-06</t>
  </si>
  <si>
    <t>198105145:eng</t>
  </si>
  <si>
    <t>56834445</t>
  </si>
  <si>
    <t>991004759449702656</t>
  </si>
  <si>
    <t>2269531160002656</t>
  </si>
  <si>
    <t>9781591471967</t>
  </si>
  <si>
    <t>32285005167969</t>
  </si>
  <si>
    <t>893594065</t>
  </si>
  <si>
    <t>RC532 .D39 1991</t>
  </si>
  <si>
    <t>0                      RC 0532000D  39          1991</t>
  </si>
  <si>
    <t>Freud, Dora, and Vienna 1900 / Hannah S. Decker.</t>
  </si>
  <si>
    <t>Decker, Hannah S.</t>
  </si>
  <si>
    <t>New York : Free Press ; Toronto : Collier Macmillan Canada ; New York : Maxwell Macmillan International, c1991.</t>
  </si>
  <si>
    <t>1996-04-25</t>
  </si>
  <si>
    <t>14966197:eng</t>
  </si>
  <si>
    <t>21970602</t>
  </si>
  <si>
    <t>991001735179702656</t>
  </si>
  <si>
    <t>2265290360002656</t>
  </si>
  <si>
    <t>9780029078303</t>
  </si>
  <si>
    <t>32285000869932</t>
  </si>
  <si>
    <t>893334529</t>
  </si>
  <si>
    <t>RC533 .B24 1991</t>
  </si>
  <si>
    <t>0                      RC 0533000B  24          1991</t>
  </si>
  <si>
    <t>Getting control : overcoming your obsessions and compulsions / Lee Baer ; with a foreword by Judith L. Rapoport.</t>
  </si>
  <si>
    <t>Baer, Lee.</t>
  </si>
  <si>
    <t>Boston : Little, Brown, c1991.</t>
  </si>
  <si>
    <t>2006-03-21</t>
  </si>
  <si>
    <t>918885170:eng</t>
  </si>
  <si>
    <t>22860599</t>
  </si>
  <si>
    <t>991001818169702656</t>
  </si>
  <si>
    <t>2267353130002656</t>
  </si>
  <si>
    <t>9780316075169</t>
  </si>
  <si>
    <t>32285001195113</t>
  </si>
  <si>
    <t>893621649</t>
  </si>
  <si>
    <t>RC533 .H37 1990</t>
  </si>
  <si>
    <t>0                      RC 0533000H  37          1990</t>
  </si>
  <si>
    <t>Healing life's hidden addictions : overcoming the closet compulsions that waste your time and control your life / Archibald D. Hart.</t>
  </si>
  <si>
    <t>Hart, Archibald D.</t>
  </si>
  <si>
    <t>Ann Arbor, Mich. : Vine Books/Servant Publications, c1990.</t>
  </si>
  <si>
    <t>2004-04-06</t>
  </si>
  <si>
    <t>1991-03-14</t>
  </si>
  <si>
    <t>1810015228:eng</t>
  </si>
  <si>
    <t>21762266</t>
  </si>
  <si>
    <t>991001720049702656</t>
  </si>
  <si>
    <t>2256865120002656</t>
  </si>
  <si>
    <t>9780892836680</t>
  </si>
  <si>
    <t>32285000511658</t>
  </si>
  <si>
    <t>893866419</t>
  </si>
  <si>
    <t>RC533 .K43 1996</t>
  </si>
  <si>
    <t>0                      RC 0533000K  43          1996</t>
  </si>
  <si>
    <t>Within the wall of denial : conquering addictive behaviors / Robert J. Kearney.</t>
  </si>
  <si>
    <t>Kearney, Robert J.</t>
  </si>
  <si>
    <t>New York : W. W. Norton &amp; Co., c1996.</t>
  </si>
  <si>
    <t>1996-11-23</t>
  </si>
  <si>
    <t>836970211:eng</t>
  </si>
  <si>
    <t>32892312</t>
  </si>
  <si>
    <t>991002530259702656</t>
  </si>
  <si>
    <t>2255228810002656</t>
  </si>
  <si>
    <t>9780393702101</t>
  </si>
  <si>
    <t>32285002395787</t>
  </si>
  <si>
    <t>893440248</t>
  </si>
  <si>
    <t>RC533 .K58 2002</t>
  </si>
  <si>
    <t>0                      RC 0533000K  58          2002</t>
  </si>
  <si>
    <t>Recovering from sexual abuse, addictions, and compulsive behaviors : "numb" survivors / Sandra Knauer.</t>
  </si>
  <si>
    <t>Knauer, Sandy.</t>
  </si>
  <si>
    <t>New York : Haworth Social Work Practice Press, 2002.</t>
  </si>
  <si>
    <t>2003-03-11</t>
  </si>
  <si>
    <t>371924278:eng</t>
  </si>
  <si>
    <t>45715884</t>
  </si>
  <si>
    <t>991004000669702656</t>
  </si>
  <si>
    <t>2263219050002656</t>
  </si>
  <si>
    <t>9780789014573</t>
  </si>
  <si>
    <t>32285004683636</t>
  </si>
  <si>
    <t>893900665</t>
  </si>
  <si>
    <t>RC533 .M55 1987</t>
  </si>
  <si>
    <t>0                      RC 0533000M  55          1987</t>
  </si>
  <si>
    <t>Craving for ecstasy : the consciousness and chemistry of escape / by Harvey B. Milkman, Stanley G. Sunderwirth.</t>
  </si>
  <si>
    <t>Milkman, Harvey B.</t>
  </si>
  <si>
    <t>Lexington, Mass. : Lexington Books, 1987.</t>
  </si>
  <si>
    <t>2002-12-10</t>
  </si>
  <si>
    <t>232023898:eng</t>
  </si>
  <si>
    <t>14411661</t>
  </si>
  <si>
    <t>991003933139702656</t>
  </si>
  <si>
    <t>2261932470002656</t>
  </si>
  <si>
    <t>9780669123371</t>
  </si>
  <si>
    <t>32285004669940</t>
  </si>
  <si>
    <t>893794275</t>
  </si>
  <si>
    <t>RC533 .O27 1985</t>
  </si>
  <si>
    <t>0                      RC 0533000O  27          1985</t>
  </si>
  <si>
    <t>Obsessive-compulsive disorder : psychological and pharmacological treatment / edited by Matig Mavissakalian, Samuel M. Turner, and Larry Michelson.</t>
  </si>
  <si>
    <t>836694335:eng</t>
  </si>
  <si>
    <t>11532086</t>
  </si>
  <si>
    <t>991000549349702656</t>
  </si>
  <si>
    <t>2261320090002656</t>
  </si>
  <si>
    <t>9780306418501</t>
  </si>
  <si>
    <t>32285000191568</t>
  </si>
  <si>
    <t>893589555</t>
  </si>
  <si>
    <t>RC533 .P33 1992</t>
  </si>
  <si>
    <t>0                      RC 0533000P  33          1992</t>
  </si>
  <si>
    <t>The truth about addiction and recovery : the life process program for outgrowing destructive habits / Stanton Peele and Archie Brodsky, with Mary Arnold.</t>
  </si>
  <si>
    <t>Peele, Stanton.</t>
  </si>
  <si>
    <t>New York : Simon &amp; Schuster, 1992.</t>
  </si>
  <si>
    <t>1st Fireside ed.</t>
  </si>
  <si>
    <t>24263604:eng</t>
  </si>
  <si>
    <t>26500641</t>
  </si>
  <si>
    <t>991003933859702656</t>
  </si>
  <si>
    <t>2260913740002656</t>
  </si>
  <si>
    <t>9780671669010</t>
  </si>
  <si>
    <t>32285004663687</t>
  </si>
  <si>
    <t>893337145</t>
  </si>
  <si>
    <t>RC533 .P78 2007</t>
  </si>
  <si>
    <t>0                      RC 0533000P  78          2007</t>
  </si>
  <si>
    <t>Psychological treatment of obsessive-compulsive disorder : fundamentals and beyond / edited by Martin M. Antony, Christine Purdon, Laura J. Summerfeldt.</t>
  </si>
  <si>
    <t>Washington, DC : American Psychological Association, c2007.</t>
  </si>
  <si>
    <t>2009-11-01</t>
  </si>
  <si>
    <t>2008-04-02</t>
  </si>
  <si>
    <t>796532587:eng</t>
  </si>
  <si>
    <t>70829708</t>
  </si>
  <si>
    <t>991005199939702656</t>
  </si>
  <si>
    <t>2261968420002656</t>
  </si>
  <si>
    <t>9781591474845</t>
  </si>
  <si>
    <t>32285005400535</t>
  </si>
  <si>
    <t>893789604</t>
  </si>
  <si>
    <t>RC533 .R36 1989</t>
  </si>
  <si>
    <t>0                      RC 0533000R  36          1989</t>
  </si>
  <si>
    <t>The boy who couldn't stop washing : the experience &amp; treatment of obsessive-compulsive disorder / Judith L. Rapoport.</t>
  </si>
  <si>
    <t>Rapoport, Judith L., 1933-</t>
  </si>
  <si>
    <t>546956:eng</t>
  </si>
  <si>
    <t>17916586</t>
  </si>
  <si>
    <t>991001279999702656</t>
  </si>
  <si>
    <t>2270407960002656</t>
  </si>
  <si>
    <t>9780525247081</t>
  </si>
  <si>
    <t>32285000088723</t>
  </si>
  <si>
    <t>893684216</t>
  </si>
  <si>
    <t>RC533 .T47 2001</t>
  </si>
  <si>
    <t>0                      RC 0533000T  47          2001</t>
  </si>
  <si>
    <t>The real 13th step : discovering confidence, self-reliance, and independence beyond the twelve-step programs / by Tina B. Tessina.</t>
  </si>
  <si>
    <t>Tessina, Tina B.</t>
  </si>
  <si>
    <t>Franklin Lakes, NJ : New Page Books, 2001.</t>
  </si>
  <si>
    <t>2002-11-19</t>
  </si>
  <si>
    <t>4079220801:eng</t>
  </si>
  <si>
    <t>45500023</t>
  </si>
  <si>
    <t>991003930759702656</t>
  </si>
  <si>
    <t>2272668060002656</t>
  </si>
  <si>
    <t>9781564145482</t>
  </si>
  <si>
    <t>32285004664594</t>
  </si>
  <si>
    <t>893253030</t>
  </si>
  <si>
    <t>RC533 .W37 1989</t>
  </si>
  <si>
    <t>0                      RC 0533000W  37          1989</t>
  </si>
  <si>
    <t>Willpower's not enough : understanding and recovering from addictions of every kind / Arnold M. Washton, Donna Boundy.</t>
  </si>
  <si>
    <t>Washton, Arnold M.</t>
  </si>
  <si>
    <t>New York : Harper &amp; Row, c1989.</t>
  </si>
  <si>
    <t>21365792:eng</t>
  </si>
  <si>
    <t>19814969</t>
  </si>
  <si>
    <t>991003932939702656</t>
  </si>
  <si>
    <t>2267951740002656</t>
  </si>
  <si>
    <t>9780060159962</t>
  </si>
  <si>
    <t>32285004662333</t>
  </si>
  <si>
    <t>893711959</t>
  </si>
  <si>
    <t>RC534 .H34</t>
  </si>
  <si>
    <t>0                      RC 0534000H  34</t>
  </si>
  <si>
    <t>Hallucinations : behavior, experience, and theory / edited by R. K. Siegel and L. J. West.</t>
  </si>
  <si>
    <t>A Wiley biomedical publication</t>
  </si>
  <si>
    <t>903478352:eng</t>
  </si>
  <si>
    <t>1701552</t>
  </si>
  <si>
    <t>991003874049702656</t>
  </si>
  <si>
    <t>2269929370002656</t>
  </si>
  <si>
    <t>9780471790969</t>
  </si>
  <si>
    <t>32285000760248</t>
  </si>
  <si>
    <t>893353086</t>
  </si>
  <si>
    <t>RC535 .A36 1982</t>
  </si>
  <si>
    <t>0                      RC 0535000A  36          1982</t>
  </si>
  <si>
    <t>Agoraphobia : multiple perspectives on theory and treatment / edited by Dianne L. Chambless, Alan J. Goldstein.</t>
  </si>
  <si>
    <t>908582352:eng</t>
  </si>
  <si>
    <t>8410421</t>
  </si>
  <si>
    <t>991005240249702656</t>
  </si>
  <si>
    <t>2259188780002656</t>
  </si>
  <si>
    <t>9780471079477</t>
  </si>
  <si>
    <t>32285000113547</t>
  </si>
  <si>
    <t>893789667</t>
  </si>
  <si>
    <t>RC535 .F75 1985</t>
  </si>
  <si>
    <t>0                      RC 0535000F  75          1985</t>
  </si>
  <si>
    <t>Who's afraid? : the phobic's handbook / by Barbara Fried ; illustrated by Robert Seaver.</t>
  </si>
  <si>
    <t>Fried, Barbara, 1924-</t>
  </si>
  <si>
    <t>New York : Gardner Press, c1985.</t>
  </si>
  <si>
    <t>2004-12-04</t>
  </si>
  <si>
    <t>1257301:eng</t>
  </si>
  <si>
    <t>11574335</t>
  </si>
  <si>
    <t>991000559159702656</t>
  </si>
  <si>
    <t>2264939490002656</t>
  </si>
  <si>
    <t>9780898761047</t>
  </si>
  <si>
    <t>32285000798370</t>
  </si>
  <si>
    <t>893339660</t>
  </si>
  <si>
    <t>RC535 .M373 1987</t>
  </si>
  <si>
    <t>0                      RC 0535000M  373         1987</t>
  </si>
  <si>
    <t>Fears, phobias, and rituals : panic, anxiety, and their disorders / Isaac M. Marks.</t>
  </si>
  <si>
    <t>Marks, Isaac Meyer.</t>
  </si>
  <si>
    <t>New York : Oxford University Press, 1987.</t>
  </si>
  <si>
    <t>2005-09-22</t>
  </si>
  <si>
    <t>793989586:eng</t>
  </si>
  <si>
    <t>14376862</t>
  </si>
  <si>
    <t>991000937729702656</t>
  </si>
  <si>
    <t>2264166150002656</t>
  </si>
  <si>
    <t>9780195039276</t>
  </si>
  <si>
    <t>32285000058635</t>
  </si>
  <si>
    <t>893903213</t>
  </si>
  <si>
    <t>RC535 .M396 1994</t>
  </si>
  <si>
    <t>0                      RC 0535000M  396         1994</t>
  </si>
  <si>
    <t>Panic disorder : a critical analysis / Richard J. McNally.</t>
  </si>
  <si>
    <t>McNally, Richard J.</t>
  </si>
  <si>
    <t>New York : Guilford Press, c1994</t>
  </si>
  <si>
    <t>2005-02-16</t>
  </si>
  <si>
    <t>891277783:eng</t>
  </si>
  <si>
    <t>30701895</t>
  </si>
  <si>
    <t>991002360999702656</t>
  </si>
  <si>
    <t>2263919930002656</t>
  </si>
  <si>
    <t>9780898622638</t>
  </si>
  <si>
    <t>32285002317005</t>
  </si>
  <si>
    <t>893534975</t>
  </si>
  <si>
    <t>RC535 .P353 1988</t>
  </si>
  <si>
    <t>0                      RC 0535000P  353         1988</t>
  </si>
  <si>
    <t>Panic and phobias 2 : treatments and variables affecting course and outcome / edited by Iver Hand and Hans-Ulrich Wittchen ; foreword by G.L. Klerman ; epilogue by I.M. Marks.</t>
  </si>
  <si>
    <t>Berlin ; New York : Springer-Verlag, c1988.</t>
  </si>
  <si>
    <t xml:space="preserve">gw </t>
  </si>
  <si>
    <t>1991-02-01</t>
  </si>
  <si>
    <t>16830389:eng</t>
  </si>
  <si>
    <t>17880394</t>
  </si>
  <si>
    <t>991001282169702656</t>
  </si>
  <si>
    <t>2269301830002656</t>
  </si>
  <si>
    <t>9780387190884</t>
  </si>
  <si>
    <t>32285000462977</t>
  </si>
  <si>
    <t>893785001</t>
  </si>
  <si>
    <t>RC535 .R27</t>
  </si>
  <si>
    <t>0                      RC 0535000R  27</t>
  </si>
  <si>
    <t>Phobias : their nature and control / by S. Rachman.</t>
  </si>
  <si>
    <t>American lectures series publication no. 721. A monograph in American lectures in living chemistry</t>
  </si>
  <si>
    <t>2007-02-11</t>
  </si>
  <si>
    <t>8946943:eng</t>
  </si>
  <si>
    <t>243807</t>
  </si>
  <si>
    <t>991001916659702656</t>
  </si>
  <si>
    <t>2269056190002656</t>
  </si>
  <si>
    <t>32285000081173</t>
  </si>
  <si>
    <t>893503809</t>
  </si>
  <si>
    <t>RC535 .S97</t>
  </si>
  <si>
    <t>0                      RC 0535000S  97</t>
  </si>
  <si>
    <t>Phobia free : how to fight your fears / E. Ann Sutherland and Zalman Amit, with Andrew Weiner.</t>
  </si>
  <si>
    <t>Sutherland, E. Ann.</t>
  </si>
  <si>
    <t>New York : Stein and Day Publishers, 1977.</t>
  </si>
  <si>
    <t>472825:eng</t>
  </si>
  <si>
    <t>3168998</t>
  </si>
  <si>
    <t>991004364729702656</t>
  </si>
  <si>
    <t>2263106340002656</t>
  </si>
  <si>
    <t>9780812821581</t>
  </si>
  <si>
    <t>32285001025310</t>
  </si>
  <si>
    <t>893331509</t>
  </si>
  <si>
    <t>RC535 .T47 1983</t>
  </si>
  <si>
    <t>0                      RC 0535000T  47          1983</t>
  </si>
  <si>
    <t>The agoraphobic syndrome : behavioural approaches to evaluation and treatment / Geoffrey L. Thorpe and Laurence E. Burns.</t>
  </si>
  <si>
    <t>Thorpe, Geoffrey L.</t>
  </si>
  <si>
    <t>Chichester (Sussex] ; New York : Wiley, c1983, 1984 printing.</t>
  </si>
  <si>
    <t>2007-02-15</t>
  </si>
  <si>
    <t>3813282:eng</t>
  </si>
  <si>
    <t>8475719</t>
  </si>
  <si>
    <t>991005248679702656</t>
  </si>
  <si>
    <t>2259615440002656</t>
  </si>
  <si>
    <t>9780471104957</t>
  </si>
  <si>
    <t>32285000798362</t>
  </si>
  <si>
    <t>893332661</t>
  </si>
  <si>
    <t>RC537 .A316 1988</t>
  </si>
  <si>
    <t>0                      RC 0537000A  316         1988</t>
  </si>
  <si>
    <t>Affective disorders and the family : assessment and treatment / edited by John F. Clarkin, Gretchen L. Haas, Ira D. Glick ; foreword by Gerald L. Klerman.</t>
  </si>
  <si>
    <t>2004-02-21</t>
  </si>
  <si>
    <t>906341503:eng</t>
  </si>
  <si>
    <t>16830727</t>
  </si>
  <si>
    <t>991001152609702656</t>
  </si>
  <si>
    <t>2254906040002656</t>
  </si>
  <si>
    <t>9780898621013</t>
  </si>
  <si>
    <t>32285000659655</t>
  </si>
  <si>
    <t>893866002</t>
  </si>
  <si>
    <t>RC537 .B3385 1998</t>
  </si>
  <si>
    <t>0                      RC 0537000B  3385        1998</t>
  </si>
  <si>
    <t>Mood genes : hunting for origins of mania and depression / Samuel H. Barondes.</t>
  </si>
  <si>
    <t>New York : W.H. Freeman, c1998.</t>
  </si>
  <si>
    <t>46665152:eng</t>
  </si>
  <si>
    <t>38324268</t>
  </si>
  <si>
    <t>991002905119702656</t>
  </si>
  <si>
    <t>2265587980002656</t>
  </si>
  <si>
    <t>9780716729433</t>
  </si>
  <si>
    <t>32285003510210</t>
  </si>
  <si>
    <t>893511339</t>
  </si>
  <si>
    <t>RC537 .B499 1986</t>
  </si>
  <si>
    <t>0                      RC 0537000B  499         1986</t>
  </si>
  <si>
    <t>The Biology of depression : proceedings of a meeting of the Biological Group of the Royal College of Psychiatrists, held at Manchester University, 1985 / edited by J.F.W. Deakin.</t>
  </si>
  <si>
    <t>24039387:eng</t>
  </si>
  <si>
    <t>22907943</t>
  </si>
  <si>
    <t>991001823509702656</t>
  </si>
  <si>
    <t>2264201710002656</t>
  </si>
  <si>
    <t>9780902241169</t>
  </si>
  <si>
    <t>32285001005452</t>
  </si>
  <si>
    <t>893433166</t>
  </si>
  <si>
    <t>RC537 .B525 2004</t>
  </si>
  <si>
    <t>0                      RC 0537000B  525         2004</t>
  </si>
  <si>
    <t>Experiences of depression : theoretical, clinical, and research perspectives / Sidney J. Blatt.</t>
  </si>
  <si>
    <t>Blatt, Sidney J. (Sidney Jules), 1928-2014.</t>
  </si>
  <si>
    <t>2009-11-24</t>
  </si>
  <si>
    <t>2004-08-26</t>
  </si>
  <si>
    <t>840428395:eng</t>
  </si>
  <si>
    <t>52773725</t>
  </si>
  <si>
    <t>991004352789702656</t>
  </si>
  <si>
    <t>2259251990002656</t>
  </si>
  <si>
    <t>9781591470953</t>
  </si>
  <si>
    <t>32285005552350</t>
  </si>
  <si>
    <t>893325265</t>
  </si>
  <si>
    <t>RC537 .C62 1988</t>
  </si>
  <si>
    <t>0                      RC 0537000C  62          1988</t>
  </si>
  <si>
    <t>Cognitive processes in depression / edited by Lauren B. Alloy.</t>
  </si>
  <si>
    <t>1991-05-13</t>
  </si>
  <si>
    <t>54938788:eng</t>
  </si>
  <si>
    <t>15520342</t>
  </si>
  <si>
    <t>991001032779702656</t>
  </si>
  <si>
    <t>2270919610002656</t>
  </si>
  <si>
    <t>9780898627060</t>
  </si>
  <si>
    <t>32285000572338</t>
  </si>
  <si>
    <t>893596129</t>
  </si>
  <si>
    <t>RC537 .D3 1982</t>
  </si>
  <si>
    <t>0                      RC 0537000D  3           1982</t>
  </si>
  <si>
    <t>The origins of depression, current concepts and approaches : report of the Dahlem Workshop on the Origins of Depression: Current Concepts and Approaches : Berlin 1982, Oct. 31-Nov. 5 / J. Angst, editor.</t>
  </si>
  <si>
    <t>Dahlem Workshop on the Origins of Depression: Current Concepts and Approaches (1982 : Berlin, Germany)</t>
  </si>
  <si>
    <t>Berlin ; New York : Springer-Verlag, 1983.</t>
  </si>
  <si>
    <t>Life sciences research report ; 26</t>
  </si>
  <si>
    <t>437213979:eng</t>
  </si>
  <si>
    <t>11496312</t>
  </si>
  <si>
    <t>991000325499702656</t>
  </si>
  <si>
    <t>2263781650002656</t>
  </si>
  <si>
    <t>9780387124513</t>
  </si>
  <si>
    <t>32285000084045</t>
  </si>
  <si>
    <t>893683320</t>
  </si>
  <si>
    <t>RC537 .D4276</t>
  </si>
  <si>
    <t>0                      RC 0537000D  4276</t>
  </si>
  <si>
    <t>Depression--behavioral, biochemical, diagnostic, and treatment concepts / edited by Donald M. Gallant and George M. Simpson.</t>
  </si>
  <si>
    <t>New York : SP books division of Spectrum Publications : distributed by Halsted Press, c1976.</t>
  </si>
  <si>
    <t>2000-10-17</t>
  </si>
  <si>
    <t>375550495:eng</t>
  </si>
  <si>
    <t>1863505</t>
  </si>
  <si>
    <t>991003917839702656</t>
  </si>
  <si>
    <t>2263245570002656</t>
  </si>
  <si>
    <t>9780470013755</t>
  </si>
  <si>
    <t>32285000972793</t>
  </si>
  <si>
    <t>893900566</t>
  </si>
  <si>
    <t>RC537 .D438 1985</t>
  </si>
  <si>
    <t>0                      RC 0537000D  438         1985</t>
  </si>
  <si>
    <t>Depression in multidisciplinary perspective / edited by Alfred Dean.</t>
  </si>
  <si>
    <t>New York : Brunner/Mazel, c1985.</t>
  </si>
  <si>
    <t>4442586:eng</t>
  </si>
  <si>
    <t>11867604</t>
  </si>
  <si>
    <t>991000607439702656</t>
  </si>
  <si>
    <t>2262607910002656</t>
  </si>
  <si>
    <t>32285001094084</t>
  </si>
  <si>
    <t>893608096</t>
  </si>
  <si>
    <t>RC537 .D445 1987</t>
  </si>
  <si>
    <t>0                      RC 0537000D  445         1987</t>
  </si>
  <si>
    <t>Depression prevention : research directions / edited by Ricardo F. Muñoz.</t>
  </si>
  <si>
    <t>Washington : Hemisphere Pub. Corporation, c1987.</t>
  </si>
  <si>
    <t>The series in Clinical and Community psychology</t>
  </si>
  <si>
    <t>2010-10-26</t>
  </si>
  <si>
    <t>836657058:eng</t>
  </si>
  <si>
    <t>13796409</t>
  </si>
  <si>
    <t>991000875499702656</t>
  </si>
  <si>
    <t>2270578400002656</t>
  </si>
  <si>
    <t>9780891164524</t>
  </si>
  <si>
    <t>32285001094076</t>
  </si>
  <si>
    <t>893897299</t>
  </si>
  <si>
    <t>RC537 .D97 1990</t>
  </si>
  <si>
    <t>0                      RC 0537000D  97          1990</t>
  </si>
  <si>
    <t>Dysthymic disorder / edited by S.W. Burton, H.S. Akiskal.</t>
  </si>
  <si>
    <t>London : Gaskell, c1990.</t>
  </si>
  <si>
    <t>1998-10-14</t>
  </si>
  <si>
    <t>1992-08-25</t>
  </si>
  <si>
    <t>353011313:eng</t>
  </si>
  <si>
    <t>23147325</t>
  </si>
  <si>
    <t>991001844219702656</t>
  </si>
  <si>
    <t>2260907030002656</t>
  </si>
  <si>
    <t>9780902241336</t>
  </si>
  <si>
    <t>32285001198737</t>
  </si>
  <si>
    <t>893340737</t>
  </si>
  <si>
    <t>RC537 .F34 2005</t>
  </si>
  <si>
    <t>0                      RC 0537000F  34          2005</t>
  </si>
  <si>
    <t>Hello to all that : a memoir of war, Zoloft, and peace / John Falk.</t>
  </si>
  <si>
    <t>Falk, John.</t>
  </si>
  <si>
    <t>New York : Henry Holt, 2005.</t>
  </si>
  <si>
    <t>2007-08-23</t>
  </si>
  <si>
    <t>196655868:eng</t>
  </si>
  <si>
    <t>55884944</t>
  </si>
  <si>
    <t>991004427059702656</t>
  </si>
  <si>
    <t>2266884260002656</t>
  </si>
  <si>
    <t>9780805072181</t>
  </si>
  <si>
    <t>32285005020531</t>
  </si>
  <si>
    <t>893807058</t>
  </si>
  <si>
    <t>RC537 .F55</t>
  </si>
  <si>
    <t>0                      RC 0537000F  55</t>
  </si>
  <si>
    <t>The nature and treatment of depression / Frederic F. Flach, Suzanne C. Draghi.</t>
  </si>
  <si>
    <t>Flach, Frederic F.</t>
  </si>
  <si>
    <t>A Wiley biomedical-health publication</t>
  </si>
  <si>
    <t>1974490:eng</t>
  </si>
  <si>
    <t>1104288</t>
  </si>
  <si>
    <t>991003540119702656</t>
  </si>
  <si>
    <t>2256387570002656</t>
  </si>
  <si>
    <t>9780471262718</t>
  </si>
  <si>
    <t>32285001094068</t>
  </si>
  <si>
    <t>893410388</t>
  </si>
  <si>
    <t>RC537 .G64 1995</t>
  </si>
  <si>
    <t>0                      RC 0537000G  64          1995</t>
  </si>
  <si>
    <t>The good news about depression : cures and treatments in the new age of psychiatry / Mark S. Gold with Lois B. Morris.</t>
  </si>
  <si>
    <t>Gold, Mark S.</t>
  </si>
  <si>
    <t>New York : Bantam Books, 1995.</t>
  </si>
  <si>
    <t>2003-02-19</t>
  </si>
  <si>
    <t>9001059:eng</t>
  </si>
  <si>
    <t>31969214</t>
  </si>
  <si>
    <t>991002450639702656</t>
  </si>
  <si>
    <t>2263087160002656</t>
  </si>
  <si>
    <t>9780553372144</t>
  </si>
  <si>
    <t>32285002113958</t>
  </si>
  <si>
    <t>893879942</t>
  </si>
  <si>
    <t>RC537 .G68 1987</t>
  </si>
  <si>
    <t>0                      RC 0537000G  68          1987</t>
  </si>
  <si>
    <t>Treatment of depression : an interpersonal systems approach / Ian H. Gotlib, Catherine A. Colby.</t>
  </si>
  <si>
    <t>Gotlib, Ian H.</t>
  </si>
  <si>
    <t>New York : Pergamon Press, 1987.</t>
  </si>
  <si>
    <t>2009-11-07</t>
  </si>
  <si>
    <t>478377158:eng</t>
  </si>
  <si>
    <t>14270709</t>
  </si>
  <si>
    <t>991000930539702656</t>
  </si>
  <si>
    <t>2262294990002656</t>
  </si>
  <si>
    <t>9780080336336</t>
  </si>
  <si>
    <t>32285000065986</t>
  </si>
  <si>
    <t>893702570</t>
  </si>
  <si>
    <t>RC537 .H337 1992b</t>
  </si>
  <si>
    <t>0                      RC 0537000H  337         1992b</t>
  </si>
  <si>
    <t>Handbook of affective disorders / edited by Eugene S. Paykel.</t>
  </si>
  <si>
    <t>New York : Guilford Press, 1992.</t>
  </si>
  <si>
    <t>54451677:eng</t>
  </si>
  <si>
    <t>25869643</t>
  </si>
  <si>
    <t>991002031339702656</t>
  </si>
  <si>
    <t>2263954750002656</t>
  </si>
  <si>
    <t>9780898626742</t>
  </si>
  <si>
    <t>32285001403103</t>
  </si>
  <si>
    <t>893615608</t>
  </si>
  <si>
    <t>RC537 .H3376 2009</t>
  </si>
  <si>
    <t>0                      RC 0537000H  3376        2009</t>
  </si>
  <si>
    <t>Handbook of depression / edited by Ian H. Gotlib, Constance L. Hammen.</t>
  </si>
  <si>
    <t>New York : Guilford Press, c2009.</t>
  </si>
  <si>
    <t>2010-09-15</t>
  </si>
  <si>
    <t>347693985:eng</t>
  </si>
  <si>
    <t>213223577</t>
  </si>
  <si>
    <t>991005298099702656</t>
  </si>
  <si>
    <t>2269430010002656</t>
  </si>
  <si>
    <t>9781593854508</t>
  </si>
  <si>
    <t>32285005507438</t>
  </si>
  <si>
    <t>893326541</t>
  </si>
  <si>
    <t>RC537 .I58 1984</t>
  </si>
  <si>
    <t>0                      RC 0537000I  58          1984</t>
  </si>
  <si>
    <t>Interpersonal psychotherapy of depression / Gerald L. Klerman ... [et al.].</t>
  </si>
  <si>
    <t>496999065:eng</t>
  </si>
  <si>
    <t>10430094</t>
  </si>
  <si>
    <t>991000370709702656</t>
  </si>
  <si>
    <t>2264302450002656</t>
  </si>
  <si>
    <t>9780465033966</t>
  </si>
  <si>
    <t>32285001195519</t>
  </si>
  <si>
    <t>893261438</t>
  </si>
  <si>
    <t>RC537 .K56 1974</t>
  </si>
  <si>
    <t>0                      RC 0537000K  56          1974</t>
  </si>
  <si>
    <t>From sad to glad : Kline on depression / Nathan S. Kline.</t>
  </si>
  <si>
    <t>Kline, Nathan S.</t>
  </si>
  <si>
    <t>New York : Putnam, [1974]</t>
  </si>
  <si>
    <t>2004-09-13</t>
  </si>
  <si>
    <t>1985135:eng</t>
  </si>
  <si>
    <t>1107834</t>
  </si>
  <si>
    <t>991003542849702656</t>
  </si>
  <si>
    <t>2257868970002656</t>
  </si>
  <si>
    <t>9780399113727</t>
  </si>
  <si>
    <t>32285003092433</t>
  </si>
  <si>
    <t>893505678</t>
  </si>
  <si>
    <t>RC537 .K725 2005</t>
  </si>
  <si>
    <t>0                      RC 0537000K  725         2005</t>
  </si>
  <si>
    <t>Against depression / Peter D. Kramer.</t>
  </si>
  <si>
    <t>New York : Viking, 2005.</t>
  </si>
  <si>
    <t>32905:eng</t>
  </si>
  <si>
    <t>57010004</t>
  </si>
  <si>
    <t>991004531589702656</t>
  </si>
  <si>
    <t>2265812400002656</t>
  </si>
  <si>
    <t>9780670034055</t>
  </si>
  <si>
    <t>32285005039721</t>
  </si>
  <si>
    <t>893810563</t>
  </si>
  <si>
    <t>RC537 .L48</t>
  </si>
  <si>
    <t>0                      RC 0537000L  48</t>
  </si>
  <si>
    <t>Depression--concepts, controversies, and some new facts / Eugene E. Levitt, Bernard Lubin ; with a foreword by John Paul Brady.</t>
  </si>
  <si>
    <t>Levitt, Eugene E.</t>
  </si>
  <si>
    <t>New York : Springer Pub. Co., [1975]</t>
  </si>
  <si>
    <t>2001-11-19</t>
  </si>
  <si>
    <t>1990-12-13</t>
  </si>
  <si>
    <t>2121985:eng</t>
  </si>
  <si>
    <t>1176140</t>
  </si>
  <si>
    <t>991003598109702656</t>
  </si>
  <si>
    <t>2271889830002656</t>
  </si>
  <si>
    <t>9780826117304</t>
  </si>
  <si>
    <t>32285000425099</t>
  </si>
  <si>
    <t>893228214</t>
  </si>
  <si>
    <t>RC537 .M43 1987</t>
  </si>
  <si>
    <t>0                      RC 0537000M  43          1987</t>
  </si>
  <si>
    <t>The Measurement of depression / edited by Anthony J. Marsella, Robert M.A. Hirschfeld, Martin M. Katz.</t>
  </si>
  <si>
    <t>350600522:eng</t>
  </si>
  <si>
    <t>14932984</t>
  </si>
  <si>
    <t>991000969789702656</t>
  </si>
  <si>
    <t>2263675790002656</t>
  </si>
  <si>
    <t>9780898626940</t>
  </si>
  <si>
    <t>32285000407485</t>
  </si>
  <si>
    <t>893407700</t>
  </si>
  <si>
    <t>RC537 .N65 1990</t>
  </si>
  <si>
    <t>0                      RC 0537000N  65          1990</t>
  </si>
  <si>
    <t>Sex differences in depression / Susan Nolen-Hoeksema.</t>
  </si>
  <si>
    <t>Nolen-Hoeksema, Susan, 1959-2013.</t>
  </si>
  <si>
    <t>Stanford, Calif. : Stanford University Press, c1990.</t>
  </si>
  <si>
    <t>2005-02-11</t>
  </si>
  <si>
    <t>22623769:eng</t>
  </si>
  <si>
    <t>20489869</t>
  </si>
  <si>
    <t>991001580889702656</t>
  </si>
  <si>
    <t>2269750850002656</t>
  </si>
  <si>
    <t>9780804716406</t>
  </si>
  <si>
    <t>32285000463264</t>
  </si>
  <si>
    <t>893797643</t>
  </si>
  <si>
    <t>RC537 .P36 1987</t>
  </si>
  <si>
    <t>0                      RC 0537000P  36          1987</t>
  </si>
  <si>
    <t>Overcoming depression / Demitri F. Papolos and Janice Papolos.</t>
  </si>
  <si>
    <t>Papolos, Demitri F.</t>
  </si>
  <si>
    <t>New York : Harper &amp; Row, c1987.</t>
  </si>
  <si>
    <t>2005-02-01</t>
  </si>
  <si>
    <t>9075892:eng</t>
  </si>
  <si>
    <t>15084101</t>
  </si>
  <si>
    <t>991000988109702656</t>
  </si>
  <si>
    <t>2254869320002656</t>
  </si>
  <si>
    <t>9780060157562</t>
  </si>
  <si>
    <t>32285000066000</t>
  </si>
  <si>
    <t>893333952</t>
  </si>
  <si>
    <t>RC537 .P36 1988</t>
  </si>
  <si>
    <t>0                      RC 0537000P  36          1988</t>
  </si>
  <si>
    <t>New York : Perennial Library, 1988, c1987.</t>
  </si>
  <si>
    <t>1st Perennial Library ed.</t>
  </si>
  <si>
    <t>2006-02-04</t>
  </si>
  <si>
    <t>1989-11-27</t>
  </si>
  <si>
    <t>18538951</t>
  </si>
  <si>
    <t>991001363339702656</t>
  </si>
  <si>
    <t>2267123170002656</t>
  </si>
  <si>
    <t>9780060914882</t>
  </si>
  <si>
    <t>32285000015536</t>
  </si>
  <si>
    <t>893891518</t>
  </si>
  <si>
    <t>RC537 .P43 1993</t>
  </si>
  <si>
    <t>0                      RC 0537000P  43          1993</t>
  </si>
  <si>
    <t>Personality and depression : a current view / edited by Marjorie H. Klein, David J. Kupfer, M. Tracie Shea.</t>
  </si>
  <si>
    <t>Mental health and psychopathology</t>
  </si>
  <si>
    <t>1994-12-28</t>
  </si>
  <si>
    <t>894521243:eng</t>
  </si>
  <si>
    <t>26769090</t>
  </si>
  <si>
    <t>991002087159702656</t>
  </si>
  <si>
    <t>2267385480002656</t>
  </si>
  <si>
    <t>9780898621181</t>
  </si>
  <si>
    <t>32285001979318</t>
  </si>
  <si>
    <t>893497706</t>
  </si>
  <si>
    <t>RC537 .P438 2006</t>
  </si>
  <si>
    <t>0                      RC 0537000P  438         2006</t>
  </si>
  <si>
    <t>Chronic depression : interpersonal sources, therapeutic solutions / Jeremy W. Pettit, Thomas E. Joiner.</t>
  </si>
  <si>
    <t>Pettit, Jeremy W.</t>
  </si>
  <si>
    <t>Washington, DC : American Psychological Association, c2006.</t>
  </si>
  <si>
    <t>2009-11-05</t>
  </si>
  <si>
    <t>203293425:eng</t>
  </si>
  <si>
    <t>58789011</t>
  </si>
  <si>
    <t>991004759419702656</t>
  </si>
  <si>
    <t>2267563200002656</t>
  </si>
  <si>
    <t>9781591473060</t>
  </si>
  <si>
    <t>32285005167712</t>
  </si>
  <si>
    <t>893319593</t>
  </si>
  <si>
    <t>RC537 .P693 1987</t>
  </si>
  <si>
    <t>0                      RC 0537000P  693         1987</t>
  </si>
  <si>
    <t>Presentations of depression : depressive symptoms in medical and other psychiatric disorders / Oliver G. Cameron.</t>
  </si>
  <si>
    <t>New York : Wiley, c1987.</t>
  </si>
  <si>
    <t>Wiley series in general and clinical psychiatry</t>
  </si>
  <si>
    <t>2006-12-06</t>
  </si>
  <si>
    <t>836707216:eng</t>
  </si>
  <si>
    <t>15198196</t>
  </si>
  <si>
    <t>991001000729702656</t>
  </si>
  <si>
    <t>2260450260002656</t>
  </si>
  <si>
    <t>9780471011187</t>
  </si>
  <si>
    <t>32285000072461</t>
  </si>
  <si>
    <t>893702645</t>
  </si>
  <si>
    <t>RC537 .P73</t>
  </si>
  <si>
    <t>0                      RC 0537000P  73</t>
  </si>
  <si>
    <t>The Psychobiology of the depressive disorders : implications for the effects of stress / edited by Richard A. Depue.</t>
  </si>
  <si>
    <t>890415718:eng</t>
  </si>
  <si>
    <t>5410398</t>
  </si>
  <si>
    <t>991004830609702656</t>
  </si>
  <si>
    <t>2260544790002656</t>
  </si>
  <si>
    <t>9780122116506</t>
  </si>
  <si>
    <t>32285000066018</t>
  </si>
  <si>
    <t>893241883</t>
  </si>
  <si>
    <t>RC537 .P74</t>
  </si>
  <si>
    <t>0                      RC 0537000P  74</t>
  </si>
  <si>
    <t>The Psychology of depression : contemporary theory and research / edited by Raymond J. Friedman and Martin M. Katz.</t>
  </si>
  <si>
    <t>Washington : Winston ; [distributed by Halsted Press Division, Wiley], 1974.</t>
  </si>
  <si>
    <t>The Series in clinical psychology</t>
  </si>
  <si>
    <t>2010-03-15</t>
  </si>
  <si>
    <t>151012687:eng</t>
  </si>
  <si>
    <t>801667</t>
  </si>
  <si>
    <t>991003278599702656</t>
  </si>
  <si>
    <t>2270011480002656</t>
  </si>
  <si>
    <t>9780470280843</t>
  </si>
  <si>
    <t>32285001094050</t>
  </si>
  <si>
    <t>893524627</t>
  </si>
  <si>
    <t>RC537 .P764 1994</t>
  </si>
  <si>
    <t>0                      RC 0537000P  764         1994</t>
  </si>
  <si>
    <t>Psychopharmacology of depression / edited by Stuart A. Montgomery and Timothy H. Corn.</t>
  </si>
  <si>
    <t>Oxford ; New York : Oxford University Press, 1994.</t>
  </si>
  <si>
    <t>British Association for Psychopharmacology monographs ; no. 13</t>
  </si>
  <si>
    <t>353228131:eng</t>
  </si>
  <si>
    <t>29358676</t>
  </si>
  <si>
    <t>991001798109702656</t>
  </si>
  <si>
    <t>2268341720002656</t>
  </si>
  <si>
    <t>9780192622785</t>
  </si>
  <si>
    <t>32285002138872</t>
  </si>
  <si>
    <t>893621635</t>
  </si>
  <si>
    <t>RC537 .R59 1997</t>
  </si>
  <si>
    <t>0                      RC 0537000R  59          1997</t>
  </si>
  <si>
    <t>Natural Prozac : learning to release your body's own anti-depressants / Joel C. Robertson with Tom Monte.</t>
  </si>
  <si>
    <t>Robertson, Joel C., 1952-</t>
  </si>
  <si>
    <t>New York : Harper/Collins, c1997.</t>
  </si>
  <si>
    <t>2004-04-01</t>
  </si>
  <si>
    <t>1997-04-23</t>
  </si>
  <si>
    <t>588635:eng</t>
  </si>
  <si>
    <t>35235094</t>
  </si>
  <si>
    <t>991002698499702656</t>
  </si>
  <si>
    <t>2254714850002656</t>
  </si>
  <si>
    <t>9780062513533</t>
  </si>
  <si>
    <t>32285002540192</t>
  </si>
  <si>
    <t>893704396</t>
  </si>
  <si>
    <t>RC537 .R6394 1993</t>
  </si>
  <si>
    <t>0                      RC 0537000R  6394        1993</t>
  </si>
  <si>
    <t>Transforming depression : egocide, symbolic death, and new life : a Jungian approach using the creative arts / by David H. Rosen.</t>
  </si>
  <si>
    <t>Rosen, David H., 1945-</t>
  </si>
  <si>
    <t>New York : Putnam, 1993.</t>
  </si>
  <si>
    <t>1st American ed.</t>
  </si>
  <si>
    <t>2001-09-24</t>
  </si>
  <si>
    <t>1993-12-29</t>
  </si>
  <si>
    <t>907158996:eng</t>
  </si>
  <si>
    <t>27265851</t>
  </si>
  <si>
    <t>991002128559702656</t>
  </si>
  <si>
    <t>2269660900002656</t>
  </si>
  <si>
    <t>9780874776751</t>
  </si>
  <si>
    <t>32285001818599</t>
  </si>
  <si>
    <t>893408726</t>
  </si>
  <si>
    <t>RC537 .R66 1983</t>
  </si>
  <si>
    <t>0                      RC 0537000R  66          1983</t>
  </si>
  <si>
    <t>Depression, the way out of your prison / Dorothy Rowe.</t>
  </si>
  <si>
    <t>Rowe, Dorothy.</t>
  </si>
  <si>
    <t>London ; Boston : Routledge &amp; K. Paul, 1983.</t>
  </si>
  <si>
    <t>43791964:eng</t>
  </si>
  <si>
    <t>9687176</t>
  </si>
  <si>
    <t>991000244269702656</t>
  </si>
  <si>
    <t>2257035300002656</t>
  </si>
  <si>
    <t>9780710095862</t>
  </si>
  <si>
    <t>32285001094043</t>
  </si>
  <si>
    <t>893419322</t>
  </si>
  <si>
    <t>RC537 .S5 1982</t>
  </si>
  <si>
    <t>0                      RC 0537000S  5           1982</t>
  </si>
  <si>
    <t>Short-term psychotherapies for depression : behavioral, interpersonal, cognitive, and psychodynamic approaches / edited by A. John Rush.</t>
  </si>
  <si>
    <t>New York : Guilford Press, c1982, 1985 printing.</t>
  </si>
  <si>
    <t>1991-10-18</t>
  </si>
  <si>
    <t>849721063:eng</t>
  </si>
  <si>
    <t>7795722</t>
  </si>
  <si>
    <t>991005161969702656</t>
  </si>
  <si>
    <t>2268023290002656</t>
  </si>
  <si>
    <t>9780898626155</t>
  </si>
  <si>
    <t>32285000776509</t>
  </si>
  <si>
    <t>893412419</t>
  </si>
  <si>
    <t>RC537 .T78 1990</t>
  </si>
  <si>
    <t>0                      RC 0537000T  78          1990</t>
  </si>
  <si>
    <t>The genetics of mood disorders / Ming T. Tsuang and Stephen V. Faraone.</t>
  </si>
  <si>
    <t>Tsuang, Ming T., 1931-</t>
  </si>
  <si>
    <t>Baltimore : Johns Hopkins University Press, c1990.</t>
  </si>
  <si>
    <t>22700795:eng</t>
  </si>
  <si>
    <t>20692465</t>
  </si>
  <si>
    <t>991001605839702656</t>
  </si>
  <si>
    <t>2254840650002656</t>
  </si>
  <si>
    <t>9780801838910</t>
  </si>
  <si>
    <t>32285000514512</t>
  </si>
  <si>
    <t>893232082</t>
  </si>
  <si>
    <t>RC537 .U546 2001</t>
  </si>
  <si>
    <t>0                      RC 0537000U  546         2001</t>
  </si>
  <si>
    <t>Unholy ghost : writers on depression / edited by Nell Casey.</t>
  </si>
  <si>
    <t>New York : Morrow, c2001.</t>
  </si>
  <si>
    <t>2006-04-26</t>
  </si>
  <si>
    <t>2001-03-26</t>
  </si>
  <si>
    <t>895863479:eng</t>
  </si>
  <si>
    <t>44117887</t>
  </si>
  <si>
    <t>991003506379702656</t>
  </si>
  <si>
    <t>2265778060002656</t>
  </si>
  <si>
    <t>9780688170318</t>
  </si>
  <si>
    <t>32285004306832</t>
  </si>
  <si>
    <t>893617404</t>
  </si>
  <si>
    <t>RC537 .W35</t>
  </si>
  <si>
    <t>0                      RC 0537000W  35</t>
  </si>
  <si>
    <t>The depressed woman : a study of social relationships / Myrna M. Weissman and Eugene S. Paykel ; with a foreword by Gerald L. Klerman.</t>
  </si>
  <si>
    <t>Weissman, Myrna M.</t>
  </si>
  <si>
    <t>Chicago : University of Chicago Press, 1974.</t>
  </si>
  <si>
    <t>2004-01-16</t>
  </si>
  <si>
    <t>1923773:eng</t>
  </si>
  <si>
    <t>1006473</t>
  </si>
  <si>
    <t>991003464699702656</t>
  </si>
  <si>
    <t>2262070510002656</t>
  </si>
  <si>
    <t>9780226891606</t>
  </si>
  <si>
    <t>32285000776491</t>
  </si>
  <si>
    <t>893611064</t>
  </si>
  <si>
    <t>RC537 .W487 1997</t>
  </si>
  <si>
    <t>0                      RC 0537000W  487         1997</t>
  </si>
  <si>
    <t>A mood apart : depression, mania, and other afflictions of the self / Peter C. Whybrow.</t>
  </si>
  <si>
    <t>Whybrow, Peter C.</t>
  </si>
  <si>
    <t>New York, NY : BasicBooks, c1997.</t>
  </si>
  <si>
    <t>2005-08-24</t>
  </si>
  <si>
    <t>1997-04-14</t>
  </si>
  <si>
    <t>840015375:eng</t>
  </si>
  <si>
    <t>35926579</t>
  </si>
  <si>
    <t>991002737169702656</t>
  </si>
  <si>
    <t>2263089250002656</t>
  </si>
  <si>
    <t>9780465047253</t>
  </si>
  <si>
    <t>32285002496650</t>
  </si>
  <si>
    <t>893616514</t>
  </si>
  <si>
    <t>RC537 .W49 1984</t>
  </si>
  <si>
    <t>0                      RC 0537000W  49          1984</t>
  </si>
  <si>
    <t>Mood disorders : toward a new psychobiology / Peter C. Whybrow, Hagop S. Akiskal, and William T. McKinney, Jr.</t>
  </si>
  <si>
    <t>New York : Plenum Press, c1984, 1985 printing.</t>
  </si>
  <si>
    <t>309027847:eng</t>
  </si>
  <si>
    <t>10507690</t>
  </si>
  <si>
    <t>991000385529702656</t>
  </si>
  <si>
    <t>2256978970002656</t>
  </si>
  <si>
    <t>9780306415685</t>
  </si>
  <si>
    <t>32285000066026</t>
  </si>
  <si>
    <t>893777888</t>
  </si>
  <si>
    <t>RC537 .W554 1985</t>
  </si>
  <si>
    <t>0                      RC 0537000W  554         1985</t>
  </si>
  <si>
    <t>Depression : a psychobiological synthesis / Paul Willner.</t>
  </si>
  <si>
    <t>Willner, Paul.</t>
  </si>
  <si>
    <t>2007-04-23</t>
  </si>
  <si>
    <t>836696804:eng</t>
  </si>
  <si>
    <t>11574756</t>
  </si>
  <si>
    <t>991000559589702656</t>
  </si>
  <si>
    <t>2265112540002656</t>
  </si>
  <si>
    <t>9780471806714</t>
  </si>
  <si>
    <t>32285000072479</t>
  </si>
  <si>
    <t>893897004</t>
  </si>
  <si>
    <t>RC537 .W663 1990</t>
  </si>
  <si>
    <t>0                      RC 0537000W  663         1990</t>
  </si>
  <si>
    <t>Women and depression : risk factors and treatment issues : final report of the American Psychological Association's National Task Force on Women and Depression / edited by Ellen McGrath ... [et al.].</t>
  </si>
  <si>
    <t>Washington, DC : American Psychological Association, c1990.</t>
  </si>
  <si>
    <t>2007-04-03</t>
  </si>
  <si>
    <t>1991-08-01</t>
  </si>
  <si>
    <t>380177736:eng</t>
  </si>
  <si>
    <t>22451552</t>
  </si>
  <si>
    <t>991001779469702656</t>
  </si>
  <si>
    <t>2259841760002656</t>
  </si>
  <si>
    <t>9781557981042</t>
  </si>
  <si>
    <t>32285000663780</t>
  </si>
  <si>
    <t>893250500</t>
  </si>
  <si>
    <t>RC537 .W67 1985</t>
  </si>
  <si>
    <t>0                      RC 0537000W  67          1985</t>
  </si>
  <si>
    <t>Wounded healers : mental health workers' experiences of depression / edited by Vicky Rippere and Ruth Williams ; with a foreword by Joseph Connolly.</t>
  </si>
  <si>
    <t>Chichester ; New York : Wiley, c1985.</t>
  </si>
  <si>
    <t>836695320:eng</t>
  </si>
  <si>
    <t>11550669</t>
  </si>
  <si>
    <t>991000555509702656</t>
  </si>
  <si>
    <t>2260083920002656</t>
  </si>
  <si>
    <t>9780471905929</t>
  </si>
  <si>
    <t>32285000072487</t>
  </si>
  <si>
    <t>893695939</t>
  </si>
  <si>
    <t>RC545 .R67 1993b</t>
  </si>
  <si>
    <t>0                      RC 0545000R  67          1993b</t>
  </si>
  <si>
    <t>Winter blues : seasonal affective disorder : what it is and how to overcome it / Norman E. Rosenthal.</t>
  </si>
  <si>
    <t>Rosenthal, Norman E.</t>
  </si>
  <si>
    <t>Rev. &amp; updated ed.</t>
  </si>
  <si>
    <t>2007-04-11</t>
  </si>
  <si>
    <t>31633663:eng</t>
  </si>
  <si>
    <t>28798885</t>
  </si>
  <si>
    <t>991002233729702656</t>
  </si>
  <si>
    <t>2270018730002656</t>
  </si>
  <si>
    <t>9780898621495</t>
  </si>
  <si>
    <t>32285001843639</t>
  </si>
  <si>
    <t>893886003</t>
  </si>
  <si>
    <t>RC545 .S43 1989</t>
  </si>
  <si>
    <t>0                      RC 0545000S  43          1989</t>
  </si>
  <si>
    <t>Seasonal affective disorders and phototherapy / edited by Norman E. Rosenthal, Mary C. Blehar.</t>
  </si>
  <si>
    <t>New York : Guilford Press, 1989.</t>
  </si>
  <si>
    <t>2006-11-28</t>
  </si>
  <si>
    <t>1990-05-08</t>
  </si>
  <si>
    <t>353939950:eng</t>
  </si>
  <si>
    <t>18380633</t>
  </si>
  <si>
    <t>991001339249702656</t>
  </si>
  <si>
    <t>2256009610002656</t>
  </si>
  <si>
    <t>9780898627411</t>
  </si>
  <si>
    <t>32285000135268</t>
  </si>
  <si>
    <t>893690543</t>
  </si>
  <si>
    <t>RC547 .E97 1972</t>
  </si>
  <si>
    <t>0                      RC 0547000E  97          1972</t>
  </si>
  <si>
    <t>Sleep : physiology, biochemistry, psychology, pharmacology, clinical implications : proceedings / editors: W. P. Koella and P. Levin.</t>
  </si>
  <si>
    <t>European Congress on Sleep Research (1st : 1972 : Basel, Switzerland)</t>
  </si>
  <si>
    <t>Basel, New York, S. Karger, 1973.</t>
  </si>
  <si>
    <t>1994-04-20</t>
  </si>
  <si>
    <t>2080443:eng</t>
  </si>
  <si>
    <t>1099439</t>
  </si>
  <si>
    <t>991003535219702656</t>
  </si>
  <si>
    <t>2267378550002656</t>
  </si>
  <si>
    <t>9783805516044</t>
  </si>
  <si>
    <t>32285001889871</t>
  </si>
  <si>
    <t>893893822</t>
  </si>
  <si>
    <t>RC547 .P46</t>
  </si>
  <si>
    <t>0                      RC 0547000P  46</t>
  </si>
  <si>
    <t>Pharmacology of sleep / edited by Robert L. Williams, Ismet Karacan ; foreword by Jules H. Masserman.</t>
  </si>
  <si>
    <t>New York : Wiley, c1976.</t>
  </si>
  <si>
    <t>A Wiley medical publication</t>
  </si>
  <si>
    <t>2002-07-25</t>
  </si>
  <si>
    <t>346857704:eng</t>
  </si>
  <si>
    <t>2331456</t>
  </si>
  <si>
    <t>991004083769702656</t>
  </si>
  <si>
    <t>2264283260002656</t>
  </si>
  <si>
    <t>9780471948568</t>
  </si>
  <si>
    <t>32285001573939</t>
  </si>
  <si>
    <t>893712137</t>
  </si>
  <si>
    <t>RC547 .S52</t>
  </si>
  <si>
    <t>0                      RC 0547000S  52</t>
  </si>
  <si>
    <t>Sleep disorders : diagnosis and treatment / edited by Robert L. Williams, Ismet Karacan ; foreword by Shervert H. Frazier.</t>
  </si>
  <si>
    <t>New York : Wiley, c1978.</t>
  </si>
  <si>
    <t>2010-08-25</t>
  </si>
  <si>
    <t>890252190:eng</t>
  </si>
  <si>
    <t>4004644</t>
  </si>
  <si>
    <t>991004566619702656</t>
  </si>
  <si>
    <t>2264861560002656</t>
  </si>
  <si>
    <t>9780471946823</t>
  </si>
  <si>
    <t>32285000075449</t>
  </si>
  <si>
    <t>893253826</t>
  </si>
  <si>
    <t>RC547 .S56</t>
  </si>
  <si>
    <t>0                      RC 0547000S  56</t>
  </si>
  <si>
    <t>Sleep research and clinical practice. Edited by Gene Usdin.</t>
  </si>
  <si>
    <t>New York, Brunner/Mazel [1973]</t>
  </si>
  <si>
    <t>1676301:eng</t>
  </si>
  <si>
    <t>714487</t>
  </si>
  <si>
    <t>991003189389702656</t>
  </si>
  <si>
    <t>2256028310002656</t>
  </si>
  <si>
    <t>9780876300749</t>
  </si>
  <si>
    <t>32285003092441</t>
  </si>
  <si>
    <t>893416136</t>
  </si>
  <si>
    <t>RC547 .W54</t>
  </si>
  <si>
    <t>0                      RC 0547000W  54</t>
  </si>
  <si>
    <t>Electroencephalography (EEG) of human sleep : clinical applications / [by] Robert L. Williams, Ismet Karacan [and] Carolyn J. Hursch.</t>
  </si>
  <si>
    <t>Williams, Robert L. (Robert Leon), 1922-</t>
  </si>
  <si>
    <t>1993-11-22</t>
  </si>
  <si>
    <t>906840730:eng</t>
  </si>
  <si>
    <t>754471</t>
  </si>
  <si>
    <t>991003229589702656</t>
  </si>
  <si>
    <t>2267543020002656</t>
  </si>
  <si>
    <t>9780471946861</t>
  </si>
  <si>
    <t>32285001573921</t>
  </si>
  <si>
    <t>893410056</t>
  </si>
  <si>
    <t>RC548 .D86 1994</t>
  </si>
  <si>
    <t>0                      RC 0548000D  86          1994</t>
  </si>
  <si>
    <t>Goodbye insomnia, hello sleep / Samuel Dunkell.</t>
  </si>
  <si>
    <t>Dunkell, Samuel.</t>
  </si>
  <si>
    <t>Secaucus, NJ : Carol Pub. Group, c1994.</t>
  </si>
  <si>
    <t>2010-11-23</t>
  </si>
  <si>
    <t>32378128:eng</t>
  </si>
  <si>
    <t>30473362</t>
  </si>
  <si>
    <t>991002340139702656</t>
  </si>
  <si>
    <t>2262122750002656</t>
  </si>
  <si>
    <t>9781559722476</t>
  </si>
  <si>
    <t>32285002058039</t>
  </si>
  <si>
    <t>893510617</t>
  </si>
  <si>
    <t>RC550 .K43</t>
  </si>
  <si>
    <t>0                      RC 0550000K  43</t>
  </si>
  <si>
    <t>The traumatic neurosis.</t>
  </si>
  <si>
    <t>Keiser, Lester.</t>
  </si>
  <si>
    <t>Philadelphia, Lippincott [1968]</t>
  </si>
  <si>
    <t>1587571:eng</t>
  </si>
  <si>
    <t>448257</t>
  </si>
  <si>
    <t>991002802669702656</t>
  </si>
  <si>
    <t>2266641980002656</t>
  </si>
  <si>
    <t>32285003092458</t>
  </si>
  <si>
    <t>893886744</t>
  </si>
  <si>
    <t>RC552.A44 C63 1985</t>
  </si>
  <si>
    <t>0                      RC 0552000A  44                 C  63          1985</t>
  </si>
  <si>
    <t>Agoraphobia : a clinical and personal account / J. Christopher Clarke and Wayne Wardman.</t>
  </si>
  <si>
    <t>Clarke, J. Christopher.</t>
  </si>
  <si>
    <t>Sydney : Pergamon Press, 1985</t>
  </si>
  <si>
    <t>5208954:eng</t>
  </si>
  <si>
    <t>12498572</t>
  </si>
  <si>
    <t>991000658779702656</t>
  </si>
  <si>
    <t>2260817320002656</t>
  </si>
  <si>
    <t>9780080298665</t>
  </si>
  <si>
    <t>32285000798354</t>
  </si>
  <si>
    <t>893413568</t>
  </si>
  <si>
    <t>RC552.A5 A66 1998</t>
  </si>
  <si>
    <t>0                      RC 0552000A  5                  A  66          1998</t>
  </si>
  <si>
    <t>Inner hunger : a young woman's struggle through anorexia and bulimia / Marianne Apostolides.</t>
  </si>
  <si>
    <t>Apostolides, Marianne.</t>
  </si>
  <si>
    <t>New York : Norton, c1998.</t>
  </si>
  <si>
    <t>2008-11-16</t>
  </si>
  <si>
    <t>1998-10-27</t>
  </si>
  <si>
    <t>1151556597:eng</t>
  </si>
  <si>
    <t>38043060</t>
  </si>
  <si>
    <t>991002886999702656</t>
  </si>
  <si>
    <t>2259919640002656</t>
  </si>
  <si>
    <t>9780393045901</t>
  </si>
  <si>
    <t>32285003477782</t>
  </si>
  <si>
    <t>893317396</t>
  </si>
  <si>
    <t>RC552.A5 B78</t>
  </si>
  <si>
    <t>0                      RC 0552000A  5                  B  78</t>
  </si>
  <si>
    <t>The golden cage : the enigma of anorexia nervosa / Hilde Bruch.</t>
  </si>
  <si>
    <t>Cambridge, Mass. : Harvard University Press, 1978.</t>
  </si>
  <si>
    <t>464416:eng</t>
  </si>
  <si>
    <t>3204261</t>
  </si>
  <si>
    <t>991001760819702656</t>
  </si>
  <si>
    <t>2270744460002656</t>
  </si>
  <si>
    <t>9780674356504</t>
  </si>
  <si>
    <t>32285001091239</t>
  </si>
  <si>
    <t>893898034</t>
  </si>
  <si>
    <t>RC552.A5 E65 1992</t>
  </si>
  <si>
    <t>0                      RC 0552000A  5                  E  65          1992</t>
  </si>
  <si>
    <t>Solving the anorexia puzzle : a scientific approach / W. Frank Epling, W. David Pierce ; foreword by P.J.V. Beumont.</t>
  </si>
  <si>
    <t>Epling, W. Frank.</t>
  </si>
  <si>
    <t>Toronto ; Lewiston, NY : Hogrefe &amp; Huber Publishers, c1992.</t>
  </si>
  <si>
    <t>20828518:eng</t>
  </si>
  <si>
    <t>21335953</t>
  </si>
  <si>
    <t>991001679259702656</t>
  </si>
  <si>
    <t>2263855130002656</t>
  </si>
  <si>
    <t>9780920887202</t>
  </si>
  <si>
    <t>32285003200077</t>
  </si>
  <si>
    <t>893903522</t>
  </si>
  <si>
    <t>RC552.A5 G37 1982</t>
  </si>
  <si>
    <t>0                      RC 0552000A  5                  G  37          1982</t>
  </si>
  <si>
    <t>Anorexia nervosa : a multidimensional perspective / Paul E. Garfinkel and David M. Garner.</t>
  </si>
  <si>
    <t>Garfinkel, Paul E., 1946-</t>
  </si>
  <si>
    <t>New York : Brunner/Mazel ; Montreal : Book Center, c1982.</t>
  </si>
  <si>
    <t>2005-12-08</t>
  </si>
  <si>
    <t>533922:eng</t>
  </si>
  <si>
    <t>8219919</t>
  </si>
  <si>
    <t>991005219729702656</t>
  </si>
  <si>
    <t>2255683950002656</t>
  </si>
  <si>
    <t>9780876302972</t>
  </si>
  <si>
    <t>32285000798347</t>
  </si>
  <si>
    <t>893600846</t>
  </si>
  <si>
    <t>RC552.A5 H35 1999</t>
  </si>
  <si>
    <t>0                      RC 0552000A  5                  H  35          1999</t>
  </si>
  <si>
    <t>Anorexia nervosa : a guide to recovery / Lindsey Hall and Monika Ostroff.</t>
  </si>
  <si>
    <t>Hall, Lindsey, 1949-</t>
  </si>
  <si>
    <t>Carlsbad, Calif. : Gürze Books, c1999.</t>
  </si>
  <si>
    <t>35898916:eng</t>
  </si>
  <si>
    <t>39485099</t>
  </si>
  <si>
    <t>991003933169702656</t>
  </si>
  <si>
    <t>2259403560002656</t>
  </si>
  <si>
    <t>9780936077321</t>
  </si>
  <si>
    <t>32285004668553</t>
  </si>
  <si>
    <t>893693340</t>
  </si>
  <si>
    <t>RC552.A5 H36 1984</t>
  </si>
  <si>
    <t>0                      RC 0552000A  5                  H  36          1984</t>
  </si>
  <si>
    <t>Handbook of psychotherapy for anorexia nervosa and bulimia / edited by David M. Garner, Paul E. Garfinkel ; foreword by Gerald Russell.</t>
  </si>
  <si>
    <t>1991-11-20</t>
  </si>
  <si>
    <t>3870040:eng</t>
  </si>
  <si>
    <t>11262131</t>
  </si>
  <si>
    <t>991000514189702656</t>
  </si>
  <si>
    <t>2265966150002656</t>
  </si>
  <si>
    <t>9780898626421</t>
  </si>
  <si>
    <t>32285000841543</t>
  </si>
  <si>
    <t>893438327</t>
  </si>
  <si>
    <t>RC552.A5 K636 2003</t>
  </si>
  <si>
    <t>0                      RC 0552000A  5                  K  636         2003</t>
  </si>
  <si>
    <t>Appetites : why women want / Caroline Knapp.</t>
  </si>
  <si>
    <t>Knapp, Caroline, 1959-2002.</t>
  </si>
  <si>
    <t>New York : Counterpoint, c2003.</t>
  </si>
  <si>
    <t>2003-07-15</t>
  </si>
  <si>
    <t>800879780:eng</t>
  </si>
  <si>
    <t>50868247</t>
  </si>
  <si>
    <t>991004078129702656</t>
  </si>
  <si>
    <t>2265349550002656</t>
  </si>
  <si>
    <t>9781582432250</t>
  </si>
  <si>
    <t>32285004755996</t>
  </si>
  <si>
    <t>893687340</t>
  </si>
  <si>
    <t>RC552.A5 M56</t>
  </si>
  <si>
    <t>0                      RC 0552000A  5                  M  56</t>
  </si>
  <si>
    <t>Psychosomatic families : anorexia nervosa in context / Salvador Minuchin, Bernice L. Rosman, Lester Baker, with a contribution by Ronald Liebman. --</t>
  </si>
  <si>
    <t>2005-02-20</t>
  </si>
  <si>
    <t>375859410:eng</t>
  </si>
  <si>
    <t>3649730</t>
  </si>
  <si>
    <t>991001781869702656</t>
  </si>
  <si>
    <t>2255887720002656</t>
  </si>
  <si>
    <t>9780674722200</t>
  </si>
  <si>
    <t>32285000121540</t>
  </si>
  <si>
    <t>893690914</t>
  </si>
  <si>
    <t>RC552.A5 N48 1983</t>
  </si>
  <si>
    <t>0                      RC 0552000A  5                  N  48          1983</t>
  </si>
  <si>
    <t>Anorexia nervosa and bulimia : a handbook for counselors and therapists / Patricia A. Neuman and Patricia A. Halvorson.</t>
  </si>
  <si>
    <t>Neuman, Patricia A.</t>
  </si>
  <si>
    <t>New York : Van Nostrand Reinhold, c1983.</t>
  </si>
  <si>
    <t>427599596:eng</t>
  </si>
  <si>
    <t>8866696</t>
  </si>
  <si>
    <t>991000087669702656</t>
  </si>
  <si>
    <t>2262375050002656</t>
  </si>
  <si>
    <t>9780442268497</t>
  </si>
  <si>
    <t>32285000121557</t>
  </si>
  <si>
    <t>893419192</t>
  </si>
  <si>
    <t>RC552.A5 P79 1984</t>
  </si>
  <si>
    <t>0                      RC 0552000A  5                  P  79          1984</t>
  </si>
  <si>
    <t>The Psychobiology of anorexia nervosa / edited by K.M. Pirke and D. Ploog.</t>
  </si>
  <si>
    <t>Berlin ; New York : Springer-Verlag, 1984.</t>
  </si>
  <si>
    <t>2009-02-17</t>
  </si>
  <si>
    <t>472750541:eng</t>
  </si>
  <si>
    <t>10483895</t>
  </si>
  <si>
    <t>991000379429702656</t>
  </si>
  <si>
    <t>2259949850002656</t>
  </si>
  <si>
    <t>9780387131962</t>
  </si>
  <si>
    <t>32285004878624</t>
  </si>
  <si>
    <t>893896822</t>
  </si>
  <si>
    <t>RC552.A5 R83 1984</t>
  </si>
  <si>
    <t>0                      RC 0552000A  5                  R  83          1984</t>
  </si>
  <si>
    <t>Readings in anorexia nervosa and eating disorders / Douglas H. Ruben.</t>
  </si>
  <si>
    <t>Ruben, Douglas H.</t>
  </si>
  <si>
    <t>Guilford, Conn. : Special Learning Corp., 1984.</t>
  </si>
  <si>
    <t>2007-12-05</t>
  </si>
  <si>
    <t>4224463198:eng</t>
  </si>
  <si>
    <t>11225070</t>
  </si>
  <si>
    <t>991000508059702656</t>
  </si>
  <si>
    <t>2254909230002656</t>
  </si>
  <si>
    <t>9780895684103</t>
  </si>
  <si>
    <t>32285000058643</t>
  </si>
  <si>
    <t>893601807</t>
  </si>
  <si>
    <t>RC552.A5 S74 1983</t>
  </si>
  <si>
    <t>0                      RC 0552000A  5                  S  74          1983</t>
  </si>
  <si>
    <t>Starving women : a psychology of anorexia nervosa / Angelyn Spignesi.</t>
  </si>
  <si>
    <t>Spignesi, Angelyn.</t>
  </si>
  <si>
    <t>Dallas, Tex. : Spring Publications, c1983.</t>
  </si>
  <si>
    <t>198552429:eng</t>
  </si>
  <si>
    <t>10022275</t>
  </si>
  <si>
    <t>991000301019702656</t>
  </si>
  <si>
    <t>2268494460002656</t>
  </si>
  <si>
    <t>9780882143255</t>
  </si>
  <si>
    <t>32285000008689</t>
  </si>
  <si>
    <t>893689600</t>
  </si>
  <si>
    <t>RC552.A5 S79 1989</t>
  </si>
  <si>
    <t>0                      RC 0552000A  5                  S  79          1989</t>
  </si>
  <si>
    <t>Unlocking the family door : a systemic approach to the understanding and treatment of anorexia nervosa / by Helm Stierlin &amp; Gunthard Weber.</t>
  </si>
  <si>
    <t>Stierlin, Helm.</t>
  </si>
  <si>
    <t>1999-03-06</t>
  </si>
  <si>
    <t>1991-07-25</t>
  </si>
  <si>
    <t>196510200:eng</t>
  </si>
  <si>
    <t>18413841</t>
  </si>
  <si>
    <t>991001345839702656</t>
  </si>
  <si>
    <t>2255577150002656</t>
  </si>
  <si>
    <t>9780876305416</t>
  </si>
  <si>
    <t>32285000662915</t>
  </si>
  <si>
    <t>893408051</t>
  </si>
  <si>
    <t>RC552.A72 A37 1987</t>
  </si>
  <si>
    <t>0                      RC 0552000A  72                 A  37          1987</t>
  </si>
  <si>
    <t>Eating disorders : management of obesity, bulimia, and anorexia nervosa / W. Stewart Agras.</t>
  </si>
  <si>
    <t>2007-07-22</t>
  </si>
  <si>
    <t>9059532:eng</t>
  </si>
  <si>
    <t>14242002</t>
  </si>
  <si>
    <t>991000927909702656</t>
  </si>
  <si>
    <t>2270085190002656</t>
  </si>
  <si>
    <t>9780080336459</t>
  </si>
  <si>
    <t>32285000802016</t>
  </si>
  <si>
    <t>893696296</t>
  </si>
  <si>
    <t>RC552.A72 C58 1985</t>
  </si>
  <si>
    <t>0                      RC 0552000A  72                 C  58          1985</t>
  </si>
  <si>
    <t>Modern clinical hypnosis for habit control / Charles M. Citrenbaum, Mark E. King, William I. Cohen.</t>
  </si>
  <si>
    <t>Citrenbaum, Charles.</t>
  </si>
  <si>
    <t>2002-02-11</t>
  </si>
  <si>
    <t>148850022:eng</t>
  </si>
  <si>
    <t>11756336</t>
  </si>
  <si>
    <t>991000585739702656</t>
  </si>
  <si>
    <t>2269050850002656</t>
  </si>
  <si>
    <t>9780393700039</t>
  </si>
  <si>
    <t>32285000993773</t>
  </si>
  <si>
    <t>893897027</t>
  </si>
  <si>
    <t>RC552.A72 H36 1986</t>
  </si>
  <si>
    <t>0                      RC 0552000A  72                 H  36          1986</t>
  </si>
  <si>
    <t>Handbook of eating disorders : physiology, psychology, and treatment of obesity, anorexia, and bulimia / edited by Kelly D. Brownell and John P. Foreyt.</t>
  </si>
  <si>
    <t>New York : Basic Books, 1986.</t>
  </si>
  <si>
    <t>889774404:eng</t>
  </si>
  <si>
    <t>13186548</t>
  </si>
  <si>
    <t>991000796459702656</t>
  </si>
  <si>
    <t>2255672150002656</t>
  </si>
  <si>
    <t>9780465028627</t>
  </si>
  <si>
    <t>32285000088566</t>
  </si>
  <si>
    <t>893683760</t>
  </si>
  <si>
    <t>RC552.A72 L46 1983</t>
  </si>
  <si>
    <t>0                      RC 0552000A  72                 L  46          1983</t>
  </si>
  <si>
    <t>Treating eating disorders : obesity, anorexia nervosa, and bulimia / Gloria Rakita Leon, with a chapter on general nutritional considerations by Arthur S. Leon ; edited by James Butcher.</t>
  </si>
  <si>
    <t>Brattleboro, Vt. : Lewis Pub. Co., c1983.</t>
  </si>
  <si>
    <t>The Lewis series in applied clinical psychology</t>
  </si>
  <si>
    <t>815135655:eng</t>
  </si>
  <si>
    <t>9851842</t>
  </si>
  <si>
    <t>991000268359702656</t>
  </si>
  <si>
    <t>2262390140002656</t>
  </si>
  <si>
    <t>9780866160261</t>
  </si>
  <si>
    <t>32285000899319</t>
  </si>
  <si>
    <t>893345518</t>
  </si>
  <si>
    <t>RC552.B84 B38 1986</t>
  </si>
  <si>
    <t>0                      RC 0552000B  84                 B  38          1986</t>
  </si>
  <si>
    <t>Bulimia : book for therapist and client / Barbara G. Bauer, Wayne P. Anderson, Robert W. Hyatt ; contributions by Margaret Flynn.</t>
  </si>
  <si>
    <t>Bauer, Barbara G.</t>
  </si>
  <si>
    <t>Muncie, Ind. : Accelerated Development, c1986.</t>
  </si>
  <si>
    <t>2006-02-20</t>
  </si>
  <si>
    <t>1995-06-30</t>
  </si>
  <si>
    <t>2940469:eng</t>
  </si>
  <si>
    <t>17412346</t>
  </si>
  <si>
    <t>991001213369702656</t>
  </si>
  <si>
    <t>2264414540002656</t>
  </si>
  <si>
    <t>9780915202560</t>
  </si>
  <si>
    <t>32285002021573</t>
  </si>
  <si>
    <t>893621159</t>
  </si>
  <si>
    <t>RC552.B84 B56 1984</t>
  </si>
  <si>
    <t>0                      RC 0552000B  84                 B  56          1984</t>
  </si>
  <si>
    <t>The Binge-purge syndrome : diagnosis, treatment, and research / Raymond C. Hawkins II, William J. Fremouw, Pamelia F. Clement, editors.</t>
  </si>
  <si>
    <t>Springer series on behavior therapy and behavioral medicine ; v. 14</t>
  </si>
  <si>
    <t>902191902:eng</t>
  </si>
  <si>
    <t>10100684</t>
  </si>
  <si>
    <t>991000312519702656</t>
  </si>
  <si>
    <t>2256225530002656</t>
  </si>
  <si>
    <t>9780826140203</t>
  </si>
  <si>
    <t>32285000180140</t>
  </si>
  <si>
    <t>893496120</t>
  </si>
  <si>
    <t>RC552.B84 B8412 2008</t>
  </si>
  <si>
    <t>0                      RC 0552000B  84                 B  8412        2008</t>
  </si>
  <si>
    <t>Bulimia / Adriane Ruggiero, book editor.</t>
  </si>
  <si>
    <t>Detroit : Greenhaven Press, c2008.</t>
  </si>
  <si>
    <t>At issue. Health</t>
  </si>
  <si>
    <t>2008-09-17</t>
  </si>
  <si>
    <t>2297164172:eng</t>
  </si>
  <si>
    <t>155756734</t>
  </si>
  <si>
    <t>991005166839702656</t>
  </si>
  <si>
    <t>2270597600002656</t>
  </si>
  <si>
    <t>9780737736731</t>
  </si>
  <si>
    <t>32285005377428</t>
  </si>
  <si>
    <t>893338635</t>
  </si>
  <si>
    <t>RC552.B84 E84 1992</t>
  </si>
  <si>
    <t>0                      RC 0552000B  84                 E  84          1992</t>
  </si>
  <si>
    <t>The Etiology of bulimia nervosa : the individual and familial context / edited by Janis H. Crowther ... [et al.].</t>
  </si>
  <si>
    <t>Washington : Hemisphere Pub. Corp., c1992.</t>
  </si>
  <si>
    <t>Series in applied psychology</t>
  </si>
  <si>
    <t>1996-07-01</t>
  </si>
  <si>
    <t>836911436:eng</t>
  </si>
  <si>
    <t>24504420</t>
  </si>
  <si>
    <t>991001940319702656</t>
  </si>
  <si>
    <t>2261192810002656</t>
  </si>
  <si>
    <t>9781560322061</t>
  </si>
  <si>
    <t>32285002205531</t>
  </si>
  <si>
    <t>893503836</t>
  </si>
  <si>
    <t>RC552.B84 J64 1987</t>
  </si>
  <si>
    <t>0                      RC 0552000B  84                 J  64          1987</t>
  </si>
  <si>
    <t>The etiology and treatment of bulimia nervosa : a biopsychosocial perspective / Craig Johnson, Mary E. Connors.</t>
  </si>
  <si>
    <t>Johnson, Craig, 1950-</t>
  </si>
  <si>
    <t>New York : Basic Books, c1987.</t>
  </si>
  <si>
    <t>2006-10-29</t>
  </si>
  <si>
    <t>8387194:eng</t>
  </si>
  <si>
    <t>15108875</t>
  </si>
  <si>
    <t>991000992479702656</t>
  </si>
  <si>
    <t>2267331540002656</t>
  </si>
  <si>
    <t>9780465020928</t>
  </si>
  <si>
    <t>32285000895937</t>
  </si>
  <si>
    <t>893720896</t>
  </si>
  <si>
    <t>RC552.B84 P66 1984</t>
  </si>
  <si>
    <t>0                      RC 0552000B  84                 P  66          1984</t>
  </si>
  <si>
    <t>New hope for binge eaters : advances in the understanding and treatment of bulimia / Harrison G. Pope, Jr. and James I. Hudson.</t>
  </si>
  <si>
    <t>Pope, Harrison.</t>
  </si>
  <si>
    <t>2002-04-25</t>
  </si>
  <si>
    <t>1993-04-28</t>
  </si>
  <si>
    <t>836620393:eng</t>
  </si>
  <si>
    <t>9576900</t>
  </si>
  <si>
    <t>991000222329702656</t>
  </si>
  <si>
    <t>2269177800002656</t>
  </si>
  <si>
    <t>9780060152338</t>
  </si>
  <si>
    <t>32285000895945</t>
  </si>
  <si>
    <t>893802615</t>
  </si>
  <si>
    <t>32285000056647</t>
  </si>
  <si>
    <t>893790353</t>
  </si>
  <si>
    <t>RC552.B84 R66 1986</t>
  </si>
  <si>
    <t>0                      RC 0552000B  84                 R  66          1986</t>
  </si>
  <si>
    <t>Bulimia : a systems approach to treatment / Maria P.P. Root, Patricia Fallon, William N. Friedrich.</t>
  </si>
  <si>
    <t>Root, Maria P. P.</t>
  </si>
  <si>
    <t>New York : W.W. Norton &amp; Co., c1986.</t>
  </si>
  <si>
    <t>2000-04-02</t>
  </si>
  <si>
    <t>1992-01-06</t>
  </si>
  <si>
    <t>836618865:eng</t>
  </si>
  <si>
    <t>13124021</t>
  </si>
  <si>
    <t>991000785399702656</t>
  </si>
  <si>
    <t>2255318670002656</t>
  </si>
  <si>
    <t>9780393700244</t>
  </si>
  <si>
    <t>32285000892439</t>
  </si>
  <si>
    <t>893432293</t>
  </si>
  <si>
    <t>RC552.B84 R69 2002</t>
  </si>
  <si>
    <t>0                      RC 0552000B  84                 R  69          2002</t>
  </si>
  <si>
    <t>The monster within : facing an eating disorder / Cynthia Rowland McClure.</t>
  </si>
  <si>
    <t>McClure, Cynthia Rowland.</t>
  </si>
  <si>
    <t>Grand Rapids, Mich. : Fleming H. Revell, c2002.</t>
  </si>
  <si>
    <t>2009-02-19</t>
  </si>
  <si>
    <t>3859120938:eng</t>
  </si>
  <si>
    <t>49284360</t>
  </si>
  <si>
    <t>991003933539702656</t>
  </si>
  <si>
    <t>2255256540002656</t>
  </si>
  <si>
    <t>9780800758028</t>
  </si>
  <si>
    <t>32285004663729</t>
  </si>
  <si>
    <t>893259103</t>
  </si>
  <si>
    <t>RC552.B84 W47 1983</t>
  </si>
  <si>
    <t>0                      RC 0552000B  84                 W  47          1983</t>
  </si>
  <si>
    <t>Bulimarexia : the binge/purge cycle / Marlene Boskind-White, William C. White, Jr.</t>
  </si>
  <si>
    <t>Boskind-White, Marlene.</t>
  </si>
  <si>
    <t>New York : Norton, c1983.</t>
  </si>
  <si>
    <t>2006-03-17</t>
  </si>
  <si>
    <t>8758027:eng</t>
  </si>
  <si>
    <t>8763610</t>
  </si>
  <si>
    <t>991000065899702656</t>
  </si>
  <si>
    <t>2267714410002656</t>
  </si>
  <si>
    <t>9780393016505</t>
  </si>
  <si>
    <t>32285000180157</t>
  </si>
  <si>
    <t>893871380</t>
  </si>
  <si>
    <t>RC552.C65 R657 1993</t>
  </si>
  <si>
    <t>0                      RC 0552000C  65                 R  657         1993</t>
  </si>
  <si>
    <t>Feeding the hungry heart : the experience of compulsive eating / by Geneen Roth.</t>
  </si>
  <si>
    <t>Roth, Geneen.</t>
  </si>
  <si>
    <t>New York, N.Y., U.S.A. : Plume, 1993.</t>
  </si>
  <si>
    <t>2010-07-15</t>
  </si>
  <si>
    <t>1993-10-28</t>
  </si>
  <si>
    <t>2991495:eng</t>
  </si>
  <si>
    <t>27897616</t>
  </si>
  <si>
    <t>991002167899702656</t>
  </si>
  <si>
    <t>2260815830002656</t>
  </si>
  <si>
    <t>9780452270831</t>
  </si>
  <si>
    <t>32285001789139</t>
  </si>
  <si>
    <t>893516962</t>
  </si>
  <si>
    <t>RC552.C65 W55 1993</t>
  </si>
  <si>
    <t>0                      RC 0552000C  65                 W  55          1993</t>
  </si>
  <si>
    <t>Am I hungry...or am I hurting? : healing from food addiction with the Twelve Steps / Carla Wills-Brandon.</t>
  </si>
  <si>
    <t>Wills-Brandon, Carla, 1956-</t>
  </si>
  <si>
    <t>San Diego : Recovery Publications, c1993.</t>
  </si>
  <si>
    <t>2008-03-25</t>
  </si>
  <si>
    <t>1993-10-04</t>
  </si>
  <si>
    <t>383555:eng</t>
  </si>
  <si>
    <t>27811459</t>
  </si>
  <si>
    <t>991002158379702656</t>
  </si>
  <si>
    <t>2258850180002656</t>
  </si>
  <si>
    <t>9780941405171</t>
  </si>
  <si>
    <t>32285001769776</t>
  </si>
  <si>
    <t>893879561</t>
  </si>
  <si>
    <t>RC552.E18 B63 1996</t>
  </si>
  <si>
    <t>0                      RC 0552000E  18                 B  63          1996</t>
  </si>
  <si>
    <t>Body image, eating disorders, and obesity : an integrative guide for assessment and treatment / edited by J. Kevin Thompson.</t>
  </si>
  <si>
    <t>3856171142:eng</t>
  </si>
  <si>
    <t>33077413</t>
  </si>
  <si>
    <t>991002544569702656</t>
  </si>
  <si>
    <t>2254996870002656</t>
  </si>
  <si>
    <t>9781557983244</t>
  </si>
  <si>
    <t>32285002193026</t>
  </si>
  <si>
    <t>893804728</t>
  </si>
  <si>
    <t>RC552.E18 E28 1991</t>
  </si>
  <si>
    <t>0                      RC 0552000E  18                 E  28          1991</t>
  </si>
  <si>
    <t>Eating disorders and athletes : a handbook for coaches / Association for the Advancement of Health Education, National Association for Girls and Women in Sport, member associations of the American Alliance for Health, Physical Education, Recreation, and Dance ; edited by Susan Chappell Holliman.</t>
  </si>
  <si>
    <t>Dubuque, Iowa : Kendall/Hunt, c1991.</t>
  </si>
  <si>
    <t>1781349215:eng</t>
  </si>
  <si>
    <t>24760692</t>
  </si>
  <si>
    <t>991001956169702656</t>
  </si>
  <si>
    <t>2268908880002656</t>
  </si>
  <si>
    <t>9780840366894</t>
  </si>
  <si>
    <t>32285001007334</t>
  </si>
  <si>
    <t>893872931</t>
  </si>
  <si>
    <t>RC552.E18 K37 1996</t>
  </si>
  <si>
    <t>0                      RC 0552000E  18                 K  37          1996</t>
  </si>
  <si>
    <t>Anatomy of a food addiction : the brain chemistry of overeating : an effective program to overcome compulsive eating / Anne Katherine.</t>
  </si>
  <si>
    <t>Katherine, Anne.</t>
  </si>
  <si>
    <t>Carlsbad, CA : Gürze Books, [1996], c1991.</t>
  </si>
  <si>
    <t>2002-12-09</t>
  </si>
  <si>
    <t>849946549:eng</t>
  </si>
  <si>
    <t>35986626</t>
  </si>
  <si>
    <t>991003931289702656</t>
  </si>
  <si>
    <t>2269049940002656</t>
  </si>
  <si>
    <t>9780936077130</t>
  </si>
  <si>
    <t>32285004668900</t>
  </si>
  <si>
    <t>893343258</t>
  </si>
  <si>
    <t>RC552.E18 R65 1987</t>
  </si>
  <si>
    <t>0                      RC 0552000E  18                 R  65          1987</t>
  </si>
  <si>
    <t>The Role of drug treatments for eating disorders / edited by Paul E. Garfinkel and David M. Garner.</t>
  </si>
  <si>
    <t>Brunner/Mazel eating disorders monograph series</t>
  </si>
  <si>
    <t>8242900:eng</t>
  </si>
  <si>
    <t>15055382</t>
  </si>
  <si>
    <t>991000984289702656</t>
  </si>
  <si>
    <t>2260823880002656</t>
  </si>
  <si>
    <t>9780876304600</t>
  </si>
  <si>
    <t>32285000039627</t>
  </si>
  <si>
    <t>893255912</t>
  </si>
  <si>
    <t>RC552.E18 S37 1990</t>
  </si>
  <si>
    <t>0                      RC 0552000E  18                 S  37          1990</t>
  </si>
  <si>
    <t>Eating disorders : assessment and treatment / David G. Schlundt, William G. Johnson.</t>
  </si>
  <si>
    <t>Schlundt, David G.</t>
  </si>
  <si>
    <t>Boston : Allyn and Bacon, c1990.</t>
  </si>
  <si>
    <t>2006-11-03</t>
  </si>
  <si>
    <t>1994-07-22</t>
  </si>
  <si>
    <t>427575738:eng</t>
  </si>
  <si>
    <t>20133529</t>
  </si>
  <si>
    <t>991001543119702656</t>
  </si>
  <si>
    <t>2261247130002656</t>
  </si>
  <si>
    <t>9780205120864</t>
  </si>
  <si>
    <t>32285001932846</t>
  </si>
  <si>
    <t>893891632</t>
  </si>
  <si>
    <t>RC552.E18 S54 1997</t>
  </si>
  <si>
    <t>0                      RC 0552000E  18                 S  54          1997</t>
  </si>
  <si>
    <t>Surviving an eating disorder : strategies for family and friends / Michele Siegel, Judith Brisman, Margot Weinshel.</t>
  </si>
  <si>
    <t>Siegel, Michele.</t>
  </si>
  <si>
    <t>New York, NY : HarperPerennial, 1997.</t>
  </si>
  <si>
    <t>Rev. and updated.</t>
  </si>
  <si>
    <t>2287735862:eng</t>
  </si>
  <si>
    <t>35331272</t>
  </si>
  <si>
    <t>991003930789702656</t>
  </si>
  <si>
    <t>2262679210002656</t>
  </si>
  <si>
    <t>9780060952334</t>
  </si>
  <si>
    <t>32285004663901</t>
  </si>
  <si>
    <t>893519048</t>
  </si>
  <si>
    <t>RC552.E18 S64 1992</t>
  </si>
  <si>
    <t>0                      RC 0552000E  18                 S  64          1992</t>
  </si>
  <si>
    <t>Special problems in managing eating disorders / edited by Joel Yager, Harry E. Gwirtsman, Carole K. Edelstein.</t>
  </si>
  <si>
    <t>Washington, DC : American Psychiatric Press, c1992.</t>
  </si>
  <si>
    <t>Clinical practice ; no. 20</t>
  </si>
  <si>
    <t>2008-03-30</t>
  </si>
  <si>
    <t>349908519:eng</t>
  </si>
  <si>
    <t>23287547</t>
  </si>
  <si>
    <t>991001856759702656</t>
  </si>
  <si>
    <t>2272158680002656</t>
  </si>
  <si>
    <t>9780880484572</t>
  </si>
  <si>
    <t>32285000866136</t>
  </si>
  <si>
    <t>893772969</t>
  </si>
  <si>
    <t>RC552.E18 T46 1993</t>
  </si>
  <si>
    <t>0                      RC 0552000E  18                 T  46          1993</t>
  </si>
  <si>
    <t>Helping athletes with eating disorders / Ron A. Thompson, Roberta Trattner Sherman.</t>
  </si>
  <si>
    <t>Thompson, Ron A.</t>
  </si>
  <si>
    <t>Champaign, IL : Human Kinetics Publishers, 1993.</t>
  </si>
  <si>
    <t>2005-09-29</t>
  </si>
  <si>
    <t>1993-08-09</t>
  </si>
  <si>
    <t>28676782:eng</t>
  </si>
  <si>
    <t>25873994</t>
  </si>
  <si>
    <t>991002032659702656</t>
  </si>
  <si>
    <t>2269323990002656</t>
  </si>
  <si>
    <t>9780873223836</t>
  </si>
  <si>
    <t>32285001725158</t>
  </si>
  <si>
    <t>893621835</t>
  </si>
  <si>
    <t>RC552.F42 L35 2002</t>
  </si>
  <si>
    <t>0                      RC 0552000F  42                 L  35          2002</t>
  </si>
  <si>
    <t>Choices for living : coping with fear of dying / Thomas S. Langner.</t>
  </si>
  <si>
    <t>Langner, Thomas S.</t>
  </si>
  <si>
    <t>New York : Kluwer Academic/Plenum Publishers, c2002.</t>
  </si>
  <si>
    <t>PATH in psychology</t>
  </si>
  <si>
    <t>2006-06-27</t>
  </si>
  <si>
    <t>2003-03-20</t>
  </si>
  <si>
    <t>793911973:eng</t>
  </si>
  <si>
    <t>46394821</t>
  </si>
  <si>
    <t>991003989129702656</t>
  </si>
  <si>
    <t>2269338630002656</t>
  </si>
  <si>
    <t>9780306466076</t>
  </si>
  <si>
    <t>32285004685870</t>
  </si>
  <si>
    <t>893259184</t>
  </si>
  <si>
    <t>RC552.F43 K78 1984</t>
  </si>
  <si>
    <t>0                      RC 0552000F  43                 K  78          1984</t>
  </si>
  <si>
    <t>Success and the fear of success in women / David W. Krueger.</t>
  </si>
  <si>
    <t>New York : Free Press, c1984.</t>
  </si>
  <si>
    <t>3610628:eng</t>
  </si>
  <si>
    <t>10099683</t>
  </si>
  <si>
    <t>991000311959702656</t>
  </si>
  <si>
    <t>2265644660002656</t>
  </si>
  <si>
    <t>9780029180402</t>
  </si>
  <si>
    <t>32285001026672</t>
  </si>
  <si>
    <t>893224899</t>
  </si>
  <si>
    <t>RC552.H8 K54 1986</t>
  </si>
  <si>
    <t>0                      RC 0552000H  8                  K  54          1986</t>
  </si>
  <si>
    <t>Social origins of distress and disease : depression, neurasthenia, and pain in modern China / Arthur Kleinman.</t>
  </si>
  <si>
    <t>Kleinman, Arthur.</t>
  </si>
  <si>
    <t>New Haven : Yale University Press, c1986.</t>
  </si>
  <si>
    <t>2008-05-12</t>
  </si>
  <si>
    <t>890388627:eng</t>
  </si>
  <si>
    <t>13010133</t>
  </si>
  <si>
    <t>991000769699702656</t>
  </si>
  <si>
    <t>2261094310002656</t>
  </si>
  <si>
    <t>9780300035414</t>
  </si>
  <si>
    <t>32285000072495</t>
  </si>
  <si>
    <t>893426018</t>
  </si>
  <si>
    <t>RC552.N5 B37 1972</t>
  </si>
  <si>
    <t>0                      RC 0552000N  5                  B  37          1972</t>
  </si>
  <si>
    <t>American nervousness, its causes and consequences : a supplement to Nervous exhaustion (neurasthenia) / introd. by Charles E. Rosenberg.</t>
  </si>
  <si>
    <t>Beard, George M. (George Miller), 1839-1883.</t>
  </si>
  <si>
    <t>New York : Arno Press, 1972 [c1881]</t>
  </si>
  <si>
    <t>Medicine &amp; society in America</t>
  </si>
  <si>
    <t>1993-03-10</t>
  </si>
  <si>
    <t>1445154:eng</t>
  </si>
  <si>
    <t>333907</t>
  </si>
  <si>
    <t>991002394499702656</t>
  </si>
  <si>
    <t>2257215080002656</t>
  </si>
  <si>
    <t>9780405039324</t>
  </si>
  <si>
    <t>32285000427913</t>
  </si>
  <si>
    <t>893445140</t>
  </si>
  <si>
    <t>RC552.O25 C49 1978</t>
  </si>
  <si>
    <t>0                      RC 0552000O  25                 C  49          1978</t>
  </si>
  <si>
    <t>The compulsive overeater : seven steps to thin sanity / by George F. Christians.</t>
  </si>
  <si>
    <t>Christians, George, 1923-</t>
  </si>
  <si>
    <t>Garden City, N.Y. : Doubleday, 1978.</t>
  </si>
  <si>
    <t>11148545:eng</t>
  </si>
  <si>
    <t>3608730</t>
  </si>
  <si>
    <t>991004474659702656</t>
  </si>
  <si>
    <t>2271503230002656</t>
  </si>
  <si>
    <t>9780365140382</t>
  </si>
  <si>
    <t>32285001026656</t>
  </si>
  <si>
    <t>893687772</t>
  </si>
  <si>
    <t>RC552.O25 S78 1987</t>
  </si>
  <si>
    <t>0                      RC 0552000O  25                 S  78          1987</t>
  </si>
  <si>
    <t>Weight, sex, and marriage : a delicate balance / Richard B. Stuart and Barbara Jacobson.</t>
  </si>
  <si>
    <t>Stuart, Richard B.</t>
  </si>
  <si>
    <t>1991-10-29</t>
  </si>
  <si>
    <t>9003847:eng</t>
  </si>
  <si>
    <t>15081849</t>
  </si>
  <si>
    <t>991000985869702656</t>
  </si>
  <si>
    <t>2259037170002656</t>
  </si>
  <si>
    <t>9780393024661</t>
  </si>
  <si>
    <t>32285000803139</t>
  </si>
  <si>
    <t>893438771</t>
  </si>
  <si>
    <t>RC552.P67 B79 2000</t>
  </si>
  <si>
    <t>0                      RC 0552000P  67                 B  79          2000</t>
  </si>
  <si>
    <t>Acute stress disorder : a handbook of theory, assessment, and treatment / Richard A. Bryant and Allison G. Harvey.</t>
  </si>
  <si>
    <t>Bryant, Richard A., 1960-</t>
  </si>
  <si>
    <t>2007-11-15</t>
  </si>
  <si>
    <t>2006-03-07</t>
  </si>
  <si>
    <t>794291215:eng</t>
  </si>
  <si>
    <t>42397263</t>
  </si>
  <si>
    <t>991004761699702656</t>
  </si>
  <si>
    <t>2268059050002656</t>
  </si>
  <si>
    <t>9781557986122</t>
  </si>
  <si>
    <t>32285005183925</t>
  </si>
  <si>
    <t>893500920</t>
  </si>
  <si>
    <t>RC552.P67 E837 2004</t>
  </si>
  <si>
    <t>0                      RC 0552000P  67                 E  837         2004</t>
  </si>
  <si>
    <t>Personality-guided therapy for posttraumatic stress disorder / by George S. Everly, Jr., Jeffrey M. Lating.</t>
  </si>
  <si>
    <t>Everly, George S., Jr., 1950-</t>
  </si>
  <si>
    <t>Personality-guided psychology</t>
  </si>
  <si>
    <t>2010-09-16</t>
  </si>
  <si>
    <t>808594:eng</t>
  </si>
  <si>
    <t>52092072</t>
  </si>
  <si>
    <t>991005052759702656</t>
  </si>
  <si>
    <t>2272330220002656</t>
  </si>
  <si>
    <t>9781591470441</t>
  </si>
  <si>
    <t>32285005284020</t>
  </si>
  <si>
    <t>893236200</t>
  </si>
  <si>
    <t>RC552.P67 M396 2003</t>
  </si>
  <si>
    <t>0                      RC 0552000P  67                 M  396         2003</t>
  </si>
  <si>
    <t>Remembering trauma / Richard J. McNally.</t>
  </si>
  <si>
    <t>Cambridge, Mass. : Belknap Press of Harvard University Press, 2003.</t>
  </si>
  <si>
    <t>2005-05-10</t>
  </si>
  <si>
    <t>932397:eng</t>
  </si>
  <si>
    <t>50604863</t>
  </si>
  <si>
    <t>991004510489702656</t>
  </si>
  <si>
    <t>2263250250002656</t>
  </si>
  <si>
    <t>9780674010826</t>
  </si>
  <si>
    <t>32285005036552</t>
  </si>
  <si>
    <t>893259805</t>
  </si>
  <si>
    <t>RC552.P67 W35 1993</t>
  </si>
  <si>
    <t>0                      RC 0552000P  67                 W  35          1993</t>
  </si>
  <si>
    <t>Trauma and survival : post-traumatic and dissociative disorders in women / Elizabeth A. Waites.</t>
  </si>
  <si>
    <t>Waites, Elizabeth A.</t>
  </si>
  <si>
    <t>New York : Norton, 1993.</t>
  </si>
  <si>
    <t>2006-12-02</t>
  </si>
  <si>
    <t>836868187:eng</t>
  </si>
  <si>
    <t>26935130</t>
  </si>
  <si>
    <t>991002099849702656</t>
  </si>
  <si>
    <t>2262489360002656</t>
  </si>
  <si>
    <t>9780393701500</t>
  </si>
  <si>
    <t>32285001818581</t>
  </si>
  <si>
    <t>893226461</t>
  </si>
  <si>
    <t>RC552.R44 F67 1991</t>
  </si>
  <si>
    <t>0                      RC 0552000R  44                 F  67          1991</t>
  </si>
  <si>
    <t>Obsessive love : when passion holds you prisoner / Susan Forward and Craig Buck.</t>
  </si>
  <si>
    <t>Forward, Susan.</t>
  </si>
  <si>
    <t>New York : Bantam Books, 1991.</t>
  </si>
  <si>
    <t>2005-09-14</t>
  </si>
  <si>
    <t>1151391604:eng</t>
  </si>
  <si>
    <t>22733166</t>
  </si>
  <si>
    <t>991001809999702656</t>
  </si>
  <si>
    <t>2267026490002656</t>
  </si>
  <si>
    <t>9780553073850</t>
  </si>
  <si>
    <t>32285001196376</t>
  </si>
  <si>
    <t>893529252</t>
  </si>
  <si>
    <t>RC552.R44 P43 1994</t>
  </si>
  <si>
    <t>0                      RC 0552000R  44                 P  43          1994</t>
  </si>
  <si>
    <t>Addiction to love : overcoming obsession and dependency in relationships / Susan Peabody.</t>
  </si>
  <si>
    <t>Peabody, Susan, 1948-</t>
  </si>
  <si>
    <t>Berkeley, Calif. : Celestial Arts, c1994.</t>
  </si>
  <si>
    <t>Expanded 2nd ed.</t>
  </si>
  <si>
    <t>2009-12-02</t>
  </si>
  <si>
    <t>18441667:eng</t>
  </si>
  <si>
    <t>30621895</t>
  </si>
  <si>
    <t>991003930489702656</t>
  </si>
  <si>
    <t>2261726570002656</t>
  </si>
  <si>
    <t>9780890877159</t>
  </si>
  <si>
    <t>32285004664636</t>
  </si>
  <si>
    <t>893423165</t>
  </si>
  <si>
    <t>RC552.S4 F38 1981</t>
  </si>
  <si>
    <t>0                      RC 0552000S  4                  F  38          1981</t>
  </si>
  <si>
    <t>How to treat self-injurious behavior / by Judith E. Favell and James W. Greene.</t>
  </si>
  <si>
    <t>Favell, Judith E.</t>
  </si>
  <si>
    <t>Lawrence, Kan. : H &amp; H Enterprises, Inc., c1981.</t>
  </si>
  <si>
    <t>2005-10-28</t>
  </si>
  <si>
    <t>547084:eng</t>
  </si>
  <si>
    <t>7823143</t>
  </si>
  <si>
    <t>991001797919702656</t>
  </si>
  <si>
    <t>2254814990002656</t>
  </si>
  <si>
    <t>9780890790557</t>
  </si>
  <si>
    <t>32285001026649</t>
  </si>
  <si>
    <t>893803912</t>
  </si>
  <si>
    <t>RC552.S4 H95 1999</t>
  </si>
  <si>
    <t>0                      RC 0552000S  4                  H  95          1999</t>
  </si>
  <si>
    <t>Women living with self-injury / Jane Wegscheider Hyman.</t>
  </si>
  <si>
    <t>Hyman, Jane Wegscheider.</t>
  </si>
  <si>
    <t>Philadelphia : Temple University Press, 1999.</t>
  </si>
  <si>
    <t>2009-07-27</t>
  </si>
  <si>
    <t>1050681:eng</t>
  </si>
  <si>
    <t>40776847</t>
  </si>
  <si>
    <t>991003298549702656</t>
  </si>
  <si>
    <t>2259426130002656</t>
  </si>
  <si>
    <t>9781566397209</t>
  </si>
  <si>
    <t>32285003768313</t>
  </si>
  <si>
    <t>893348525</t>
  </si>
  <si>
    <t>RC552.S4 W35 1988</t>
  </si>
  <si>
    <t>0                      RC 0552000S  4                  W  35          1988</t>
  </si>
  <si>
    <t>Self-mutilation : theory, research, and treatment / by Barent W. Walsh, Paul M. Rosen.</t>
  </si>
  <si>
    <t>Walsh, Barent W.</t>
  </si>
  <si>
    <t>2008-09-16</t>
  </si>
  <si>
    <t>373828009:eng</t>
  </si>
  <si>
    <t>17548514</t>
  </si>
  <si>
    <t>991001232849702656</t>
  </si>
  <si>
    <t>2269359280002656</t>
  </si>
  <si>
    <t>9780898627312</t>
  </si>
  <si>
    <t>32285000209220</t>
  </si>
  <si>
    <t>893696594</t>
  </si>
  <si>
    <t>RC552.S62 B45 2007</t>
  </si>
  <si>
    <t>0                      RC 0552000S  62                 B  45          2007</t>
  </si>
  <si>
    <t>Shy children, phobic adults : nature and treatment of social anxiety disorder / Deborah C. Beidel, Samuel M. Turner.</t>
  </si>
  <si>
    <t>Beidel, Deborah C.</t>
  </si>
  <si>
    <t>Washington, D.C. : American Psychological Association, c2007.</t>
  </si>
  <si>
    <t>3980175166:eng</t>
  </si>
  <si>
    <t>65195324</t>
  </si>
  <si>
    <t>991005199919702656</t>
  </si>
  <si>
    <t>2264424470002656</t>
  </si>
  <si>
    <t>9781591474524</t>
  </si>
  <si>
    <t>32285005400592</t>
  </si>
  <si>
    <t>893606994</t>
  </si>
  <si>
    <t>RC552.S66 W662 2007</t>
  </si>
  <si>
    <t>0                      RC 0552000S  66                 W  662         2007</t>
  </si>
  <si>
    <t>Treating somatization : a cognitive-behavioral approach / Robert L. Woolfolk, Lesley A. Allen.</t>
  </si>
  <si>
    <t>Woolfolk, Robert L.</t>
  </si>
  <si>
    <t>2010-10-05</t>
  </si>
  <si>
    <t>803015829:eng</t>
  </si>
  <si>
    <t>66524998</t>
  </si>
  <si>
    <t>991000153649702656</t>
  </si>
  <si>
    <t>2272773540002656</t>
  </si>
  <si>
    <t>9781593853501</t>
  </si>
  <si>
    <t>32285005598387</t>
  </si>
  <si>
    <t>893607703</t>
  </si>
  <si>
    <t>RC552.S69 T46 1997</t>
  </si>
  <si>
    <t>0                      RC 0552000S  69                 T  46          1997</t>
  </si>
  <si>
    <t>Public speaking anxiety : how to face the fear / L. Todd Thomas.</t>
  </si>
  <si>
    <t>Thomas, L. Todd.</t>
  </si>
  <si>
    <t>Fort Worth : Harcourt Brace College, c1997.</t>
  </si>
  <si>
    <t>586921:eng</t>
  </si>
  <si>
    <t>36433529</t>
  </si>
  <si>
    <t>991005349069702656</t>
  </si>
  <si>
    <t>2265530310002656</t>
  </si>
  <si>
    <t>9780030182433</t>
  </si>
  <si>
    <t>32285005556153</t>
  </si>
  <si>
    <t>893514468</t>
  </si>
  <si>
    <t>RC552.T7 D39 2000</t>
  </si>
  <si>
    <t>0                      RC 0552000T  7                  D  39          2000</t>
  </si>
  <si>
    <t>Trauma and addiction : ending the cycle of pain through emotional literacy / Tian Dayton.</t>
  </si>
  <si>
    <t>Dayton, Tian.</t>
  </si>
  <si>
    <t>Deerfield Beach, Fla. : Health Communication, c2000.</t>
  </si>
  <si>
    <t>4764567223:eng</t>
  </si>
  <si>
    <t>43481761</t>
  </si>
  <si>
    <t>991003933799702656</t>
  </si>
  <si>
    <t>2268434250002656</t>
  </si>
  <si>
    <t>9781558747517</t>
  </si>
  <si>
    <t>32285004663703</t>
  </si>
  <si>
    <t>893810269</t>
  </si>
  <si>
    <t>RC553.D34 G54 1989</t>
  </si>
  <si>
    <t>0                      RC 0553000D  34                 G  54          1989</t>
  </si>
  <si>
    <t>Private terror/public life : psychosis and the politics of community / James M. Glass.</t>
  </si>
  <si>
    <t>Ithaca, N.Y. : Cornell University Press, 1989.</t>
  </si>
  <si>
    <t>2004-10-29</t>
  </si>
  <si>
    <t>1991-01-22</t>
  </si>
  <si>
    <t>21199625:eng</t>
  </si>
  <si>
    <t>19456718</t>
  </si>
  <si>
    <t>991001462429702656</t>
  </si>
  <si>
    <t>2270004990002656</t>
  </si>
  <si>
    <t>9780801423000</t>
  </si>
  <si>
    <t>32285000460013</t>
  </si>
  <si>
    <t>893715467</t>
  </si>
  <si>
    <t>RC553.D5 H54 1986</t>
  </si>
  <si>
    <t>0                      RC 0553000D  5                  H  54          1986</t>
  </si>
  <si>
    <t>Divided consciousness : multiple controls in human thought and action / Ernest R. Hilgard.</t>
  </si>
  <si>
    <t>Expanded ed.</t>
  </si>
  <si>
    <t>Wiley series in behavior</t>
  </si>
  <si>
    <t>1073162180:eng</t>
  </si>
  <si>
    <t>13120999</t>
  </si>
  <si>
    <t>991000783319702656</t>
  </si>
  <si>
    <t>2257120820002656</t>
  </si>
  <si>
    <t>9780471805724</t>
  </si>
  <si>
    <t>32285000841535</t>
  </si>
  <si>
    <t>893595877</t>
  </si>
  <si>
    <t>RC553.D5 M33</t>
  </si>
  <si>
    <t>0                      RC 0553000D  5                  M  33</t>
  </si>
  <si>
    <t>Mindsplit : the psychology of multiple personality and the dissociated self / Peter McKellar.</t>
  </si>
  <si>
    <t>McKellar, Peter.</t>
  </si>
  <si>
    <t>London : Dent, 1979.</t>
  </si>
  <si>
    <t>487090:eng</t>
  </si>
  <si>
    <t>6356084</t>
  </si>
  <si>
    <t>991004969029702656</t>
  </si>
  <si>
    <t>2255486740002656</t>
  </si>
  <si>
    <t>9780460043489</t>
  </si>
  <si>
    <t>32285000824952</t>
  </si>
  <si>
    <t>893418210</t>
  </si>
  <si>
    <t>RC553.F83 H33 1998</t>
  </si>
  <si>
    <t>0                      RC 0553000F  83                 H  33          1998</t>
  </si>
  <si>
    <t>Mad travelers : reflections on the reality of transient mental illnesses / Ian Hacking.</t>
  </si>
  <si>
    <t>Hacking, Ian.</t>
  </si>
  <si>
    <t>Charlottesville, Va. : University Press of Virginia, 1998.</t>
  </si>
  <si>
    <t>2009-05-01</t>
  </si>
  <si>
    <t>1999-09-30</t>
  </si>
  <si>
    <t>799393869:eng</t>
  </si>
  <si>
    <t>38976248</t>
  </si>
  <si>
    <t>991002931149702656</t>
  </si>
  <si>
    <t>2263232020002656</t>
  </si>
  <si>
    <t>9780813918235</t>
  </si>
  <si>
    <t>32285003591897</t>
  </si>
  <si>
    <t>893780412</t>
  </si>
  <si>
    <t>RC553.H3 A44 2008</t>
  </si>
  <si>
    <t>0                      RC 0553000H  3                  A  44          2008</t>
  </si>
  <si>
    <t>Hallucinations : the science of idiosyncratic perception / André Aleman and Frank Larøi.</t>
  </si>
  <si>
    <t>Aleman, André.</t>
  </si>
  <si>
    <t>Washington, DC : American Psychological Association, c2008.</t>
  </si>
  <si>
    <t>892604107:eng</t>
  </si>
  <si>
    <t>164803073</t>
  </si>
  <si>
    <t>991005375569702656</t>
  </si>
  <si>
    <t>2259024940002656</t>
  </si>
  <si>
    <t>9781433803116</t>
  </si>
  <si>
    <t>32285005579205</t>
  </si>
  <si>
    <t>893796112</t>
  </si>
  <si>
    <t>RC553.N36 J64 1987</t>
  </si>
  <si>
    <t>0                      RC 0553000N  36                 J  64          1987</t>
  </si>
  <si>
    <t>Humanizing the narcissistic style / Stephen M. Johnson.</t>
  </si>
  <si>
    <t>Johnson, Stephen M.</t>
  </si>
  <si>
    <t>New York : W.W. Norton, c1987.</t>
  </si>
  <si>
    <t>9070737:eng</t>
  </si>
  <si>
    <t>15132683</t>
  </si>
  <si>
    <t>991005196799702656</t>
  </si>
  <si>
    <t>2255094270002656</t>
  </si>
  <si>
    <t>9780393700374</t>
  </si>
  <si>
    <t>32285005398002</t>
  </si>
  <si>
    <t>893424712</t>
  </si>
  <si>
    <t>RC554 .A8</t>
  </si>
  <si>
    <t>0                      RC 0554000A  8</t>
  </si>
  <si>
    <t>Ego development and the personality disorders; a developmental approach to psychopathology.</t>
  </si>
  <si>
    <t>New York, Grune &amp; Stratton, 1952.</t>
  </si>
  <si>
    <t>2000-03-28</t>
  </si>
  <si>
    <t>1663908:eng</t>
  </si>
  <si>
    <t>615242</t>
  </si>
  <si>
    <t>991001785389702656</t>
  </si>
  <si>
    <t>2267414250002656</t>
  </si>
  <si>
    <t>32285003092466</t>
  </si>
  <si>
    <t>893522843</t>
  </si>
  <si>
    <t>RC554 .B45 1996</t>
  </si>
  <si>
    <t>0                      RC 0554000B  45          1996</t>
  </si>
  <si>
    <t>Interpersonal diagnosis and treatment of personality disorders / Lorna Smith Benjamin ; foreword by Allen Frances.</t>
  </si>
  <si>
    <t>Benjamin, Lorna Smith.</t>
  </si>
  <si>
    <t>Diagnosis and treatment of mental disorders</t>
  </si>
  <si>
    <t>2008-10-24</t>
  </si>
  <si>
    <t>783179:eng</t>
  </si>
  <si>
    <t>33246778</t>
  </si>
  <si>
    <t>991002558839702656</t>
  </si>
  <si>
    <t>2259435340002656</t>
  </si>
  <si>
    <t>9781572300606</t>
  </si>
  <si>
    <t>32285002386349</t>
  </si>
  <si>
    <t>893792601</t>
  </si>
  <si>
    <t>RC554 .F54</t>
  </si>
  <si>
    <t>0                      RC 0554000F  54</t>
  </si>
  <si>
    <t>An introduction to deviance; readings in the process of making deviants. Edited by William J. Filstead.</t>
  </si>
  <si>
    <t>Filstead, William J. compiler.</t>
  </si>
  <si>
    <t>Chicago, Markham Pub. Co. [1972]</t>
  </si>
  <si>
    <t>Markham sociology series</t>
  </si>
  <si>
    <t>2009-11-10</t>
  </si>
  <si>
    <t>1366850:eng</t>
  </si>
  <si>
    <t>309274</t>
  </si>
  <si>
    <t>991002273399702656</t>
  </si>
  <si>
    <t>2264734170002656</t>
  </si>
  <si>
    <t>9780841040441</t>
  </si>
  <si>
    <t>32285003092474</t>
  </si>
  <si>
    <t>893347312</t>
  </si>
  <si>
    <t>RC554 .K38</t>
  </si>
  <si>
    <t>0                      RC 0554000K  38</t>
  </si>
  <si>
    <t>The divided woman / [by] Sidney Katz. With the assistance of Lionel Solursh and Jane Loring.</t>
  </si>
  <si>
    <t>Katz, Sidney M., 1928-</t>
  </si>
  <si>
    <t>Don Mills, Ont. : General Pub. Co., [1973]</t>
  </si>
  <si>
    <t>2004-02-27</t>
  </si>
  <si>
    <t>2074807:eng</t>
  </si>
  <si>
    <t>1148323</t>
  </si>
  <si>
    <t>991003572659702656</t>
  </si>
  <si>
    <t>2261197930002656</t>
  </si>
  <si>
    <t>9780773600232</t>
  </si>
  <si>
    <t>32285000760255</t>
  </si>
  <si>
    <t>893721984</t>
  </si>
  <si>
    <t>RC554 .K47 1984</t>
  </si>
  <si>
    <t>0                      RC 0554000K  47          1984</t>
  </si>
  <si>
    <t>Severe personality disorders : psychotherapeutic strategies / Otto Kernberg.</t>
  </si>
  <si>
    <t>Kernberg, Otto F., 1928-</t>
  </si>
  <si>
    <t>New Haven : Yale University Press, c1984.</t>
  </si>
  <si>
    <t>2005-10-25</t>
  </si>
  <si>
    <t>329782:eng</t>
  </si>
  <si>
    <t>10724142</t>
  </si>
  <si>
    <t>991000415229702656</t>
  </si>
  <si>
    <t>2263128720002656</t>
  </si>
  <si>
    <t>9780300032734</t>
  </si>
  <si>
    <t>32285000180173</t>
  </si>
  <si>
    <t>893689672</t>
  </si>
  <si>
    <t>RC554 .L55 1986</t>
  </si>
  <si>
    <t>0                      RC 0554000L  55          1986</t>
  </si>
  <si>
    <t>Personality disorders : diagnosis and management/ John R. Lion.</t>
  </si>
  <si>
    <t>Lion, John R., 1938-</t>
  </si>
  <si>
    <t>Malabar, Fla. : R.E. Krieger, 1986, c1981.</t>
  </si>
  <si>
    <t>2nd ed., rev. for DSM III.</t>
  </si>
  <si>
    <t>1823807:eng</t>
  </si>
  <si>
    <t>10777579</t>
  </si>
  <si>
    <t>991000429349702656</t>
  </si>
  <si>
    <t>2265322680002656</t>
  </si>
  <si>
    <t>9780898747683</t>
  </si>
  <si>
    <t>32285000066034</t>
  </si>
  <si>
    <t>893431937</t>
  </si>
  <si>
    <t>RC554 .P37</t>
  </si>
  <si>
    <t>0                      RC 0554000P  37</t>
  </si>
  <si>
    <t>Violence and victims / edited by Stefan A. Pasternack.</t>
  </si>
  <si>
    <t>Pasternack, Stefan A.</t>
  </si>
  <si>
    <t>New York : Spectrum Publications ; distributed by Halsted Press, [1974, c1975]</t>
  </si>
  <si>
    <t>1929256:eng</t>
  </si>
  <si>
    <t>1009475</t>
  </si>
  <si>
    <t>991003468159702656</t>
  </si>
  <si>
    <t>2263768000002656</t>
  </si>
  <si>
    <t>9780470669211</t>
  </si>
  <si>
    <t>32285000760263</t>
  </si>
  <si>
    <t>893252391</t>
  </si>
  <si>
    <t>RC554 .P47 1986</t>
  </si>
  <si>
    <t>0                      RC 0554000P  47          1986</t>
  </si>
  <si>
    <t>The Personality disorders and neuroses / [edited by] Arnold M. Cooper, Allen J. Frances, Michael H. Sacks.</t>
  </si>
  <si>
    <t>Psychiatry series ; v. 1</t>
  </si>
  <si>
    <t>2007-06-29</t>
  </si>
  <si>
    <t>430189428:eng</t>
  </si>
  <si>
    <t>13760024</t>
  </si>
  <si>
    <t>991001760859702656</t>
  </si>
  <si>
    <t>2266355820002656</t>
  </si>
  <si>
    <t>9780397508105</t>
  </si>
  <si>
    <t>32285000802024</t>
  </si>
  <si>
    <t>893885517</t>
  </si>
  <si>
    <t>RC554 .W4</t>
  </si>
  <si>
    <t>0                      RC 0554000W  4</t>
  </si>
  <si>
    <t>Society and personality disorders.</t>
  </si>
  <si>
    <t>Weinberg, S. Kirson (Samuel Kirson), 1912-2001.</t>
  </si>
  <si>
    <t>New York, Prentice-Hall [c1952]</t>
  </si>
  <si>
    <t>Prentice-Hall sociology series</t>
  </si>
  <si>
    <t>377408365:eng</t>
  </si>
  <si>
    <t>1620047</t>
  </si>
  <si>
    <t>991003841999702656</t>
  </si>
  <si>
    <t>2267129480002656</t>
  </si>
  <si>
    <t>32285003092490</t>
  </si>
  <si>
    <t>893623975</t>
  </si>
  <si>
    <t>RC555 .G65 1996</t>
  </si>
  <si>
    <t>0                      RC 0555000G  65          1996</t>
  </si>
  <si>
    <t>Speaking with the devil : a dialogue with evil / Carl Goldberg.</t>
  </si>
  <si>
    <t>New York, N.Y., U.S.A. : Viking, 1996.</t>
  </si>
  <si>
    <t>1997-11-24</t>
  </si>
  <si>
    <t>288269123:eng</t>
  </si>
  <si>
    <t>32891893</t>
  </si>
  <si>
    <t>991002530049702656</t>
  </si>
  <si>
    <t>2256875690002656</t>
  </si>
  <si>
    <t>9780670855575</t>
  </si>
  <si>
    <t>32285003273322</t>
  </si>
  <si>
    <t>893786258</t>
  </si>
  <si>
    <t>RC555 .G8313 1980</t>
  </si>
  <si>
    <t>0                      RC 0555000G  8313        1980</t>
  </si>
  <si>
    <t>Eros on crutches : on the nature of the psychopath / Adolf Guggenbühl-Craig ; translated from the German by Gary V. Hartman ; [edited by Mary Helen Gray].</t>
  </si>
  <si>
    <t>Guggenbühl-Craig, Adolf.</t>
  </si>
  <si>
    <t>Dallas, Tex. : Spring Publications, c1980, 1986 printing.</t>
  </si>
  <si>
    <t>1992-03-30</t>
  </si>
  <si>
    <t>3768468093:eng</t>
  </si>
  <si>
    <t>14520973</t>
  </si>
  <si>
    <t>991000945439702656</t>
  </si>
  <si>
    <t>2261946000002656</t>
  </si>
  <si>
    <t>9780882143156</t>
  </si>
  <si>
    <t>32285001041606</t>
  </si>
  <si>
    <t>893791012</t>
  </si>
  <si>
    <t>RC555 .H37</t>
  </si>
  <si>
    <t>0                      RC 0555000H  37</t>
  </si>
  <si>
    <t>Psychopaths.</t>
  </si>
  <si>
    <t>Harrington, Alan, 1919-</t>
  </si>
  <si>
    <t>New York : Simon and Schuster, [1972]</t>
  </si>
  <si>
    <t>1421336:eng</t>
  </si>
  <si>
    <t>364048</t>
  </si>
  <si>
    <t>991002498239702656</t>
  </si>
  <si>
    <t>2263036500002656</t>
  </si>
  <si>
    <t>9780671211929</t>
  </si>
  <si>
    <t>32285000760271</t>
  </si>
  <si>
    <t>893603667</t>
  </si>
  <si>
    <t>RC555 .K36 2006</t>
  </si>
  <si>
    <t>0                      RC 0555000K  36          2006</t>
  </si>
  <si>
    <t>The psychopathy of everyday life : how antisocial personality disorder affects all of us / Martin Kantor.</t>
  </si>
  <si>
    <t>Westport, Conn. : Praeger, 2006.</t>
  </si>
  <si>
    <t>2010-10-06</t>
  </si>
  <si>
    <t>802081196:eng</t>
  </si>
  <si>
    <t>67869943</t>
  </si>
  <si>
    <t>991005212119702656</t>
  </si>
  <si>
    <t>2265598880002656</t>
  </si>
  <si>
    <t>9780275987985</t>
  </si>
  <si>
    <t>32285005406540</t>
  </si>
  <si>
    <t>893332610</t>
  </si>
  <si>
    <t>RC555 .L95 1995</t>
  </si>
  <si>
    <t>0                      RC 0555000L  95          1995</t>
  </si>
  <si>
    <t>The antisocial personalities / David T. Lykken.</t>
  </si>
  <si>
    <t>Lykken, David Thoreson.</t>
  </si>
  <si>
    <t>Hillsdale, N.J. : Lawrence Erlbaum Associates, 1995.</t>
  </si>
  <si>
    <t>1996-01-10</t>
  </si>
  <si>
    <t>479042671:eng</t>
  </si>
  <si>
    <t>32236181</t>
  </si>
  <si>
    <t>991002475279702656</t>
  </si>
  <si>
    <t>2266420920002656</t>
  </si>
  <si>
    <t>9780805819410</t>
  </si>
  <si>
    <t>32285002089810</t>
  </si>
  <si>
    <t>893779863</t>
  </si>
  <si>
    <t>RC555 .S3</t>
  </si>
  <si>
    <t>0                      RC 0555000S  3</t>
  </si>
  <si>
    <t>Emotion, obesity, and crime.</t>
  </si>
  <si>
    <t>Schachter, Stanley, 1922-1997.</t>
  </si>
  <si>
    <t>New York, Academic Press, 1971.</t>
  </si>
  <si>
    <t>Social psychology</t>
  </si>
  <si>
    <t>2003-10-30</t>
  </si>
  <si>
    <t>835843624:eng</t>
  </si>
  <si>
    <t>160712</t>
  </si>
  <si>
    <t>991000917249702656</t>
  </si>
  <si>
    <t>2267362030002656</t>
  </si>
  <si>
    <t>9780126213508</t>
  </si>
  <si>
    <t>32285003168928</t>
  </si>
  <si>
    <t>893803169</t>
  </si>
  <si>
    <t>RC555 .U55 1986</t>
  </si>
  <si>
    <t>0                      RC 0555000U  55          1986</t>
  </si>
  <si>
    <t>Unmasking the psychopath : antisocial personality and related syndromes / edited by William H. Reid ... [et al.].</t>
  </si>
  <si>
    <t>2005-10-24</t>
  </si>
  <si>
    <t>1992-01-08</t>
  </si>
  <si>
    <t>906399619:eng</t>
  </si>
  <si>
    <t>13093493</t>
  </si>
  <si>
    <t>991000778629702656</t>
  </si>
  <si>
    <t>2269667980002656</t>
  </si>
  <si>
    <t>9780393700251</t>
  </si>
  <si>
    <t>32285000884238</t>
  </si>
  <si>
    <t>893614493</t>
  </si>
  <si>
    <t>RC555 .V5613 2001</t>
  </si>
  <si>
    <t>0                      RC 0555000V  5613        2001</t>
  </si>
  <si>
    <t>Violence and psychopathy / edited by Adrian Raine, José Sanmartín.</t>
  </si>
  <si>
    <t>Violencia y psicopatía. English.</t>
  </si>
  <si>
    <t>New York : Kluwer Academic/Plenum, c2001.</t>
  </si>
  <si>
    <t>2007-02-05</t>
  </si>
  <si>
    <t>2003-09-11</t>
  </si>
  <si>
    <t>394739605:eng</t>
  </si>
  <si>
    <t>47270595</t>
  </si>
  <si>
    <t>991004121329702656</t>
  </si>
  <si>
    <t>2262684370002656</t>
  </si>
  <si>
    <t>9780306466694</t>
  </si>
  <si>
    <t>32285004795638</t>
  </si>
  <si>
    <t>893810365</t>
  </si>
  <si>
    <t>RC556 .A55 1974</t>
  </si>
  <si>
    <t>0                      RC 0556000A  55          1974</t>
  </si>
  <si>
    <t>The behavioral treatment of sexual problems / Jack S. Annon. --</t>
  </si>
  <si>
    <t>Annon, Jack S., 1929-</t>
  </si>
  <si>
    <t>Honolulu, Hawaii : Enabling Systems, [1974]</t>
  </si>
  <si>
    <t>1992-11-29</t>
  </si>
  <si>
    <t>3372113343:eng</t>
  </si>
  <si>
    <t>1711496</t>
  </si>
  <si>
    <t>991003878039702656</t>
  </si>
  <si>
    <t>2268876840002656</t>
  </si>
  <si>
    <t>32285001383891</t>
  </si>
  <si>
    <t>893810235</t>
  </si>
  <si>
    <t>RC556 .A6</t>
  </si>
  <si>
    <t>0                      RC 0556000A  6</t>
  </si>
  <si>
    <t>Applications of hypnosis in sex therapy / [edited] by Hugo G. Beigel and Warren R. Johnson.</t>
  </si>
  <si>
    <t>1995-09-13</t>
  </si>
  <si>
    <t>425684515:eng</t>
  </si>
  <si>
    <t>5264552</t>
  </si>
  <si>
    <t>991004808739702656</t>
  </si>
  <si>
    <t>2259137800002656</t>
  </si>
  <si>
    <t>9780398039653</t>
  </si>
  <si>
    <t>32285001607422</t>
  </si>
  <si>
    <t>893248004</t>
  </si>
  <si>
    <t>RC556 .A7</t>
  </si>
  <si>
    <t>0                      RC 0556000A  7</t>
  </si>
  <si>
    <t>Treating psychosexual dysfunction / [by] Ben N. Ard, Jr.</t>
  </si>
  <si>
    <t>Ard, Ben N.</t>
  </si>
  <si>
    <t>New York : J. Aronson, [1974]</t>
  </si>
  <si>
    <t>1755443:eng</t>
  </si>
  <si>
    <t>834849</t>
  </si>
  <si>
    <t>991003311079702656</t>
  </si>
  <si>
    <t>2267399520002656</t>
  </si>
  <si>
    <t>9780876681138</t>
  </si>
  <si>
    <t>32285001383883</t>
  </si>
  <si>
    <t>893511817</t>
  </si>
  <si>
    <t>RC556 .E76 1985</t>
  </si>
  <si>
    <t>0                      RC 0556000E  76          1985</t>
  </si>
  <si>
    <t>Erotic preference, gender identity, and aggression in men : new research studies / edited by Ron Langevin.</t>
  </si>
  <si>
    <t>Hillsdale, N.J. : L. Erlbaum Associates, 1985.</t>
  </si>
  <si>
    <t>1995-04-19</t>
  </si>
  <si>
    <t>1992-03-10</t>
  </si>
  <si>
    <t>906336047:eng</t>
  </si>
  <si>
    <t>11067586</t>
  </si>
  <si>
    <t>991000483869702656</t>
  </si>
  <si>
    <t>2260937530002656</t>
  </si>
  <si>
    <t>9780898594454</t>
  </si>
  <si>
    <t>32285000996362</t>
  </si>
  <si>
    <t>893255460</t>
  </si>
  <si>
    <t>RC556 .G73 1979</t>
  </si>
  <si>
    <t>0                      RC 0556000G  73          1979</t>
  </si>
  <si>
    <t>Human sexuality : a health practitioner's text / edited by Richard Green ; with 25 contributors.</t>
  </si>
  <si>
    <t>Green, Richard, 1936-2019.</t>
  </si>
  <si>
    <t>Baltimore : Williams &amp; Wilkins Co., c1979.</t>
  </si>
  <si>
    <t>1998-09-05</t>
  </si>
  <si>
    <t>2001-09-30</t>
  </si>
  <si>
    <t>432526:eng</t>
  </si>
  <si>
    <t>4076342</t>
  </si>
  <si>
    <t>991001765899702656</t>
  </si>
  <si>
    <t>2262939610002656</t>
  </si>
  <si>
    <t>9780683037647</t>
  </si>
  <si>
    <t>32285000034149</t>
  </si>
  <si>
    <t>893244388</t>
  </si>
  <si>
    <t>RC556 .H37</t>
  </si>
  <si>
    <t>0                      RC 0556000H  37</t>
  </si>
  <si>
    <t>Treatment of sexual dysfunction; a bio-psycho-social approach [by] William E. Hartman [and] Marilyn A. Fithian.</t>
  </si>
  <si>
    <t>Hartman, William E., 1919-</t>
  </si>
  <si>
    <t>Long Beach, Calif., Center for Marital and Sexual Studies, [1972]</t>
  </si>
  <si>
    <t>2009-10-15</t>
  </si>
  <si>
    <t>9021011608:eng</t>
  </si>
  <si>
    <t>540046</t>
  </si>
  <si>
    <t>991002953219702656</t>
  </si>
  <si>
    <t>2270252750002656</t>
  </si>
  <si>
    <t>9780960062614</t>
  </si>
  <si>
    <t>32285003092508</t>
  </si>
  <si>
    <t>893809745</t>
  </si>
  <si>
    <t>RC556 .H67 1987</t>
  </si>
  <si>
    <t>0                      RC 0556000H  67          1987</t>
  </si>
  <si>
    <t>Hope &amp; recovery : a twelve step guide to healing from compulsive sexual behavior.</t>
  </si>
  <si>
    <t>Minneapolis, Minn. : CompCare Publishers, c1987.</t>
  </si>
  <si>
    <t>55871660:eng</t>
  </si>
  <si>
    <t>15427554</t>
  </si>
  <si>
    <t>991001024119702656</t>
  </si>
  <si>
    <t>2262269110002656</t>
  </si>
  <si>
    <t>9780896381025</t>
  </si>
  <si>
    <t>32285000802032</t>
  </si>
  <si>
    <t>893237814</t>
  </si>
  <si>
    <t>RC556 .K319 1979</t>
  </si>
  <si>
    <t>0                      RC 0556000K  319         1979</t>
  </si>
  <si>
    <t>Disorders of sexual desire and other new concepts and techniques in sex therapy / Helen Singer Kaplan.</t>
  </si>
  <si>
    <t>Kaplan, Helen Singer, 1929-1995.</t>
  </si>
  <si>
    <t>New York : Simon and Schuster, c1979.</t>
  </si>
  <si>
    <t>12454846:eng</t>
  </si>
  <si>
    <t>6105673</t>
  </si>
  <si>
    <t>991004932149702656</t>
  </si>
  <si>
    <t>2259246360002656</t>
  </si>
  <si>
    <t>9780671253622</t>
  </si>
  <si>
    <t>32285001607430</t>
  </si>
  <si>
    <t>893612920</t>
  </si>
  <si>
    <t>RC556 .K3193 1983</t>
  </si>
  <si>
    <t>0                      RC 0556000K  3193        1983</t>
  </si>
  <si>
    <t>The evaluation of sexual disorders : psychological and medical aspects / Helen Singer Kaplan ; with chapters by Melvin Horwith ... [et al.].</t>
  </si>
  <si>
    <t>New York : Brunner/Mazel, c1983.</t>
  </si>
  <si>
    <t>929818:eng</t>
  </si>
  <si>
    <t>9282538</t>
  </si>
  <si>
    <t>991000164699702656</t>
  </si>
  <si>
    <t>2259972350002656</t>
  </si>
  <si>
    <t>9780876302101</t>
  </si>
  <si>
    <t>32285001066595</t>
  </si>
  <si>
    <t>893689486</t>
  </si>
  <si>
    <t>RC556 .K33</t>
  </si>
  <si>
    <t>0                      RC 0556000K  33</t>
  </si>
  <si>
    <t>The new sex therapy : active treatment of sexual dysfunctions.</t>
  </si>
  <si>
    <t>New York : Brunner/Mazel, [1974]</t>
  </si>
  <si>
    <t>2999298500:eng</t>
  </si>
  <si>
    <t>1045894</t>
  </si>
  <si>
    <t>991003495039702656</t>
  </si>
  <si>
    <t>2268753660002656</t>
  </si>
  <si>
    <t>9780876300831</t>
  </si>
  <si>
    <t>32285001299865</t>
  </si>
  <si>
    <t>893524866</t>
  </si>
  <si>
    <t>RC556 .M394 1993</t>
  </si>
  <si>
    <t>0                      RC 0556000M  394         1993</t>
  </si>
  <si>
    <t>Sexual behavior : problems and management / Nathaniel McConaghy.</t>
  </si>
  <si>
    <t>McConaghy, Nathaniel.</t>
  </si>
  <si>
    <t>2009-11-17</t>
  </si>
  <si>
    <t>836899024:eng</t>
  </si>
  <si>
    <t>27186681</t>
  </si>
  <si>
    <t>991005416239702656</t>
  </si>
  <si>
    <t>2270404780002656</t>
  </si>
  <si>
    <t>9780306441776</t>
  </si>
  <si>
    <t>32285001956431</t>
  </si>
  <si>
    <t>893261126</t>
  </si>
  <si>
    <t>RC556 .O33</t>
  </si>
  <si>
    <t>0                      RC 0556000O  33</t>
  </si>
  <si>
    <t>The sexual self / Avodah K. Offit.</t>
  </si>
  <si>
    <t>Offit, Avodah K.</t>
  </si>
  <si>
    <t>Philadelphia : Lippincott, c1977.</t>
  </si>
  <si>
    <t>2002-09-06</t>
  </si>
  <si>
    <t>2822090:eng</t>
  </si>
  <si>
    <t>2542473</t>
  </si>
  <si>
    <t>991004157639702656</t>
  </si>
  <si>
    <t>2272141660002656</t>
  </si>
  <si>
    <t>9780397011254</t>
  </si>
  <si>
    <t>32285001607448</t>
  </si>
  <si>
    <t>893500185</t>
  </si>
  <si>
    <t>RC556 .P65 1982</t>
  </si>
  <si>
    <t>0                      RC 0556000P  65          1982</t>
  </si>
  <si>
    <t>Taking a sex history : interviewing and recording / Wardell B. Pomeroy, Carol C. Flax, Connie Christine Wheeler.</t>
  </si>
  <si>
    <t>Pomeroy, Wardell B. (Wardell Baxter), 1913-2001.</t>
  </si>
  <si>
    <t>1993-07-23</t>
  </si>
  <si>
    <t>311922033:eng</t>
  </si>
  <si>
    <t>7740805</t>
  </si>
  <si>
    <t>991005156679702656</t>
  </si>
  <si>
    <t>2264217980002656</t>
  </si>
  <si>
    <t>9780029253700</t>
  </si>
  <si>
    <t>32285001607455</t>
  </si>
  <si>
    <t>893895973</t>
  </si>
  <si>
    <t>RC556 .P75 1975</t>
  </si>
  <si>
    <t>0                      RC 0556000P  75          1975</t>
  </si>
  <si>
    <t>Psycho-sexual problems : proceedings of the congress held at the University of Bradford 1974 / edited by Hugo Milne and Shirley J. Hardy.</t>
  </si>
  <si>
    <t>Baltimore : University Park Press, c1975.</t>
  </si>
  <si>
    <t>902064908:eng</t>
  </si>
  <si>
    <t>2170022</t>
  </si>
  <si>
    <t>991004035959702656</t>
  </si>
  <si>
    <t>2262441210002656</t>
  </si>
  <si>
    <t>9780839108986</t>
  </si>
  <si>
    <t>32285001380996</t>
  </si>
  <si>
    <t>893240936</t>
  </si>
  <si>
    <t>RC556 .P76</t>
  </si>
  <si>
    <t>0                      RC 0556000P  76</t>
  </si>
  <si>
    <t>Psychosexual problems : psychotherapy, counselling and behavioural modification / edited by Sidney Crown.</t>
  </si>
  <si>
    <t>London : Academic Press ; New York : Grune &amp; Stratton, 1976.</t>
  </si>
  <si>
    <t>1992-04-11</t>
  </si>
  <si>
    <t>6166127:eng</t>
  </si>
  <si>
    <t>2814489</t>
  </si>
  <si>
    <t>991004251519702656</t>
  </si>
  <si>
    <t>2261460800002656</t>
  </si>
  <si>
    <t>9780808909538</t>
  </si>
  <si>
    <t>32285001057941</t>
  </si>
  <si>
    <t>893506627</t>
  </si>
  <si>
    <t>RC556 .S36 1981</t>
  </si>
  <si>
    <t>0                      RC 0556000S  36          1981</t>
  </si>
  <si>
    <t>The sex profession : what sex therapy can do / by Patricia Schiller.</t>
  </si>
  <si>
    <t>Schiller, Patricia.</t>
  </si>
  <si>
    <t>Washington, D.C. : Chilmark House, 1981.</t>
  </si>
  <si>
    <t>383060:eng</t>
  </si>
  <si>
    <t>6982692</t>
  </si>
  <si>
    <t>991005068569702656</t>
  </si>
  <si>
    <t>2272553520002656</t>
  </si>
  <si>
    <t>9780884163404</t>
  </si>
  <si>
    <t>32285000803147</t>
  </si>
  <si>
    <t>893905207</t>
  </si>
  <si>
    <t>RC556 .S95</t>
  </si>
  <si>
    <t>0                      RC 0556000S  95</t>
  </si>
  <si>
    <t>Sex by prescription / Thomas Szasz.</t>
  </si>
  <si>
    <t>Garden City, N.Y. : Anchor Press/Doubleday, 1980.</t>
  </si>
  <si>
    <t>455635:eng</t>
  </si>
  <si>
    <t>6447353</t>
  </si>
  <si>
    <t>991004985439702656</t>
  </si>
  <si>
    <t>2255473740002656</t>
  </si>
  <si>
    <t>9780385158985</t>
  </si>
  <si>
    <t>32285001066603</t>
  </si>
  <si>
    <t>893801560</t>
  </si>
  <si>
    <t>RC557 .C47 1971</t>
  </si>
  <si>
    <t>0                      RC 0557000C  47          1971</t>
  </si>
  <si>
    <t>Strange loves; the human aspects of sexual deviation / Eustace Chesser.</t>
  </si>
  <si>
    <t>Chesser, Eustace, 1902-1973.</t>
  </si>
  <si>
    <t>New York : Morrow, 1971.</t>
  </si>
  <si>
    <t>1995-03-17</t>
  </si>
  <si>
    <t>1417826658:eng</t>
  </si>
  <si>
    <t>196483</t>
  </si>
  <si>
    <t>991001220279702656</t>
  </si>
  <si>
    <t>2270115310002656</t>
  </si>
  <si>
    <t>32285000034719</t>
  </si>
  <si>
    <t>893720960</t>
  </si>
  <si>
    <t>RC557 .L45</t>
  </si>
  <si>
    <t>0                      RC 0557000L  45</t>
  </si>
  <si>
    <t>Unusual sexual behavior : the standard deviations / by David Lester.</t>
  </si>
  <si>
    <t>Lester, David, 1942-</t>
  </si>
  <si>
    <t>Springfield, Ill.: Thomas, c1975.</t>
  </si>
  <si>
    <t>1996-02-14</t>
  </si>
  <si>
    <t>573817:eng</t>
  </si>
  <si>
    <t>1056807</t>
  </si>
  <si>
    <t>991003505229702656</t>
  </si>
  <si>
    <t>2271995670002656</t>
  </si>
  <si>
    <t>9780398033439</t>
  </si>
  <si>
    <t>32285001057933</t>
  </si>
  <si>
    <t>893435058</t>
  </si>
  <si>
    <t>RC557 .S76</t>
  </si>
  <si>
    <t>0                      RC 0557000S  76</t>
  </si>
  <si>
    <t>Perversion : the erotic form of hatred / Robert J. Stoller.</t>
  </si>
  <si>
    <t>Stoller, Robert J.</t>
  </si>
  <si>
    <t>New York : Pantheon Books, [1975]</t>
  </si>
  <si>
    <t>1996-03-25</t>
  </si>
  <si>
    <t>836636696:eng</t>
  </si>
  <si>
    <t>1500086</t>
  </si>
  <si>
    <t>991003784519702656</t>
  </si>
  <si>
    <t>2260424790002656</t>
  </si>
  <si>
    <t>9780394497778</t>
  </si>
  <si>
    <t>32285001057925</t>
  </si>
  <si>
    <t>893794047</t>
  </si>
  <si>
    <t>RC557 .S77 1974a</t>
  </si>
  <si>
    <t>0                      RC 0557000S  77          1974a</t>
  </si>
  <si>
    <t>Sex and gender / Robert J. Stoller.</t>
  </si>
  <si>
    <t>New York : Aronson, [c1974]-</t>
  </si>
  <si>
    <t>2006-03-10</t>
  </si>
  <si>
    <t>5576791181:eng</t>
  </si>
  <si>
    <t>1009658</t>
  </si>
  <si>
    <t>991003742469702656</t>
  </si>
  <si>
    <t>2268061150002656</t>
  </si>
  <si>
    <t>32285001057917</t>
  </si>
  <si>
    <t>893349079</t>
  </si>
  <si>
    <t>RC558 .A2 1985</t>
  </si>
  <si>
    <t>0                      RC 0558000A  2           1985</t>
  </si>
  <si>
    <t>Homosexuality and hope : a psychologist talks about treatment and change / Gerard van den Aardweg ; [introduction by Paul C. Vitz].</t>
  </si>
  <si>
    <t>Aardweg, G. J. M. van den, 1936-</t>
  </si>
  <si>
    <t>Ann Arbor, Mich. : Servant Books, c1985.</t>
  </si>
  <si>
    <t>1992-05-11</t>
  </si>
  <si>
    <t>8907101933:eng</t>
  </si>
  <si>
    <t>11866997</t>
  </si>
  <si>
    <t>991000606829702656</t>
  </si>
  <si>
    <t>2265140620002656</t>
  </si>
  <si>
    <t>9780892832651</t>
  </si>
  <si>
    <t>32285001107225</t>
  </si>
  <si>
    <t>893784375</t>
  </si>
  <si>
    <t>RC558 .A23 1986</t>
  </si>
  <si>
    <t>0                      RC 0558000A  23          1986</t>
  </si>
  <si>
    <t>On the origins and treatment of homosexuality : a psychoanalytic reinterpretation / Gerard J.M. van den Aardweg.</t>
  </si>
  <si>
    <t>New York : Praeger, 1985.</t>
  </si>
  <si>
    <t>2003-10-25</t>
  </si>
  <si>
    <t>4682164:eng</t>
  </si>
  <si>
    <t>12079467</t>
  </si>
  <si>
    <t>991000634549702656</t>
  </si>
  <si>
    <t>2269302220002656</t>
  </si>
  <si>
    <t>9780030047831</t>
  </si>
  <si>
    <t>32285000088574</t>
  </si>
  <si>
    <t>893413539</t>
  </si>
  <si>
    <t>RC558 .B39</t>
  </si>
  <si>
    <t>0                      RC 0558000B  39</t>
  </si>
  <si>
    <t>Homosexuality, and American psychiatry : the politics of diagnosis / Ronald Bayer.</t>
  </si>
  <si>
    <t>Bayer, Ronald.</t>
  </si>
  <si>
    <t>New York : Basic Books, c1981.</t>
  </si>
  <si>
    <t>2004-02-03</t>
  </si>
  <si>
    <t>487421:eng</t>
  </si>
  <si>
    <t>7196584</t>
  </si>
  <si>
    <t>991005085809702656</t>
  </si>
  <si>
    <t>2255713420002656</t>
  </si>
  <si>
    <t>9780465030484</t>
  </si>
  <si>
    <t>32285001105468</t>
  </si>
  <si>
    <t>893789412</t>
  </si>
  <si>
    <t>RC558 .E98 2006</t>
  </si>
  <si>
    <t>0                      RC 0558000E  98          2006</t>
  </si>
  <si>
    <t>Ex-gay research : analyzing the Spitzer study and its relation to science, religion, politics, and culture / Jack Drescher, Kenneth J. Zucker, editors.</t>
  </si>
  <si>
    <t>New York : Harrington Park Press, c2006.</t>
  </si>
  <si>
    <t>364229734:eng</t>
  </si>
  <si>
    <t>62161080</t>
  </si>
  <si>
    <t>991005277939702656</t>
  </si>
  <si>
    <t>2270632450002656</t>
  </si>
  <si>
    <t>9781560235569</t>
  </si>
  <si>
    <t>32285005473524</t>
  </si>
  <si>
    <t>893607125</t>
  </si>
  <si>
    <t>RC558 .G74 1987</t>
  </si>
  <si>
    <t>0                      RC 0558000G  74          1987</t>
  </si>
  <si>
    <t>The "sissy boy syndrome" and the development of homosexuality / Richard Green.</t>
  </si>
  <si>
    <t>New Haven : Yale University Press, c1987.</t>
  </si>
  <si>
    <t>5652728:eng</t>
  </si>
  <si>
    <t>12976186</t>
  </si>
  <si>
    <t>991005349089702656</t>
  </si>
  <si>
    <t>2264062270002656</t>
  </si>
  <si>
    <t>9780300036961</t>
  </si>
  <si>
    <t>32285005556088</t>
  </si>
  <si>
    <t>893254855</t>
  </si>
  <si>
    <t>RC558 .M35 1987</t>
  </si>
  <si>
    <t>0                      RC 0558000M  35          1987</t>
  </si>
  <si>
    <t>Male and female homosexuality : psychological approaches / edited by Louis Diamant.</t>
  </si>
  <si>
    <t>The Series in clinical and community psychology</t>
  </si>
  <si>
    <t>1992-05-26</t>
  </si>
  <si>
    <t>1995-04-20</t>
  </si>
  <si>
    <t>836676932:eng</t>
  </si>
  <si>
    <t>14413485</t>
  </si>
  <si>
    <t>991001634919702656</t>
  </si>
  <si>
    <t>2266395310002656</t>
  </si>
  <si>
    <t>9780891164494</t>
  </si>
  <si>
    <t>32285001113066</t>
  </si>
  <si>
    <t>893809122</t>
  </si>
  <si>
    <t>RC558 .O4</t>
  </si>
  <si>
    <t>0                      RC 0558000O  4</t>
  </si>
  <si>
    <t>The juvenile homosexual experience and its effect on adult sexuality / [by] Robert H.V. Ollendorff.</t>
  </si>
  <si>
    <t>Ollendorff, Robert H. V.</t>
  </si>
  <si>
    <t>New York : Julian Press, 1966.</t>
  </si>
  <si>
    <t>1998-04-26</t>
  </si>
  <si>
    <t>2639054:eng</t>
  </si>
  <si>
    <t>526160</t>
  </si>
  <si>
    <t>991002919689702656</t>
  </si>
  <si>
    <t>2262245950002656</t>
  </si>
  <si>
    <t>32285001380988</t>
  </si>
  <si>
    <t>893530638</t>
  </si>
  <si>
    <t>RC558 .S33</t>
  </si>
  <si>
    <t>0                      RC 0558000S  33</t>
  </si>
  <si>
    <t>Male and female homosexuality : a comprehensive investigation / [by] Marcel T. Saghir [and] Eli Robins.</t>
  </si>
  <si>
    <t>Saghir, Marcel T.</t>
  </si>
  <si>
    <t>Baltimore : Williams &amp; Wilkins, [1973]</t>
  </si>
  <si>
    <t>1462184:eng</t>
  </si>
  <si>
    <t>508519</t>
  </si>
  <si>
    <t>991005309319702656</t>
  </si>
  <si>
    <t>2261013150002656</t>
  </si>
  <si>
    <t>9780683074901</t>
  </si>
  <si>
    <t>32285001579753</t>
  </si>
  <si>
    <t>893789779</t>
  </si>
  <si>
    <t>RC558 .S64</t>
  </si>
  <si>
    <t>0                      RC 0558000S  64</t>
  </si>
  <si>
    <t>The overt homosexual / [by] Charles W. Socarides.</t>
  </si>
  <si>
    <t>Socarides, Charles W., 1922-2005.</t>
  </si>
  <si>
    <t>New York : Grune &amp; Stratton, [1968].</t>
  </si>
  <si>
    <t>142134482:eng</t>
  </si>
  <si>
    <t>441670</t>
  </si>
  <si>
    <t>991002786029702656</t>
  </si>
  <si>
    <t>2255826150002656</t>
  </si>
  <si>
    <t>32285000775394</t>
  </si>
  <si>
    <t>893591773</t>
  </si>
  <si>
    <t>RC560.C4 G7</t>
  </si>
  <si>
    <t>0                      RC 0560000C  4                  G  7</t>
  </si>
  <si>
    <t>Transsexualism and sex reassignment / Richard Green and John Money, editors.</t>
  </si>
  <si>
    <t>Baltimore : Johns Hopkins Press, [1969]</t>
  </si>
  <si>
    <t>1994-11-13</t>
  </si>
  <si>
    <t>346906238:eng</t>
  </si>
  <si>
    <t>23098</t>
  </si>
  <si>
    <t>991001792679702656</t>
  </si>
  <si>
    <t>2265424270002656</t>
  </si>
  <si>
    <t>9780801810381</t>
  </si>
  <si>
    <t>32285001057909</t>
  </si>
  <si>
    <t>893772913</t>
  </si>
  <si>
    <t>RC560.C4 J6</t>
  </si>
  <si>
    <t>0                      RC 0560000C  4                  J  6</t>
  </si>
  <si>
    <t>Christine Jorgensen : personal autobiography / with an introd. by Harry Benjamin.</t>
  </si>
  <si>
    <t>Jorgensen, Christine, 1926-1989.</t>
  </si>
  <si>
    <t>New York : P. S. Eriksson, [1967]</t>
  </si>
  <si>
    <t>13634354:eng</t>
  </si>
  <si>
    <t>268214</t>
  </si>
  <si>
    <t>991002115029702656</t>
  </si>
  <si>
    <t>2270520060002656</t>
  </si>
  <si>
    <t>32285001057891</t>
  </si>
  <si>
    <t>893433494</t>
  </si>
  <si>
    <t>RC560.C4 K67</t>
  </si>
  <si>
    <t>0                      RC 0560000C  4                  K  67</t>
  </si>
  <si>
    <t>Transsexuality in the male : the spectrum of gender dysphoria / by Erwin K. Koranyi ; with a foreword by Ralph Slovenko.</t>
  </si>
  <si>
    <t>Koranyi, Erwin K.</t>
  </si>
  <si>
    <t>American lecture series ; publication no. 1030</t>
  </si>
  <si>
    <t>2006-03-11</t>
  </si>
  <si>
    <t>304437783:eng</t>
  </si>
  <si>
    <t>4883399</t>
  </si>
  <si>
    <t>991004740899702656</t>
  </si>
  <si>
    <t>2264112570002656</t>
  </si>
  <si>
    <t>9780398039240</t>
  </si>
  <si>
    <t>32285001066611</t>
  </si>
  <si>
    <t>893436690</t>
  </si>
  <si>
    <t>RC560.C4 M37 1977</t>
  </si>
  <si>
    <t>0                      RC 0560000C  4                  M  37          1977</t>
  </si>
  <si>
    <t>Emergence : a transsexual autobiography / Mario Martino, with Harriett.</t>
  </si>
  <si>
    <t>Martino, Mario.</t>
  </si>
  <si>
    <t>New York : Crown Publishers, c1977.</t>
  </si>
  <si>
    <t>2003-12-15</t>
  </si>
  <si>
    <t>6494897:eng</t>
  </si>
  <si>
    <t>2837410</t>
  </si>
  <si>
    <t>991004259719702656</t>
  </si>
  <si>
    <t>2262170720002656</t>
  </si>
  <si>
    <t>9780517529522</t>
  </si>
  <si>
    <t>32285001383875</t>
  </si>
  <si>
    <t>893325136</t>
  </si>
  <si>
    <t>RC560.C46 C58 1991</t>
  </si>
  <si>
    <t>0                      RC 0560000C  46                 C  58          1991</t>
  </si>
  <si>
    <t>Clinical approaches to sex offenders and their victims / edited by Clive R. Hollin and Kevin Howells.</t>
  </si>
  <si>
    <t>Chichester ; New York : Wiley, c1991.</t>
  </si>
  <si>
    <t>55341633:eng</t>
  </si>
  <si>
    <t>21672772</t>
  </si>
  <si>
    <t>991001714879702656</t>
  </si>
  <si>
    <t>2261980290002656</t>
  </si>
  <si>
    <t>9780471928171</t>
  </si>
  <si>
    <t>32285001196160</t>
  </si>
  <si>
    <t>893328320</t>
  </si>
  <si>
    <t>RC560.C46 F55 1984</t>
  </si>
  <si>
    <t>0                      RC 0560000C  46                 F  55          1984</t>
  </si>
  <si>
    <t>Child sexual abuse : new theory and research / David Finkelhor.</t>
  </si>
  <si>
    <t>Finkelhor, David.</t>
  </si>
  <si>
    <t>2002-10-23</t>
  </si>
  <si>
    <t>1990-02-07</t>
  </si>
  <si>
    <t>795699800:eng</t>
  </si>
  <si>
    <t>10998803</t>
  </si>
  <si>
    <t>991000473629702656</t>
  </si>
  <si>
    <t>2261309630002656</t>
  </si>
  <si>
    <t>9780029100202</t>
  </si>
  <si>
    <t>32285000033711</t>
  </si>
  <si>
    <t>893896907</t>
  </si>
  <si>
    <t>RC560.C46 K76</t>
  </si>
  <si>
    <t>0                      RC 0560000C  46                 K  76</t>
  </si>
  <si>
    <t>Child sexual abuse : analysis of a family therapy approach / by Jerome A. Kroth.</t>
  </si>
  <si>
    <t>Kroth, Jerome A.</t>
  </si>
  <si>
    <t>1996-10-31</t>
  </si>
  <si>
    <t>425578143:eng</t>
  </si>
  <si>
    <t>4638886</t>
  </si>
  <si>
    <t>991004695279702656</t>
  </si>
  <si>
    <t>2255900950002656</t>
  </si>
  <si>
    <t>9780398039066</t>
  </si>
  <si>
    <t>32285001031631</t>
  </si>
  <si>
    <t>893722556</t>
  </si>
  <si>
    <t>RC560.E9 E96</t>
  </si>
  <si>
    <t>0                      RC 0560000E  9                  E  96</t>
  </si>
  <si>
    <t>Exhibitionism : description, assessment, and treatment / [edited by] Daniel J. Cox and Reid J. Daitzmann.</t>
  </si>
  <si>
    <t>New York : Garland STPM Press, c1980.</t>
  </si>
  <si>
    <t>Garland series in sexual deviation</t>
  </si>
  <si>
    <t>2000-03-15</t>
  </si>
  <si>
    <t>1992-05-04</t>
  </si>
  <si>
    <t>425681914:eng</t>
  </si>
  <si>
    <t>4883384</t>
  </si>
  <si>
    <t>991004740849702656</t>
  </si>
  <si>
    <t>2264113390002656</t>
  </si>
  <si>
    <t>9780824070335</t>
  </si>
  <si>
    <t>32285001092492</t>
  </si>
  <si>
    <t>893594036</t>
  </si>
  <si>
    <t>RC560.G45 S76 1985</t>
  </si>
  <si>
    <t>0                      RC 0560000G  45                 S  76          1985</t>
  </si>
  <si>
    <t>Presentations of gender / Robert J. Stoller.</t>
  </si>
  <si>
    <t>New Haven : Yale University Press, 1985.</t>
  </si>
  <si>
    <t>4447256:eng</t>
  </si>
  <si>
    <t>11916671</t>
  </si>
  <si>
    <t>991000612129702656</t>
  </si>
  <si>
    <t>2270371700002656</t>
  </si>
  <si>
    <t>9780300035070</t>
  </si>
  <si>
    <t>32285001607471</t>
  </si>
  <si>
    <t>893897048</t>
  </si>
  <si>
    <t>RC560.I5 M4</t>
  </si>
  <si>
    <t>0                      RC 0560000I  5                  M  4</t>
  </si>
  <si>
    <t>Incest : a psychological study of causes and effects with treatment recommendations / Karin C. Meiselman. --</t>
  </si>
  <si>
    <t>Meiselman, Karin C.</t>
  </si>
  <si>
    <t>San Francisco : Jossey-Bass, 1978.</t>
  </si>
  <si>
    <t>797223195:eng</t>
  </si>
  <si>
    <t>4319798</t>
  </si>
  <si>
    <t>991004623849702656</t>
  </si>
  <si>
    <t>2272076960002656</t>
  </si>
  <si>
    <t>9780875893808</t>
  </si>
  <si>
    <t>32285001150118</t>
  </si>
  <si>
    <t>893719142</t>
  </si>
  <si>
    <t>RC560.I53 C68 1988</t>
  </si>
  <si>
    <t>0                      RC 0560000I  53                 C  68          1988</t>
  </si>
  <si>
    <t>Healing the incest wound : adult survivors in therapy / Christine A. Courtois.</t>
  </si>
  <si>
    <t>Courtois, Christine A.</t>
  </si>
  <si>
    <t>1999-01-20</t>
  </si>
  <si>
    <t>1990-11-19</t>
  </si>
  <si>
    <t>1010802:eng</t>
  </si>
  <si>
    <t>17508251</t>
  </si>
  <si>
    <t>991001226799702656</t>
  </si>
  <si>
    <t>2272395020002656</t>
  </si>
  <si>
    <t>9780393700510</t>
  </si>
  <si>
    <t>32285000355882</t>
  </si>
  <si>
    <t>893438983</t>
  </si>
  <si>
    <t>RC560.I53 F67 1978</t>
  </si>
  <si>
    <t>0                      RC 0560000I  53                 F  67          1978</t>
  </si>
  <si>
    <t>Betrayal of innocence : incest and its devastation / Susan Forward and Craig Buck.</t>
  </si>
  <si>
    <t>Los Angeles : J.P. Tarcher ; New York : distributed by St. Martin's Press, c1978.</t>
  </si>
  <si>
    <t>1996-01-17</t>
  </si>
  <si>
    <t>522382:eng</t>
  </si>
  <si>
    <t>4128205</t>
  </si>
  <si>
    <t>991004591699702656</t>
  </si>
  <si>
    <t>2269368090002656</t>
  </si>
  <si>
    <t>9780874770735</t>
  </si>
  <si>
    <t>32285000837921</t>
  </si>
  <si>
    <t>893882645</t>
  </si>
  <si>
    <t>RC560.I53 I53 1990</t>
  </si>
  <si>
    <t>0                      RC 0560000I  53                 I  53          1990</t>
  </si>
  <si>
    <t>The Incest perpetrator : a family member no one wants to treat / Anne L. Horton ... [et al.], editors.</t>
  </si>
  <si>
    <t>Newbury Park, Calif. : Sage Publications, c1990.</t>
  </si>
  <si>
    <t>1990-05-02</t>
  </si>
  <si>
    <t>836717121:eng</t>
  </si>
  <si>
    <t>20094127</t>
  </si>
  <si>
    <t>991001538369702656</t>
  </si>
  <si>
    <t>2257407330002656</t>
  </si>
  <si>
    <t>9780803933927</t>
  </si>
  <si>
    <t>32285000117522</t>
  </si>
  <si>
    <t>893244197</t>
  </si>
  <si>
    <t>RC560.I53 R45 1982</t>
  </si>
  <si>
    <t>0                      RC 0560000I  53                 R  45          1982</t>
  </si>
  <si>
    <t>Incest : understanding and treatment / Domeena C. Renshaw ; foreword by Ralph Slovenko.</t>
  </si>
  <si>
    <t>Renshaw, Domeena C.</t>
  </si>
  <si>
    <t>Boston : Little, Brown, c1982.</t>
  </si>
  <si>
    <t>308979872:eng</t>
  </si>
  <si>
    <t>8924924</t>
  </si>
  <si>
    <t>991001789749702656</t>
  </si>
  <si>
    <t>2261233550002656</t>
  </si>
  <si>
    <t>9780316740319</t>
  </si>
  <si>
    <t>32285000235662</t>
  </si>
  <si>
    <t>893903564</t>
  </si>
  <si>
    <t>RC560.I53 T73 1989</t>
  </si>
  <si>
    <t>0                      RC 0560000I  53                 T  73          1989</t>
  </si>
  <si>
    <t>Systemic treatment of incest : a therapeutic handbook / by Terry S. Trepper and Mary Jo Barrett.</t>
  </si>
  <si>
    <t>Trepper, Terry S.</t>
  </si>
  <si>
    <t>Brunner/Mazel psychosocial stress series ; no. 15</t>
  </si>
  <si>
    <t>1990-12-04</t>
  </si>
  <si>
    <t>886428:eng</t>
  </si>
  <si>
    <t>19670265</t>
  </si>
  <si>
    <t>991001486859702656</t>
  </si>
  <si>
    <t>2266292320002656</t>
  </si>
  <si>
    <t>9780876305607</t>
  </si>
  <si>
    <t>32285000358357</t>
  </si>
  <si>
    <t>893408166</t>
  </si>
  <si>
    <t>RC564 .A33 1990</t>
  </si>
  <si>
    <t>0                      RC 0564000A  33          1990</t>
  </si>
  <si>
    <t>Aggression, family violence, and chemical dependency / Ronald T. Potter-Efron, Patricia S. Potter-Efron, editors.</t>
  </si>
  <si>
    <t>New York : Haworth Press, c1990.</t>
  </si>
  <si>
    <t>2000-04-19</t>
  </si>
  <si>
    <t>1990-06-27</t>
  </si>
  <si>
    <t>424962705:eng</t>
  </si>
  <si>
    <t>20629507</t>
  </si>
  <si>
    <t>991001597049702656</t>
  </si>
  <si>
    <t>2265633560002656</t>
  </si>
  <si>
    <t>9780866569644</t>
  </si>
  <si>
    <t>32285000205335</t>
  </si>
  <si>
    <t>893522668</t>
  </si>
  <si>
    <t>RC564 .B83 1991</t>
  </si>
  <si>
    <t>0                      RC 0564000B  83          1991</t>
  </si>
  <si>
    <t>Alcoholics Anonymous : cult or cure? / by Charles Bufe ; with an introduction by Dr. Albert Ellis.</t>
  </si>
  <si>
    <t>Bufe, Charles.</t>
  </si>
  <si>
    <t>San Francisco : See Sharp Press, c1991.</t>
  </si>
  <si>
    <t>803909538:eng</t>
  </si>
  <si>
    <t>23436803</t>
  </si>
  <si>
    <t>991001863849702656</t>
  </si>
  <si>
    <t>2271574210002656</t>
  </si>
  <si>
    <t>9780961328931</t>
  </si>
  <si>
    <t>32285001198422</t>
  </si>
  <si>
    <t>893779149</t>
  </si>
  <si>
    <t>RC564 .C493 1993</t>
  </si>
  <si>
    <t>0                      RC 0564000C  493         1993</t>
  </si>
  <si>
    <t>Portraits of spirituality in recovery : the use of art in recovery from co-dependency and/or chemical dependency / by Nancy Barrett Chickerneo.</t>
  </si>
  <si>
    <t>Chickerneo, Nancy Barrett.</t>
  </si>
  <si>
    <t>Springfield, Ill., U.S.A. : C.C. Thomas, c1993.</t>
  </si>
  <si>
    <t>2004-12-03</t>
  </si>
  <si>
    <t>2220505842:eng</t>
  </si>
  <si>
    <t>27144033</t>
  </si>
  <si>
    <t>991002117009702656</t>
  </si>
  <si>
    <t>2255333120002656</t>
  </si>
  <si>
    <t>9780398058456</t>
  </si>
  <si>
    <t>32285001831170</t>
  </si>
  <si>
    <t>893347123</t>
  </si>
  <si>
    <t>RC564 .C733 2004</t>
  </si>
  <si>
    <t>0                      RC 0564000C  733         2004</t>
  </si>
  <si>
    <t>Counseling the alcohol and drug dependent client : a practical approach / Robert J. Craig.</t>
  </si>
  <si>
    <t>Craig, Robert J., 1941-</t>
  </si>
  <si>
    <t>Boston : Pearson/Allyn and Bacon, c2004.</t>
  </si>
  <si>
    <t>2010-05-19</t>
  </si>
  <si>
    <t>2004-03-24</t>
  </si>
  <si>
    <t>1780391128:eng</t>
  </si>
  <si>
    <t>51447387</t>
  </si>
  <si>
    <t>991004232759702656</t>
  </si>
  <si>
    <t>2261311590002656</t>
  </si>
  <si>
    <t>9780205359165</t>
  </si>
  <si>
    <t>32285004896824</t>
  </si>
  <si>
    <t>893532164</t>
  </si>
  <si>
    <t>RC564 .D48 1987</t>
  </si>
  <si>
    <t>0                      RC 0564000D  48          1987</t>
  </si>
  <si>
    <t>Developments in the assessment and treatment of addictive behaviors / edited by Ted D. Nirenberg, Stephen A. Maisto.</t>
  </si>
  <si>
    <t>Norwood, N.J. : Ablex Pub. Corp., c1987.</t>
  </si>
  <si>
    <t>Developments in clinical psychology</t>
  </si>
  <si>
    <t>2000-11-20</t>
  </si>
  <si>
    <t>443603190:eng</t>
  </si>
  <si>
    <t>15591043</t>
  </si>
  <si>
    <t>991001042359702656</t>
  </si>
  <si>
    <t>2264066040002656</t>
  </si>
  <si>
    <t>9780893911706</t>
  </si>
  <si>
    <t>32285002054830</t>
  </si>
  <si>
    <t>893878569</t>
  </si>
  <si>
    <t>RC564 .D535 2000</t>
  </si>
  <si>
    <t>0                      RC 0564000D  535         2000</t>
  </si>
  <si>
    <t>Narrative means to sober ends : treating addiction and its aftermath / Jonathan Diamond ; foreword by David Treadway.</t>
  </si>
  <si>
    <t>Diamond, Jonathan, Ph. D.</t>
  </si>
  <si>
    <t>2009-10-09</t>
  </si>
  <si>
    <t>2001-04-10</t>
  </si>
  <si>
    <t>905947328:eng</t>
  </si>
  <si>
    <t>43641165</t>
  </si>
  <si>
    <t>991003491349702656</t>
  </si>
  <si>
    <t>2268059740002656</t>
  </si>
  <si>
    <t>9781572305663</t>
  </si>
  <si>
    <t>32285004311055</t>
  </si>
  <si>
    <t>893262766</t>
  </si>
  <si>
    <t>RC564 .D7775 2003</t>
  </si>
  <si>
    <t>0                      RC 0564000D  7775        2003</t>
  </si>
  <si>
    <t>Drug abuse treatment through collaboration : practice and research partnerships that work / edited by James L. Sorensen ... [et al.].</t>
  </si>
  <si>
    <t>Washington, D.C. : American Psychological Association, c2003.</t>
  </si>
  <si>
    <t>2005-10-04</t>
  </si>
  <si>
    <t>2004-03-17</t>
  </si>
  <si>
    <t>1078140302:eng</t>
  </si>
  <si>
    <t>50554162</t>
  </si>
  <si>
    <t>991004238339702656</t>
  </si>
  <si>
    <t>2255792500002656</t>
  </si>
  <si>
    <t>9781557989857</t>
  </si>
  <si>
    <t>32285004894217</t>
  </si>
  <si>
    <t>893331349</t>
  </si>
  <si>
    <t>RC564 .D785 1980</t>
  </si>
  <si>
    <t>0                      RC 0564000D  785         1980</t>
  </si>
  <si>
    <t>Drugs in relation to the drug user : critical drug issues / edited by Stanley Einstein.</t>
  </si>
  <si>
    <t>2002-06-26</t>
  </si>
  <si>
    <t>16403513:eng</t>
  </si>
  <si>
    <t>5219064</t>
  </si>
  <si>
    <t>991004801209702656</t>
  </si>
  <si>
    <t>2268354810002656</t>
  </si>
  <si>
    <t>9780080195964</t>
  </si>
  <si>
    <t>32285001607489</t>
  </si>
  <si>
    <t>893507249</t>
  </si>
  <si>
    <t>RC564 .E8 1980</t>
  </si>
  <si>
    <t>0                      RC 0564000E  8           1980</t>
  </si>
  <si>
    <t>Evaluating alcohol and drug abuse treatment effectiveness : recent advances / edited by Linda Carter Sobell, Mark B. Sobell, and Elliott Ward.</t>
  </si>
  <si>
    <t>1998-03-29</t>
  </si>
  <si>
    <t>1992-02-24</t>
  </si>
  <si>
    <t>867243410:eng</t>
  </si>
  <si>
    <t>5353116</t>
  </si>
  <si>
    <t>991004824939702656</t>
  </si>
  <si>
    <t>2257532280002656</t>
  </si>
  <si>
    <t>9780080229973</t>
  </si>
  <si>
    <t>32285000974591</t>
  </si>
  <si>
    <t>893424235</t>
  </si>
  <si>
    <t>RC564 .E83 1983</t>
  </si>
  <si>
    <t>0                      RC 0564000E  83          1983</t>
  </si>
  <si>
    <t>Evaluation of drug treatment programs / Barry Stimmel, editor.</t>
  </si>
  <si>
    <t>New York : Haworth Press, c1983.</t>
  </si>
  <si>
    <t>3856594103:eng</t>
  </si>
  <si>
    <t>8928609</t>
  </si>
  <si>
    <t>991000095689702656</t>
  </si>
  <si>
    <t>2264417840002656</t>
  </si>
  <si>
    <t>9780866561945</t>
  </si>
  <si>
    <t>32285000072503</t>
  </si>
  <si>
    <t>893327003</t>
  </si>
  <si>
    <t>RC564 .G642 1988</t>
  </si>
  <si>
    <t>0                      RC 0564000G  642         1988</t>
  </si>
  <si>
    <t>The facts about drugs and alcohol / by Mark S. Gold ; [produced by Lawrence Chilnick Associates].</t>
  </si>
  <si>
    <t>Washington, D.C. : PIA Press, 1988.</t>
  </si>
  <si>
    <t>1997-09-30</t>
  </si>
  <si>
    <t>1154978:eng</t>
  </si>
  <si>
    <t>21354558</t>
  </si>
  <si>
    <t>991001681529702656</t>
  </si>
  <si>
    <t>2260480510002656</t>
  </si>
  <si>
    <t>9780929162003</t>
  </si>
  <si>
    <t>32285003251294</t>
  </si>
  <si>
    <t>893772795</t>
  </si>
  <si>
    <t>RC564 .L65 1964</t>
  </si>
  <si>
    <t>0                      RC 0564000L  65          1964</t>
  </si>
  <si>
    <t>Conditioning and enuresis [by] S.H. Lovibond.</t>
  </si>
  <si>
    <t>Lovibond, S. H.</t>
  </si>
  <si>
    <t>Oxford, New York, Pergamon Press; [distributed in the Western Hemisphere by Macmillan] 1964.</t>
  </si>
  <si>
    <t>2158045:eng</t>
  </si>
  <si>
    <t>1196791</t>
  </si>
  <si>
    <t>991003614169702656</t>
  </si>
  <si>
    <t>2261785520002656</t>
  </si>
  <si>
    <t>32285003092524</t>
  </si>
  <si>
    <t>893781190</t>
  </si>
  <si>
    <t>RC564 .N4 1996</t>
  </si>
  <si>
    <t>0                      RC 0564000N  4           1996</t>
  </si>
  <si>
    <t>Tough love : how parents can deal with drug abuse / Pauline Neff.</t>
  </si>
  <si>
    <t>Neff, Pauline, 1928-2018.</t>
  </si>
  <si>
    <t>Nashville : Abingdon, c1996.</t>
  </si>
  <si>
    <t>2008-06-24</t>
  </si>
  <si>
    <t>917536261:eng</t>
  </si>
  <si>
    <t>34372385</t>
  </si>
  <si>
    <t>991002623589702656</t>
  </si>
  <si>
    <t>2271029880002656</t>
  </si>
  <si>
    <t>9780687018253</t>
  </si>
  <si>
    <t>32285002157153</t>
  </si>
  <si>
    <t>893898989</t>
  </si>
  <si>
    <t>RC564 .P43 1989</t>
  </si>
  <si>
    <t>0                      RC 0564000P  43          1989</t>
  </si>
  <si>
    <t>Diseasing of America : addiction treatment out of control / by Stanton Peele.</t>
  </si>
  <si>
    <t>Lexington, Mass. : Lexington Books, c1989.</t>
  </si>
  <si>
    <t>1999-11-13</t>
  </si>
  <si>
    <t>1992-05-08</t>
  </si>
  <si>
    <t>21177559:eng</t>
  </si>
  <si>
    <t>19555073</t>
  </si>
  <si>
    <t>991001473609702656</t>
  </si>
  <si>
    <t>2272456870002656</t>
  </si>
  <si>
    <t>9780669200157</t>
  </si>
  <si>
    <t>32285001038891</t>
  </si>
  <si>
    <t>893420354</t>
  </si>
  <si>
    <t>RC564 .P49 1986</t>
  </si>
  <si>
    <t>0                      RC 0564000P  49          1986</t>
  </si>
  <si>
    <t>The hidden addiction : and how to get free / Janice Keller Phelps, Alan E. Nourse.</t>
  </si>
  <si>
    <t>Phelps, Janice Keller, 1932-</t>
  </si>
  <si>
    <t>Boston : Little, Brown, c1986.</t>
  </si>
  <si>
    <t>4492877:eng</t>
  </si>
  <si>
    <t>11970071</t>
  </si>
  <si>
    <t>991003933079702656</t>
  </si>
  <si>
    <t>2255378150002656</t>
  </si>
  <si>
    <t>9780316704700</t>
  </si>
  <si>
    <t>32285004665328</t>
  </si>
  <si>
    <t>893512577</t>
  </si>
  <si>
    <t>RC564 .R45 1985</t>
  </si>
  <si>
    <t>0                      RC 0564000R  45          1985</t>
  </si>
  <si>
    <t>Relapse prevention : maintenance strategies in the treatment of addictive behaviors / edited by G. Alan Marlatt, Judith R. Gordon ; foreword by G. Terence Wilson.</t>
  </si>
  <si>
    <t>2010-11-08</t>
  </si>
  <si>
    <t>1996-10-22</t>
  </si>
  <si>
    <t>863731106:eng</t>
  </si>
  <si>
    <t>11211922</t>
  </si>
  <si>
    <t>991000507059702656</t>
  </si>
  <si>
    <t>2256957090002656</t>
  </si>
  <si>
    <t>9780898620092</t>
  </si>
  <si>
    <t>32285002367703</t>
  </si>
  <si>
    <t>893261496</t>
  </si>
  <si>
    <t>RC564 .S566 2008</t>
  </si>
  <si>
    <t>0                      RC 0564000S  566         2008</t>
  </si>
  <si>
    <t>Motivating substance abusers to enter treatment : working with family members / Jane Ellen Smith, Robert J. Meyers.</t>
  </si>
  <si>
    <t>Smith, Jane Ellen.</t>
  </si>
  <si>
    <t>New York : The Guilford Press, 2008, c2004.</t>
  </si>
  <si>
    <t>Pbk. ed.</t>
  </si>
  <si>
    <t>2009-02-09</t>
  </si>
  <si>
    <t>800115327:eng</t>
  </si>
  <si>
    <t>176882422</t>
  </si>
  <si>
    <t>991005293589702656</t>
  </si>
  <si>
    <t>2260863060002656</t>
  </si>
  <si>
    <t>9781593856465</t>
  </si>
  <si>
    <t>32285005503312</t>
  </si>
  <si>
    <t>893230491</t>
  </si>
  <si>
    <t>RC564 .T55 1999</t>
  </si>
  <si>
    <t>0                      RC 0564000T  55          1999</t>
  </si>
  <si>
    <t>Introduction to addictive behaviors / Dennis L. Thombs.</t>
  </si>
  <si>
    <t>Thombs, Dennis L.</t>
  </si>
  <si>
    <t>New York : Guilford Press, c1999.</t>
  </si>
  <si>
    <t>The Guilford substance abuse series</t>
  </si>
  <si>
    <t>2004-02-01</t>
  </si>
  <si>
    <t>2002-12-04</t>
  </si>
  <si>
    <t>937502:eng</t>
  </si>
  <si>
    <t>41266301</t>
  </si>
  <si>
    <t>991003926849702656</t>
  </si>
  <si>
    <t>2262649680002656</t>
  </si>
  <si>
    <t>9781572304116</t>
  </si>
  <si>
    <t>32285004668504</t>
  </si>
  <si>
    <t>893722173</t>
  </si>
  <si>
    <t>RC564 .T66 1993</t>
  </si>
  <si>
    <t>0                      RC 0564000T  66          1993</t>
  </si>
  <si>
    <t>A clinician's guide to the personality profiles of alcohol and drug abusers : typological descriptions using the MMPI / by Donald J. Tosi, Dennis M. Eshbaugh, Michael A. Murphy.</t>
  </si>
  <si>
    <t>Springfield, Ill., U.S.A. : Charles C. Thomas, c1993.</t>
  </si>
  <si>
    <t>20758764:eng</t>
  </si>
  <si>
    <t>28411770</t>
  </si>
  <si>
    <t>991002208239702656</t>
  </si>
  <si>
    <t>2267768020002656</t>
  </si>
  <si>
    <t>9780398058852</t>
  </si>
  <si>
    <t>32285001830701</t>
  </si>
  <si>
    <t>893691325</t>
  </si>
  <si>
    <t>RC564 .Y33 1989</t>
  </si>
  <si>
    <t>0                      RC 0564000Y  33          1989</t>
  </si>
  <si>
    <t>The therapeutic community : a successful approach for treating substance abusers / Lewis Yablonsky.</t>
  </si>
  <si>
    <t>New York : Gardner Press ; Bridgeport, CT : M. &amp; B. Fulfillment Service [distributor], c1989.</t>
  </si>
  <si>
    <t>12262011:eng</t>
  </si>
  <si>
    <t>16226606</t>
  </si>
  <si>
    <t>991001092999702656</t>
  </si>
  <si>
    <t>2266318370002656</t>
  </si>
  <si>
    <t>9780898761450</t>
  </si>
  <si>
    <t>32285000974583</t>
  </si>
  <si>
    <t>893522281</t>
  </si>
  <si>
    <t>RC564.15 .H358 2010</t>
  </si>
  <si>
    <t>0                      RC 0564150H  358         2010</t>
  </si>
  <si>
    <t>Handbook of drug use etiology : theory, methods, and empirical findings / edited by Lawrence M. Scheier.</t>
  </si>
  <si>
    <t>796531203:eng</t>
  </si>
  <si>
    <t>306801848</t>
  </si>
  <si>
    <t>991000130609702656</t>
  </si>
  <si>
    <t>2262446850002656</t>
  </si>
  <si>
    <t>9781433804465</t>
  </si>
  <si>
    <t>32285005595490</t>
  </si>
  <si>
    <t>893884144</t>
  </si>
  <si>
    <t>RC564.29 .T46 2000</t>
  </si>
  <si>
    <t>0                      RC 0564290T  46          2000</t>
  </si>
  <si>
    <t>Drunks, drugs &amp; debits : how to recognize addicts and avoid financial abuse / Douglas Thorburn.</t>
  </si>
  <si>
    <t>Thorburn, Doug.</t>
  </si>
  <si>
    <t>Northridge, Calif. : Galt Pub., 2000.</t>
  </si>
  <si>
    <t>2006-06-12</t>
  </si>
  <si>
    <t>2000-09-06</t>
  </si>
  <si>
    <t>33989318:eng</t>
  </si>
  <si>
    <t>44655593</t>
  </si>
  <si>
    <t>991003280229702656</t>
  </si>
  <si>
    <t>2265120850002656</t>
  </si>
  <si>
    <t>9780967578835</t>
  </si>
  <si>
    <t>32285003760419</t>
  </si>
  <si>
    <t>893258255</t>
  </si>
  <si>
    <t>RC564.5.W65 W66 2006</t>
  </si>
  <si>
    <t>0                      RC 0564500W  65                 W  66          2006</t>
  </si>
  <si>
    <t>Women under the influence / the National Center on Addiction and Substance Abuse at Columbia University ; foreword by Joseph A. Califano, Jr.</t>
  </si>
  <si>
    <t>Baltimore, Md. : Johns Hopkins University Press, 2006.</t>
  </si>
  <si>
    <t>57165434:eng</t>
  </si>
  <si>
    <t>58431789</t>
  </si>
  <si>
    <t>991004936439702656</t>
  </si>
  <si>
    <t>2258358670002656</t>
  </si>
  <si>
    <t>9780801882272</t>
  </si>
  <si>
    <t>32285005230882</t>
  </si>
  <si>
    <t>893344426</t>
  </si>
  <si>
    <t>RC564.68 .O774 2001</t>
  </si>
  <si>
    <t>0                      RC 0564680O  774         2001</t>
  </si>
  <si>
    <t>The dual diagnosis recovery sourcebook : a physical, mental, and spiritual approach to addiction with an emotional disorder / Dennis C. Ortman.</t>
  </si>
  <si>
    <t>Ortman, Dennis C.</t>
  </si>
  <si>
    <t>Chicago : Contemporary Books, c2001.</t>
  </si>
  <si>
    <t>2003-01-06</t>
  </si>
  <si>
    <t>314095354:eng</t>
  </si>
  <si>
    <t>45413570</t>
  </si>
  <si>
    <t>991003932809702656</t>
  </si>
  <si>
    <t>2272195430002656</t>
  </si>
  <si>
    <t>9780737303193</t>
  </si>
  <si>
    <t>32285004691480</t>
  </si>
  <si>
    <t>893687147</t>
  </si>
  <si>
    <t>RC564.68 .T74 1994</t>
  </si>
  <si>
    <t>0                      RC 0564680T  74          1994</t>
  </si>
  <si>
    <t>Treating coexisting psychiatric and addictive disorders : a practical guide / edited by Norman S. Miller ; [contributors include John N. Chappel ... et al.].</t>
  </si>
  <si>
    <t>Center City, Minn. : Hazelden, 1994.</t>
  </si>
  <si>
    <t>31721358:eng</t>
  </si>
  <si>
    <t>29951824</t>
  </si>
  <si>
    <t>991003933829702656</t>
  </si>
  <si>
    <t>2263270660002656</t>
  </si>
  <si>
    <t>9780894869723</t>
  </si>
  <si>
    <t>32285004664552</t>
  </si>
  <si>
    <t>893781652</t>
  </si>
  <si>
    <t>RC565 .A394 1990</t>
  </si>
  <si>
    <t>0                      RC 0565000A  394         1990</t>
  </si>
  <si>
    <t>Alcohol and the family : research and clinical perspectives / R. Lorraine Collins, Kenneth E. Leonard, John S. Searles, editors ; foreword by Edward Kaufman.</t>
  </si>
  <si>
    <t>New York : Guilford Press, 1990.</t>
  </si>
  <si>
    <t>2005-10-19</t>
  </si>
  <si>
    <t>1995-11-09</t>
  </si>
  <si>
    <t>796454057:eng</t>
  </si>
  <si>
    <t>20132241</t>
  </si>
  <si>
    <t>991001542159702656</t>
  </si>
  <si>
    <t>2262313100002656</t>
  </si>
  <si>
    <t>9780898621693</t>
  </si>
  <si>
    <t>32285002103066</t>
  </si>
  <si>
    <t>893244198</t>
  </si>
  <si>
    <t>RC565 .A446</t>
  </si>
  <si>
    <t>0                      RC 0565000A  446</t>
  </si>
  <si>
    <t>Alcoholism : development, consequences, and interventions / [edited by] Nada J. Estes, M. Edith Heinemann.</t>
  </si>
  <si>
    <t>2003-10-24</t>
  </si>
  <si>
    <t>894516883:eng</t>
  </si>
  <si>
    <t>2798189</t>
  </si>
  <si>
    <t>991004245239702656</t>
  </si>
  <si>
    <t>2272762460002656</t>
  </si>
  <si>
    <t>9780801615290</t>
  </si>
  <si>
    <t>32285001085900</t>
  </si>
  <si>
    <t>893247341</t>
  </si>
  <si>
    <t>RC565 .A4464 1979</t>
  </si>
  <si>
    <t>0                      RC 0565000A  4464        1979</t>
  </si>
  <si>
    <t>Alcoholism in perspective / edited by Marcus Grant and Paul Gwinner.</t>
  </si>
  <si>
    <t>2000-10-04</t>
  </si>
  <si>
    <t>366444161:eng</t>
  </si>
  <si>
    <t>4493822</t>
  </si>
  <si>
    <t>991005265379702656</t>
  </si>
  <si>
    <t>2260903650002656</t>
  </si>
  <si>
    <t>9780839113324</t>
  </si>
  <si>
    <t>32285000039619</t>
  </si>
  <si>
    <t>893802026</t>
  </si>
  <si>
    <t>RC565 .A447</t>
  </si>
  <si>
    <t>0                      RC 0565000A  447</t>
  </si>
  <si>
    <t>Alcoholism : new knowledge and new responses / edited by Griffith Edwards and Marcus Grant.</t>
  </si>
  <si>
    <t>Baltimore : University Park Press, [1977]</t>
  </si>
  <si>
    <t>1999-11-02</t>
  </si>
  <si>
    <t>1992-06-29</t>
  </si>
  <si>
    <t>287355268:eng</t>
  </si>
  <si>
    <t>3121002</t>
  </si>
  <si>
    <t>991004352239702656</t>
  </si>
  <si>
    <t>2263338100002656</t>
  </si>
  <si>
    <t>9780839111559</t>
  </si>
  <si>
    <t>32285001145779</t>
  </si>
  <si>
    <t>893229252</t>
  </si>
  <si>
    <t>RC565 .B46</t>
  </si>
  <si>
    <t>0                      RC 0565000B  46</t>
  </si>
  <si>
    <t>Alcoholism and the brain / A. E. Bennett. --</t>
  </si>
  <si>
    <t>Bennett, Abram Elting, 1898-1985.</t>
  </si>
  <si>
    <t>New York : Stratton Intercontinental Medical Book Corp., c1977.</t>
  </si>
  <si>
    <t>5722215:eng</t>
  </si>
  <si>
    <t>2597426</t>
  </si>
  <si>
    <t>991004177289702656</t>
  </si>
  <si>
    <t>2268687400002656</t>
  </si>
  <si>
    <t>9780913258453</t>
  </si>
  <si>
    <t>32285000908672</t>
  </si>
  <si>
    <t>893253344</t>
  </si>
  <si>
    <t>RC565 .B464 1985</t>
  </si>
  <si>
    <t>0                      RC 0565000B  464         1985</t>
  </si>
  <si>
    <t>The responsibility trap : a blueprint for treating the alcoholic family / Claudia Bepko, with Jo Ann Krestan.</t>
  </si>
  <si>
    <t>Bepko, Claudia.</t>
  </si>
  <si>
    <t>New York : Free Press ; London : Collier Macmillan, c1985.</t>
  </si>
  <si>
    <t>1998-03-25</t>
  </si>
  <si>
    <t>4520977:eng</t>
  </si>
  <si>
    <t>11677498</t>
  </si>
  <si>
    <t>991000575399702656</t>
  </si>
  <si>
    <t>2255239950002656</t>
  </si>
  <si>
    <t>9780029028803</t>
  </si>
  <si>
    <t>32285001091221</t>
  </si>
  <si>
    <t>893321164</t>
  </si>
  <si>
    <t>RC565 .B5</t>
  </si>
  <si>
    <t>0                      RC 0565000B  5</t>
  </si>
  <si>
    <t>Problems in addiction : alcohol and drug addiction / edited by William C. Bier.</t>
  </si>
  <si>
    <t>Bier, William Christian, 1911- editor.</t>
  </si>
  <si>
    <t>New York : Fordham University Press, [1962]</t>
  </si>
  <si>
    <t>The Pastoral psychology series, no. 2</t>
  </si>
  <si>
    <t>2000-04-05</t>
  </si>
  <si>
    <t>1940346531:eng</t>
  </si>
  <si>
    <t>965067</t>
  </si>
  <si>
    <t>991003428619702656</t>
  </si>
  <si>
    <t>2258359590002656</t>
  </si>
  <si>
    <t>32285000425081</t>
  </si>
  <si>
    <t>893524799</t>
  </si>
  <si>
    <t>RC565 .B52 1971, v.6</t>
  </si>
  <si>
    <t>0                      RC 0565000B  52          1971                                        v.6</t>
  </si>
  <si>
    <t>The Pathogenesis of alcoholism : psychosocial factors / edited by Benjamin Kissin and Henri Begleiter.</t>
  </si>
  <si>
    <t>V. 6</t>
  </si>
  <si>
    <t>The Biology of alcoholism ; v. 6</t>
  </si>
  <si>
    <t>1997-04-21</t>
  </si>
  <si>
    <t>3901987104:eng</t>
  </si>
  <si>
    <t>8928853</t>
  </si>
  <si>
    <t>991000096029702656</t>
  </si>
  <si>
    <t>2264429120002656</t>
  </si>
  <si>
    <t>9780306410529</t>
  </si>
  <si>
    <t>32285000802040</t>
  </si>
  <si>
    <t>893237067</t>
  </si>
  <si>
    <t>RC565 .B52 1971, v.7</t>
  </si>
  <si>
    <t>0                      RC 0565000B  52          1971                                        v.7</t>
  </si>
  <si>
    <t>The Pathogenesis of alcoholism : biological factors / edited by Benjamin Kissin and Henri Begleiter.</t>
  </si>
  <si>
    <t>V. 7</t>
  </si>
  <si>
    <t>The Biology of alcoholism ; v. 7</t>
  </si>
  <si>
    <t>3902603187:eng</t>
  </si>
  <si>
    <t>9018430</t>
  </si>
  <si>
    <t>991000113079702656</t>
  </si>
  <si>
    <t>2258588450002656</t>
  </si>
  <si>
    <t>9780306410536</t>
  </si>
  <si>
    <t>32285000802057</t>
  </si>
  <si>
    <t>893865098</t>
  </si>
  <si>
    <t>RC565 .B54</t>
  </si>
  <si>
    <t>0                      RC 0565000B  54</t>
  </si>
  <si>
    <t>Biological basis of alcoholism / [edited by] Yedy Israel [and] Jorge Mardones.</t>
  </si>
  <si>
    <t>New York : Wiley-Interscience, [1971]</t>
  </si>
  <si>
    <t>1999-03-02</t>
  </si>
  <si>
    <t>1994-02-23</t>
  </si>
  <si>
    <t>364351804:eng</t>
  </si>
  <si>
    <t>216901</t>
  </si>
  <si>
    <t>991001287489702656</t>
  </si>
  <si>
    <t>2256991190002656</t>
  </si>
  <si>
    <t>9780471429005</t>
  </si>
  <si>
    <t>32285001839397</t>
  </si>
  <si>
    <t>893414140</t>
  </si>
  <si>
    <t>RC565 .B55</t>
  </si>
  <si>
    <t>0                      RC 0565000B  55</t>
  </si>
  <si>
    <t>Alcoholism : modern psychological approaches to treatment / [by] Eva Maria Blum &amp; Richard H. Blum. Foreword by Morris E. Chafetz.</t>
  </si>
  <si>
    <t>Blum, Eva Maria.</t>
  </si>
  <si>
    <t>San Francisco : Jossey-Bass, 1967.</t>
  </si>
  <si>
    <t>2001-10-22</t>
  </si>
  <si>
    <t>1993-10-07</t>
  </si>
  <si>
    <t>5612577200:eng</t>
  </si>
  <si>
    <t>337400</t>
  </si>
  <si>
    <t>991005265389702656</t>
  </si>
  <si>
    <t>2255934130002656</t>
  </si>
  <si>
    <t>32285001774958</t>
  </si>
  <si>
    <t>893536512</t>
  </si>
  <si>
    <t>RC565 .B553 1991</t>
  </si>
  <si>
    <t>0                      RC 0565000B  553         1991</t>
  </si>
  <si>
    <t>Alcohol and the addictive brain : new hope for alcoholics from biogenetic research / Kenneth Blum ; in collaboration with James E. Payne.</t>
  </si>
  <si>
    <t>Blum, Kenneth.</t>
  </si>
  <si>
    <t>New York : Free Press, c1991.</t>
  </si>
  <si>
    <t>2006-09-19</t>
  </si>
  <si>
    <t>371608490:eng</t>
  </si>
  <si>
    <t>22764423</t>
  </si>
  <si>
    <t>991001812299702656</t>
  </si>
  <si>
    <t>2261806390002656</t>
  </si>
  <si>
    <t>9780029037010</t>
  </si>
  <si>
    <t>32285001196251</t>
  </si>
  <si>
    <t>893872825</t>
  </si>
  <si>
    <t>RC565 .B69</t>
  </si>
  <si>
    <t>0                      RC 0565000B  69</t>
  </si>
  <si>
    <t>Outpatient treatment of alcoholism : a review and comparative study / by Jeffrey M. Brandsma, in collaboration with Maxie C. Maultsby, Jr. and Richard J. Welsh.</t>
  </si>
  <si>
    <t>Brandsma, Jeffery M.</t>
  </si>
  <si>
    <t>2001-10-26</t>
  </si>
  <si>
    <t>1992-08-19</t>
  </si>
  <si>
    <t>292590297:eng</t>
  </si>
  <si>
    <t>5219646</t>
  </si>
  <si>
    <t>991005152519702656</t>
  </si>
  <si>
    <t>2268353090002656</t>
  </si>
  <si>
    <t>9780839113935</t>
  </si>
  <si>
    <t>32285001246262</t>
  </si>
  <si>
    <t>893713535</t>
  </si>
  <si>
    <t>RC565 .B76 1985</t>
  </si>
  <si>
    <t>0                      RC 0565000B  76          1985</t>
  </si>
  <si>
    <t>Treating the alcoholic : a developmental model of recovery / Stephanie Brown ; with the editorial assistance of Jill Mellick.</t>
  </si>
  <si>
    <t>Brown, Stephanie, 1944-</t>
  </si>
  <si>
    <t>836701567:eng</t>
  </si>
  <si>
    <t>11727011</t>
  </si>
  <si>
    <t>991000579439702656</t>
  </si>
  <si>
    <t>2255002750002656</t>
  </si>
  <si>
    <t>9780471817369</t>
  </si>
  <si>
    <t>32285000088582</t>
  </si>
  <si>
    <t>893620604</t>
  </si>
  <si>
    <t>RC565 .B87</t>
  </si>
  <si>
    <t>0                      RC 0565000B  87</t>
  </si>
  <si>
    <t>Nursing care of the alcoholic and drug abuser / by Pamela K. Burkhalter.</t>
  </si>
  <si>
    <t>Burkhalter, Pamela K.</t>
  </si>
  <si>
    <t>New York : McGraw-Hill, c1975.</t>
  </si>
  <si>
    <t>1991-10-23</t>
  </si>
  <si>
    <t>404914:eng</t>
  </si>
  <si>
    <t>940651</t>
  </si>
  <si>
    <t>991001806549702656</t>
  </si>
  <si>
    <t>2261319020002656</t>
  </si>
  <si>
    <t>9780070090514</t>
  </si>
  <si>
    <t>32285000779396</t>
  </si>
  <si>
    <t>893529246</t>
  </si>
  <si>
    <t>RC565 .C28</t>
  </si>
  <si>
    <t>0                      RC 0565000C  28</t>
  </si>
  <si>
    <t>The treatment of alcoholics : an evaluative study.</t>
  </si>
  <si>
    <t>Cahn, Sidney.</t>
  </si>
  <si>
    <t>New York : Oxford University Press, 1970.</t>
  </si>
  <si>
    <t>1331235:eng</t>
  </si>
  <si>
    <t>98964</t>
  </si>
  <si>
    <t>991000605599702656</t>
  </si>
  <si>
    <t>2271985260002656</t>
  </si>
  <si>
    <t>32285000779222</t>
  </si>
  <si>
    <t>893595707</t>
  </si>
  <si>
    <t>RC565 .C487 1982</t>
  </si>
  <si>
    <t>0                      RC 0565000C  487         1982</t>
  </si>
  <si>
    <t>Clinical case studies in the behavioral treatment of alcoholism / edited by William M. Hay and Peter E. Nathan.</t>
  </si>
  <si>
    <t>New York : Plenum Press, c1982.</t>
  </si>
  <si>
    <t>2008-03-20</t>
  </si>
  <si>
    <t>355955645:eng</t>
  </si>
  <si>
    <t>8806652</t>
  </si>
  <si>
    <t>991000076749702656</t>
  </si>
  <si>
    <t>2267583530002656</t>
  </si>
  <si>
    <t>9780306409400</t>
  </si>
  <si>
    <t>32285000084938</t>
  </si>
  <si>
    <t>893508495</t>
  </si>
  <si>
    <t>RC565 .C78</t>
  </si>
  <si>
    <t>0                      RC 0565000C  78</t>
  </si>
  <si>
    <t>Logotherapy : new help for problem drinkers / by James C. Crumbaugh, William M. Wood, W. Chadwick Wood.</t>
  </si>
  <si>
    <t>Crumbaugh, James C.</t>
  </si>
  <si>
    <t>Chicago : Nelson-Hall, c1980.</t>
  </si>
  <si>
    <t>1044319043:eng</t>
  </si>
  <si>
    <t>5219062</t>
  </si>
  <si>
    <t>991004801189702656</t>
  </si>
  <si>
    <t>2268357160002656</t>
  </si>
  <si>
    <t>9780882294216</t>
  </si>
  <si>
    <t>32285001607505</t>
  </si>
  <si>
    <t>893526542</t>
  </si>
  <si>
    <t>RC565 .C84</t>
  </si>
  <si>
    <t>0                      RC 0565000C  84</t>
  </si>
  <si>
    <t>Alcohol abuse and rehabilitation approaches / [edited by] John G. Cull and Richard E. Hardy.</t>
  </si>
  <si>
    <t>Cull, John G.</t>
  </si>
  <si>
    <t>Springfield, Ill. : Thomas, [1974]</t>
  </si>
  <si>
    <t>American lecture series, publication no. 933. A publication in the Bannerstone division of American lectures in social and rehabilitation psychology</t>
  </si>
  <si>
    <t>1991-10-31</t>
  </si>
  <si>
    <t>1602865:eng</t>
  </si>
  <si>
    <t>701629</t>
  </si>
  <si>
    <t>991003163259702656</t>
  </si>
  <si>
    <t>2255113030002656</t>
  </si>
  <si>
    <t>9780398030179</t>
  </si>
  <si>
    <t>32285000803154</t>
  </si>
  <si>
    <t>893698714</t>
  </si>
  <si>
    <t>RC565 .D597 2002</t>
  </si>
  <si>
    <t>0                      RC 0565000D  597         2002</t>
  </si>
  <si>
    <t>The heart of addiction / Lance M. Dodes.</t>
  </si>
  <si>
    <t>Dodes, Lance M.</t>
  </si>
  <si>
    <t>New York : HarperCollins, c2002.</t>
  </si>
  <si>
    <t>9593430960:eng</t>
  </si>
  <si>
    <t>47136434</t>
  </si>
  <si>
    <t>991003930699702656</t>
  </si>
  <si>
    <t>2270055700002656</t>
  </si>
  <si>
    <t>9780060198114</t>
  </si>
  <si>
    <t>32285004663802</t>
  </si>
  <si>
    <t>893810263</t>
  </si>
  <si>
    <t>RC565 .E44 1984</t>
  </si>
  <si>
    <t>0                      RC 0565000E  44          1984</t>
  </si>
  <si>
    <t>Families under the influence : changing alcoholic patterns / Michael Elkin.</t>
  </si>
  <si>
    <t>Elkin, Michael.</t>
  </si>
  <si>
    <t>New York : Norton, c1984.</t>
  </si>
  <si>
    <t>2006-04-23</t>
  </si>
  <si>
    <t>3159303:eng</t>
  </si>
  <si>
    <t>10019031</t>
  </si>
  <si>
    <t>991000298299702656</t>
  </si>
  <si>
    <t>2268971500002656</t>
  </si>
  <si>
    <t>9780393017700</t>
  </si>
  <si>
    <t>32285000039601</t>
  </si>
  <si>
    <t>893607796</t>
  </si>
  <si>
    <t>RC565 .E46</t>
  </si>
  <si>
    <t>0                      RC 0565000E  46</t>
  </si>
  <si>
    <t>Emerging concepts of alcohol dependence / [edited by] E. Mansell Pattison, Mark B. Sobell, and Linda C. Sobell.</t>
  </si>
  <si>
    <t>New York : Springer Pub. Co., c1977.</t>
  </si>
  <si>
    <t>6412141:eng</t>
  </si>
  <si>
    <t>2875368</t>
  </si>
  <si>
    <t>991004270319702656</t>
  </si>
  <si>
    <t>2259482300002656</t>
  </si>
  <si>
    <t>9780826119506</t>
  </si>
  <si>
    <t>32285003092532</t>
  </si>
  <si>
    <t>893532203</t>
  </si>
  <si>
    <t>RC565 .F58 1978</t>
  </si>
  <si>
    <t>0                      RC 0565000F  58          1978</t>
  </si>
  <si>
    <t>The diagnosis and treatment of alcoholism / by Gary G. Forrest.</t>
  </si>
  <si>
    <t>Forrest, Gary G.</t>
  </si>
  <si>
    <t>Springfield, Ill. : Thomas, c1978.</t>
  </si>
  <si>
    <t>3769602445:eng</t>
  </si>
  <si>
    <t>3542106</t>
  </si>
  <si>
    <t>991004459409702656</t>
  </si>
  <si>
    <t>2264386800002656</t>
  </si>
  <si>
    <t>9780398037796</t>
  </si>
  <si>
    <t>32285000088590</t>
  </si>
  <si>
    <t>893259751</t>
  </si>
  <si>
    <t>RC565 .G33 1987</t>
  </si>
  <si>
    <t>0                      RC 0565000G  33          1987</t>
  </si>
  <si>
    <t>Alcoholism : a guide to diagnosis, intervention, and treatment / Donald M. Gallant.</t>
  </si>
  <si>
    <t>Gallant, Donald M., 1929-</t>
  </si>
  <si>
    <t>New York : Norton, 1987.</t>
  </si>
  <si>
    <t>311977340:eng</t>
  </si>
  <si>
    <t>16580998</t>
  </si>
  <si>
    <t>991001121169702656</t>
  </si>
  <si>
    <t>2260308190002656</t>
  </si>
  <si>
    <t>9780393700435</t>
  </si>
  <si>
    <t>32285000039593</t>
  </si>
  <si>
    <t>893690360</t>
  </si>
  <si>
    <t>RC565 .G638 1994</t>
  </si>
  <si>
    <t>0                      RC 0565000G  638         1994</t>
  </si>
  <si>
    <t>Alcoholism : the facts / by Donald W. Goodwin.</t>
  </si>
  <si>
    <t>Goodwin, Donald W.</t>
  </si>
  <si>
    <t>116100118:eng</t>
  </si>
  <si>
    <t>28722392</t>
  </si>
  <si>
    <t>991002230629702656</t>
  </si>
  <si>
    <t>2265697370002656</t>
  </si>
  <si>
    <t>9780192623386</t>
  </si>
  <si>
    <t>32285002113487</t>
  </si>
  <si>
    <t>893785881</t>
  </si>
  <si>
    <t>RC565 .G64</t>
  </si>
  <si>
    <t>0                      RC 0565000G  64</t>
  </si>
  <si>
    <t>Is alcoholism hereditary? / Donald Goodwin.</t>
  </si>
  <si>
    <t>4190653:eng</t>
  </si>
  <si>
    <t>2180037</t>
  </si>
  <si>
    <t>991004038149702656</t>
  </si>
  <si>
    <t>2263660420002656</t>
  </si>
  <si>
    <t>9780195020090</t>
  </si>
  <si>
    <t>32285001890036</t>
  </si>
  <si>
    <t>893806574</t>
  </si>
  <si>
    <t>RC565 .H26 1989</t>
  </si>
  <si>
    <t>0                      RC 0565000H  26          1989</t>
  </si>
  <si>
    <t>Handbook of alcoholism treatment approaches : effective alternatives / edited by Reid K. Hester, William R. Miller.</t>
  </si>
  <si>
    <t>New York : Pergamon Press, c1989.</t>
  </si>
  <si>
    <t>Pergamon general psychology series ; 157</t>
  </si>
  <si>
    <t>10792209754:eng</t>
  </si>
  <si>
    <t>18224741</t>
  </si>
  <si>
    <t>991001321109702656</t>
  </si>
  <si>
    <t>2263905280002656</t>
  </si>
  <si>
    <t>9780080364285</t>
  </si>
  <si>
    <t>32285000593441</t>
  </si>
  <si>
    <t>893522495</t>
  </si>
  <si>
    <t>RC565 .I34 1983</t>
  </si>
  <si>
    <t>0                      RC 0565000I  34          1983</t>
  </si>
  <si>
    <t>Identifying and measuring alcoholic personality characteristics / W. Miles Cox, editor.</t>
  </si>
  <si>
    <t>San Francisco : Jossey-Bass, c1983.</t>
  </si>
  <si>
    <t>New directions for methodology of social and behavioral science, 0271-1249 ; no. 16</t>
  </si>
  <si>
    <t>43964351:eng</t>
  </si>
  <si>
    <t>9925778</t>
  </si>
  <si>
    <t>991000283849702656</t>
  </si>
  <si>
    <t>2255852520002656</t>
  </si>
  <si>
    <t>9780875899640</t>
  </si>
  <si>
    <t>32285000802065</t>
  </si>
  <si>
    <t>893595448</t>
  </si>
  <si>
    <t>RC565 .J858 2001</t>
  </si>
  <si>
    <t>0                      RC 0565000J  858         2001</t>
  </si>
  <si>
    <t>Psychology of alcohol and other drugs : a research perspective / John Jung.</t>
  </si>
  <si>
    <t>Jung, John, 1937-</t>
  </si>
  <si>
    <t>Thousand Oaks, Calif. : Sage Publications, Inc., c2001.</t>
  </si>
  <si>
    <t>2003-04-02</t>
  </si>
  <si>
    <t>836998172:eng</t>
  </si>
  <si>
    <t>43708430</t>
  </si>
  <si>
    <t>991004008299702656</t>
  </si>
  <si>
    <t>2255451880002656</t>
  </si>
  <si>
    <t>9780761921004</t>
  </si>
  <si>
    <t>32285004689021</t>
  </si>
  <si>
    <t>893618112</t>
  </si>
  <si>
    <t>RC565 .K4</t>
  </si>
  <si>
    <t>0                      RC 0565000K  4</t>
  </si>
  <si>
    <t>Alcoholism / [by] Neil Kessel and Henry Walton.</t>
  </si>
  <si>
    <t>Kessel, Neil.</t>
  </si>
  <si>
    <t>Baltimore : Penguin Books, [1965]</t>
  </si>
  <si>
    <t>Pelican book ; A774</t>
  </si>
  <si>
    <t>8907739033:eng</t>
  </si>
  <si>
    <t>2314442</t>
  </si>
  <si>
    <t>991004074159702656</t>
  </si>
  <si>
    <t>2263723210002656</t>
  </si>
  <si>
    <t>32285001060598</t>
  </si>
  <si>
    <t>893800556</t>
  </si>
  <si>
    <t>RC565 .L538 1988</t>
  </si>
  <si>
    <t>0                      RC 0565000L  538         1988</t>
  </si>
  <si>
    <t>Alcoholism and women, genetics, and fetal development / by William J. Haugen Light.</t>
  </si>
  <si>
    <t>Light, William J. Haugen.</t>
  </si>
  <si>
    <t>Springfield, Ill., U.S.A. : Thomas, c1988.</t>
  </si>
  <si>
    <t>12379618:eng</t>
  </si>
  <si>
    <t>16577689</t>
  </si>
  <si>
    <t>991001118909702656</t>
  </si>
  <si>
    <t>2256150020002656</t>
  </si>
  <si>
    <t>9780398053994</t>
  </si>
  <si>
    <t>32285004856018</t>
  </si>
  <si>
    <t>893614797</t>
  </si>
  <si>
    <t>RC565 .M346 1983</t>
  </si>
  <si>
    <t>0                      RC 0565000M  346         1983</t>
  </si>
  <si>
    <t>Medical and social aspects of alcohol abuse / edited by Boris Tabakoff, Patricia B. Sutker, and Carrie L. Randall.</t>
  </si>
  <si>
    <t>43446047:eng</t>
  </si>
  <si>
    <t>9465473</t>
  </si>
  <si>
    <t>991000201929702656</t>
  </si>
  <si>
    <t>2264813420002656</t>
  </si>
  <si>
    <t>9780306412219</t>
  </si>
  <si>
    <t>32285000803162</t>
  </si>
  <si>
    <t>893345474</t>
  </si>
  <si>
    <t>RC565 .M42 1977b</t>
  </si>
  <si>
    <t>0                      RC 0565000M  42          1977b</t>
  </si>
  <si>
    <t>Metabolic aspects of alcoholism / edited by Charles S. Lieber.</t>
  </si>
  <si>
    <t>Lancaster [Eng.] : MTP Press, c1977.</t>
  </si>
  <si>
    <t>2002-09-09</t>
  </si>
  <si>
    <t>1992-03-24</t>
  </si>
  <si>
    <t>192943770:eng</t>
  </si>
  <si>
    <t>2746339</t>
  </si>
  <si>
    <t>991004230889702656</t>
  </si>
  <si>
    <t>2259078410002656</t>
  </si>
  <si>
    <t>9780852001295</t>
  </si>
  <si>
    <t>32285001026631</t>
  </si>
  <si>
    <t>893869458</t>
  </si>
  <si>
    <t>RC565 .M424 1988</t>
  </si>
  <si>
    <t>0                      RC 0565000M  424         1988</t>
  </si>
  <si>
    <t>From denial to recovery : counseling problem drinkers, alcoholics, and their families / Lawrence Metzger.</t>
  </si>
  <si>
    <t>Metzger, Lawrence, 1933-</t>
  </si>
  <si>
    <t>San Francisco : Jossey-Bass Publishers, c1988.</t>
  </si>
  <si>
    <t>A Joint publication in the Jossey-Bass social and behavioral science series and the Jossey-Bass health series</t>
  </si>
  <si>
    <t>2004-02-16</t>
  </si>
  <si>
    <t>1992-03-12</t>
  </si>
  <si>
    <t>12535864:eng</t>
  </si>
  <si>
    <t>16527970</t>
  </si>
  <si>
    <t>991001117169702656</t>
  </si>
  <si>
    <t>2257494030002656</t>
  </si>
  <si>
    <t>9781555420635</t>
  </si>
  <si>
    <t>32285000998194</t>
  </si>
  <si>
    <t>893626575</t>
  </si>
  <si>
    <t>RC565 .M445</t>
  </si>
  <si>
    <t>0                      RC 0565000M  445</t>
  </si>
  <si>
    <t>How to control your drinking / William R. Miller, Ricardo F. Muñoz.</t>
  </si>
  <si>
    <t>Miller, William R. (William Richard)</t>
  </si>
  <si>
    <t>Englewood Cliffs, N.J. : Prentice-Hall, c1976.</t>
  </si>
  <si>
    <t>493635:eng</t>
  </si>
  <si>
    <t>2074399</t>
  </si>
  <si>
    <t>991004002139702656</t>
  </si>
  <si>
    <t>2263916770002656</t>
  </si>
  <si>
    <t>9780134043920</t>
  </si>
  <si>
    <t>32285001825784</t>
  </si>
  <si>
    <t>893904660</t>
  </si>
  <si>
    <t>RC565 .M46 1966</t>
  </si>
  <si>
    <t>0                      RC 0565000M  46          1966</t>
  </si>
  <si>
    <t>Alcoholism / edited by Jack H. Mendelson.</t>
  </si>
  <si>
    <t>Mendelson, Jack H. (Jack Harold), 1929-2007.</t>
  </si>
  <si>
    <t>Boston : Little, Brown, 1966.</t>
  </si>
  <si>
    <t>International psychiatry clinics ; v. 3, no. 2</t>
  </si>
  <si>
    <t>1999-10-25</t>
  </si>
  <si>
    <t>54720364:eng</t>
  </si>
  <si>
    <t>522681</t>
  </si>
  <si>
    <t>991002912669702656</t>
  </si>
  <si>
    <t>2260098710002656</t>
  </si>
  <si>
    <t>32285001963833</t>
  </si>
  <si>
    <t>893685942</t>
  </si>
  <si>
    <t>RC565 .M544 1985</t>
  </si>
  <si>
    <t>0                      RC 0565000M  544         1985</t>
  </si>
  <si>
    <t>The Misuse of alcohol : crucial issues in dependence, treatment &amp; prevention / edited by Nick Heather, Ian Robertson, &amp; Phil Davies on behalf of New Directions in the Study of Alcohol Group.</t>
  </si>
  <si>
    <t>New York : New York University Press, 1985.</t>
  </si>
  <si>
    <t>836701493:eng</t>
  </si>
  <si>
    <t>11784721</t>
  </si>
  <si>
    <t>991000590319702656</t>
  </si>
  <si>
    <t>2256789880002656</t>
  </si>
  <si>
    <t>9780814734322</t>
  </si>
  <si>
    <t>32285001071496</t>
  </si>
  <si>
    <t>893871802</t>
  </si>
  <si>
    <t>RC565 .M634 2002</t>
  </si>
  <si>
    <t>0                      RC 0565000M  634         2002</t>
  </si>
  <si>
    <t>Treating alcohol dependence : a coping skills training guide / Peter M. Monti ... [et al.] ; foreword by G. Alan Marlatt.</t>
  </si>
  <si>
    <t>New York : Guilford Press, c2002.</t>
  </si>
  <si>
    <t>2003-09-03</t>
  </si>
  <si>
    <t>840381388:eng</t>
  </si>
  <si>
    <t>50002248</t>
  </si>
  <si>
    <t>991004101639702656</t>
  </si>
  <si>
    <t>2270744520002656</t>
  </si>
  <si>
    <t>9781572307933</t>
  </si>
  <si>
    <t>32285004781471</t>
  </si>
  <si>
    <t>893605623</t>
  </si>
  <si>
    <t>RC565 .P375 2004</t>
  </si>
  <si>
    <t>0                      RC 0565000P  375         2004</t>
  </si>
  <si>
    <t>Treating alcoholism : helping your clients find the road to recovery / Robert R. Perkinson.</t>
  </si>
  <si>
    <t>Perkinson, Robert R.</t>
  </si>
  <si>
    <t>Hoboken, N.J. : John Wiley &amp; Sons, c2004.</t>
  </si>
  <si>
    <t>2005-03-14</t>
  </si>
  <si>
    <t>793973739:eng</t>
  </si>
  <si>
    <t>54905506</t>
  </si>
  <si>
    <t>991004470139702656</t>
  </si>
  <si>
    <t>2270548560002656</t>
  </si>
  <si>
    <t>9780471658061</t>
  </si>
  <si>
    <t>32285005041081</t>
  </si>
  <si>
    <t>893687766</t>
  </si>
  <si>
    <t>RC565 .P619</t>
  </si>
  <si>
    <t>0                      RC 0565000P  619</t>
  </si>
  <si>
    <t>The course of alcoholism : four years after treatment / J. Michael Polich, David J. Armor, Harriet B. Braiker.</t>
  </si>
  <si>
    <t>Polich, J. Michael.</t>
  </si>
  <si>
    <t>New York : Wiley, c1980, 1981.</t>
  </si>
  <si>
    <t>1997-04-16</t>
  </si>
  <si>
    <t>22507458:eng</t>
  </si>
  <si>
    <t>6914654</t>
  </si>
  <si>
    <t>991005057849702656</t>
  </si>
  <si>
    <t>2262650750002656</t>
  </si>
  <si>
    <t>9780471086826</t>
  </si>
  <si>
    <t>32285000779412</t>
  </si>
  <si>
    <t>893801653</t>
  </si>
  <si>
    <t>RC565 .P68 1989</t>
  </si>
  <si>
    <t>0                      RC 0565000P  68          1989</t>
  </si>
  <si>
    <t>Shame, guilt, and alcoholism : treatment issues in clinical practice / Ronald T. Potter-Efron.</t>
  </si>
  <si>
    <t>Potter-Efron, Ronald T.</t>
  </si>
  <si>
    <t>New York : Haworth Press, c1989.</t>
  </si>
  <si>
    <t>#2 of the Haworth series in addictions treatment</t>
  </si>
  <si>
    <t>1995-08-16</t>
  </si>
  <si>
    <t>14308244:eng</t>
  </si>
  <si>
    <t>18780754</t>
  </si>
  <si>
    <t>991001394979702656</t>
  </si>
  <si>
    <t>2258389170002656</t>
  </si>
  <si>
    <t>9780866568562</t>
  </si>
  <si>
    <t>32285002077575</t>
  </si>
  <si>
    <t>893321896</t>
  </si>
  <si>
    <t>RC565 .R56</t>
  </si>
  <si>
    <t>0                      RC 0565000R  56</t>
  </si>
  <si>
    <t>The etiology of alcoholism : constitutional, psychological, and sociological approaches / by Julian B. Roebuck and Raymond G. Kessler.</t>
  </si>
  <si>
    <t>Roebuck, Julian B.</t>
  </si>
  <si>
    <t>Springfield, Ill. : Thomas, [c1972]</t>
  </si>
  <si>
    <t>1996-10-27</t>
  </si>
  <si>
    <t>346946613:eng</t>
  </si>
  <si>
    <t>627793</t>
  </si>
  <si>
    <t>991003073489702656</t>
  </si>
  <si>
    <t>2257918200002656</t>
  </si>
  <si>
    <t>9780398023928</t>
  </si>
  <si>
    <t>32285000993765</t>
  </si>
  <si>
    <t>893252005</t>
  </si>
  <si>
    <t>RC565 .S6</t>
  </si>
  <si>
    <t>0                      RC 0565000S  6</t>
  </si>
  <si>
    <t>Behavioral treatment of alcohol problems : individualized therapy and controlled drinking / Mark B. Sobell and Linda C. Sobell.</t>
  </si>
  <si>
    <t>Sobell, Mark B.</t>
  </si>
  <si>
    <t>1996-10-06</t>
  </si>
  <si>
    <t>821920430:eng</t>
  </si>
  <si>
    <t>3275609</t>
  </si>
  <si>
    <t>991004395169702656</t>
  </si>
  <si>
    <t>2255508970002656</t>
  </si>
  <si>
    <t>9780306310577</t>
  </si>
  <si>
    <t>32285000072511</t>
  </si>
  <si>
    <t>893519596</t>
  </si>
  <si>
    <t>RC565 .S74 1975</t>
  </si>
  <si>
    <t>0                      RC 0565000S  74          1975</t>
  </si>
  <si>
    <t>Games alcoholics play : the analysis of life scripts / Claude Steiner.</t>
  </si>
  <si>
    <t>New York : Ballantine Books, 1975, c1971.</t>
  </si>
  <si>
    <t>1997-08-14</t>
  </si>
  <si>
    <t>1326170:eng</t>
  </si>
  <si>
    <t>1728558</t>
  </si>
  <si>
    <t>991003881869702656</t>
  </si>
  <si>
    <t>2270128990002656</t>
  </si>
  <si>
    <t>9780345323835</t>
  </si>
  <si>
    <t>32285003092540</t>
  </si>
  <si>
    <t>893900487</t>
  </si>
  <si>
    <t>RC565 .T23 1995</t>
  </si>
  <si>
    <t>0                      RC 0565000T  23          1995</t>
  </si>
  <si>
    <t>Biological aspects of alcoholism / edited by Boris Tabakoff and Paula L. Hoffman ; coordinating editors, Norman Sartorius and L Prilipko.</t>
  </si>
  <si>
    <t>Seattle : Hogrefe &amp; Huber, c1995.</t>
  </si>
  <si>
    <t>wau</t>
  </si>
  <si>
    <t>WHO expert series on biological psychiatry ; v. 4</t>
  </si>
  <si>
    <t>2003-05-18</t>
  </si>
  <si>
    <t>351324055:eng</t>
  </si>
  <si>
    <t>30593405</t>
  </si>
  <si>
    <t>991002348279702656</t>
  </si>
  <si>
    <t>2263372240002656</t>
  </si>
  <si>
    <t>9780889371309</t>
  </si>
  <si>
    <t>32285002404720</t>
  </si>
  <si>
    <t>893421242</t>
  </si>
  <si>
    <t>RC565 .T73 1987</t>
  </si>
  <si>
    <t>0                      RC 0565000T  73          1987</t>
  </si>
  <si>
    <t>Treatment and prevention of alcohol problems : a resource manual / edited by W. Miles Cox.</t>
  </si>
  <si>
    <t>Orlando : Academic Press, 1987.</t>
  </si>
  <si>
    <t>Personality, psychopathology, and psychotherapy</t>
  </si>
  <si>
    <t>889399379:eng</t>
  </si>
  <si>
    <t>13581985</t>
  </si>
  <si>
    <t>991000850399702656</t>
  </si>
  <si>
    <t>2259475940002656</t>
  </si>
  <si>
    <t>9780121944704</t>
  </si>
  <si>
    <t>32285000981786</t>
  </si>
  <si>
    <t>893249737</t>
  </si>
  <si>
    <t>RC565 .V33 1983</t>
  </si>
  <si>
    <t>0                      RC 0565000V  33          1983</t>
  </si>
  <si>
    <t>The natural history of alcoholism / George E. Vaillant.</t>
  </si>
  <si>
    <t>Vaillant, George E., 1934-</t>
  </si>
  <si>
    <t>Cambridge, Mass. : Harvard University Press, 1983.</t>
  </si>
  <si>
    <t>1997-06-02</t>
  </si>
  <si>
    <t>1108550:eng</t>
  </si>
  <si>
    <t>8554040</t>
  </si>
  <si>
    <t>991000018699702656</t>
  </si>
  <si>
    <t>2256468750002656</t>
  </si>
  <si>
    <t>9780674603752</t>
  </si>
  <si>
    <t>32285001071504</t>
  </si>
  <si>
    <t>893249004</t>
  </si>
  <si>
    <t>RC565 .V63 2000</t>
  </si>
  <si>
    <t>0                      RC 0565000V  63          2000</t>
  </si>
  <si>
    <t>Recovery options : the complete guide / Joseph Volpicelli, Maia Szalavitz.</t>
  </si>
  <si>
    <t>Volpicelli, Joseph.</t>
  </si>
  <si>
    <t>New York : Wiley, 2000.</t>
  </si>
  <si>
    <t>2008-02-17</t>
  </si>
  <si>
    <t>2002-12-03</t>
  </si>
  <si>
    <t>234352656:eng</t>
  </si>
  <si>
    <t>42812895</t>
  </si>
  <si>
    <t>991003932989702656</t>
  </si>
  <si>
    <t>2259850140002656</t>
  </si>
  <si>
    <t>9780471345756</t>
  </si>
  <si>
    <t>32285004667084</t>
  </si>
  <si>
    <t>893349401</t>
  </si>
  <si>
    <t>RC565 .W43</t>
  </si>
  <si>
    <t>0                      RC 0565000W  43</t>
  </si>
  <si>
    <t>A primer on chemical dependency : a clinical guide to alcohol and drug problems / Joseph Westermeyer.</t>
  </si>
  <si>
    <t>Westermeyer, Joseph, 1937-</t>
  </si>
  <si>
    <t>Baltimore : Williams &amp; Wilkins Co., c1976.</t>
  </si>
  <si>
    <t>1997-07-14</t>
  </si>
  <si>
    <t>866257134:eng</t>
  </si>
  <si>
    <t>2151256</t>
  </si>
  <si>
    <t>991004030709702656</t>
  </si>
  <si>
    <t>2261369710002656</t>
  </si>
  <si>
    <t>9780683089431</t>
  </si>
  <si>
    <t>32285001380970</t>
  </si>
  <si>
    <t>893337257</t>
  </si>
  <si>
    <t>RC565 .W46 1965</t>
  </si>
  <si>
    <t>0                      RC 0565000W  46          1965</t>
  </si>
  <si>
    <t>The lonely sickness : by Elizabeth D. Whitney. With a pref. by Robert Fleming.</t>
  </si>
  <si>
    <t>Whitney, Elizabeth D.</t>
  </si>
  <si>
    <t>Boston : Beacon Press, c1965, 1969 printing.</t>
  </si>
  <si>
    <t>1846810:eng</t>
  </si>
  <si>
    <t>909115</t>
  </si>
  <si>
    <t>991003372989702656</t>
  </si>
  <si>
    <t>2261638510002656</t>
  </si>
  <si>
    <t>32285001026623</t>
  </si>
  <si>
    <t>893805734</t>
  </si>
  <si>
    <t>RC566 .A334 2008</t>
  </si>
  <si>
    <t>0                      RC 0566000A  334         2008</t>
  </si>
  <si>
    <t>Addiction / Wyatt Schaefer, book editor.</t>
  </si>
  <si>
    <t>Detroit : Greenhaven Press, 2007.</t>
  </si>
  <si>
    <t>Social issues firsthand</t>
  </si>
  <si>
    <t>2009-03-19</t>
  </si>
  <si>
    <t>113675182:eng</t>
  </si>
  <si>
    <t>170957890</t>
  </si>
  <si>
    <t>991005166799702656</t>
  </si>
  <si>
    <t>2267010430002656</t>
  </si>
  <si>
    <t>9780737724943</t>
  </si>
  <si>
    <t>32285005377485</t>
  </si>
  <si>
    <t>893230308</t>
  </si>
  <si>
    <t>RC566 .A86 1980</t>
  </si>
  <si>
    <t>0                      RC 0566000A  86          1980</t>
  </si>
  <si>
    <t>What every well-informed person should know about drug addiction / David P. Ausubel.</t>
  </si>
  <si>
    <t>2001-03-30</t>
  </si>
  <si>
    <t>541529:eng</t>
  </si>
  <si>
    <t>5171035</t>
  </si>
  <si>
    <t>991004790739702656</t>
  </si>
  <si>
    <t>2258893160002656</t>
  </si>
  <si>
    <t>9780882295664</t>
  </si>
  <si>
    <t>32285000073436</t>
  </si>
  <si>
    <t>893706845</t>
  </si>
  <si>
    <t>RC566 .D53</t>
  </si>
  <si>
    <t>0                      RC 0566000D  53</t>
  </si>
  <si>
    <t>Differential treatment of drug and alcohol abusers / edited by Carl S. Davis and Marlin Ruth Schmidt ; written by Herbert Cross ... [et al.].</t>
  </si>
  <si>
    <t>Palm Springs, Calif. : ETC Publications, c1977.</t>
  </si>
  <si>
    <t>1998-04-04</t>
  </si>
  <si>
    <t>542670:eng</t>
  </si>
  <si>
    <t>2614261</t>
  </si>
  <si>
    <t>991004184759702656</t>
  </si>
  <si>
    <t>2266036230002656</t>
  </si>
  <si>
    <t>9780882800486</t>
  </si>
  <si>
    <t>32285001607521</t>
  </si>
  <si>
    <t>893605734</t>
  </si>
  <si>
    <t>RC566 .D78 1977</t>
  </si>
  <si>
    <t>0                      RC 0566000D  78          1977</t>
  </si>
  <si>
    <t>Drug dependence : current problems and issues / edited by M. M. Glatt.</t>
  </si>
  <si>
    <t>Baltimore : University Park Press, c1977.</t>
  </si>
  <si>
    <t>1992-04-06</t>
  </si>
  <si>
    <t>54154427:eng</t>
  </si>
  <si>
    <t>2797924</t>
  </si>
  <si>
    <t>991004244529702656</t>
  </si>
  <si>
    <t>2266094070002656</t>
  </si>
  <si>
    <t>9780839111016</t>
  </si>
  <si>
    <t>32285001034189</t>
  </si>
  <si>
    <t>893782013</t>
  </si>
  <si>
    <t>RC566 .G64</t>
  </si>
  <si>
    <t>0                      RC 0566000G  64</t>
  </si>
  <si>
    <t>What you should know about drugs / [by] Charles W. Gorodetzky and Samuel T. Christian.</t>
  </si>
  <si>
    <t>Gorodetzky, Charles W. (Charles William), 1937-</t>
  </si>
  <si>
    <t>New York : Harcourt Brace Jovanovich, [1970]</t>
  </si>
  <si>
    <t>358353314:eng</t>
  </si>
  <si>
    <t>95575</t>
  </si>
  <si>
    <t>991000580609702656</t>
  </si>
  <si>
    <t>2272360200002656</t>
  </si>
  <si>
    <t>9780152955106</t>
  </si>
  <si>
    <t>32285001579746</t>
  </si>
  <si>
    <t>893614314</t>
  </si>
  <si>
    <t>RC566 .J63 1973</t>
  </si>
  <si>
    <t>0                      RC 0566000J  63          1973</t>
  </si>
  <si>
    <t>Drugs and alcohol / [by] Kenneth L. Jones, Louis W. Shainberg [and] Curtis O. Byer.</t>
  </si>
  <si>
    <t>Jones, Kenneth Lamar, 1931-</t>
  </si>
  <si>
    <t>New York : Harper &amp; Row, [1973]</t>
  </si>
  <si>
    <t>2008-01-16</t>
  </si>
  <si>
    <t>1136018:eng</t>
  </si>
  <si>
    <t>636326</t>
  </si>
  <si>
    <t>991003085779702656</t>
  </si>
  <si>
    <t>2255321870002656</t>
  </si>
  <si>
    <t>9780060434298</t>
  </si>
  <si>
    <t>32285001036689</t>
  </si>
  <si>
    <t>893428426</t>
  </si>
  <si>
    <t>RC566 .L58</t>
  </si>
  <si>
    <t>0                      RC 0566000L  58</t>
  </si>
  <si>
    <t>Longitudinal research on drug use : empirical findings and methodological issues / edited by Denise B. Kandel. --</t>
  </si>
  <si>
    <t>Washington : Hemisphere Pub. Corp. ; New York : distributed solely by Halsted Press, c1978.</t>
  </si>
  <si>
    <t>904525307:eng</t>
  </si>
  <si>
    <t>3843267</t>
  </si>
  <si>
    <t>991004525409702656</t>
  </si>
  <si>
    <t>2266399530002656</t>
  </si>
  <si>
    <t>9780470262870</t>
  </si>
  <si>
    <t>32285001607539</t>
  </si>
  <si>
    <t>893612457</t>
  </si>
  <si>
    <t>RC566 .L62</t>
  </si>
  <si>
    <t>0                      RC 0566000L  62</t>
  </si>
  <si>
    <t>Overcoming drugs : a program for action / [by] Donald B. Louria.</t>
  </si>
  <si>
    <t>Louria, Donald B.</t>
  </si>
  <si>
    <t>New York : McGraw-Hill, [1971]</t>
  </si>
  <si>
    <t>1991-09-26</t>
  </si>
  <si>
    <t>1167535:eng</t>
  </si>
  <si>
    <t>150190</t>
  </si>
  <si>
    <t>991000859949702656</t>
  </si>
  <si>
    <t>2271021440002656</t>
  </si>
  <si>
    <t>9780070387799</t>
  </si>
  <si>
    <t>32285000760289</t>
  </si>
  <si>
    <t>893595958</t>
  </si>
  <si>
    <t>RC566 .M3 1967</t>
  </si>
  <si>
    <t>0                      RC 0566000M  3           1967</t>
  </si>
  <si>
    <t>Narcotics and narcotic addiction / by David W. Maurer and Victor H. Vogel.</t>
  </si>
  <si>
    <t>Maurer, David W.</t>
  </si>
  <si>
    <t>Springfield, Ill. : C. C. Thomas, [1967]</t>
  </si>
  <si>
    <t>American lecture series, publication no. 668. A monograph in the Bannerstone division of American lectures in public protection</t>
  </si>
  <si>
    <t>1993-05-12</t>
  </si>
  <si>
    <t>1382670:eng</t>
  </si>
  <si>
    <t>265605</t>
  </si>
  <si>
    <t>991002095899702656</t>
  </si>
  <si>
    <t>2267775720002656</t>
  </si>
  <si>
    <t>32285001653608</t>
  </si>
  <si>
    <t>893322556</t>
  </si>
  <si>
    <t>RC566 .M54</t>
  </si>
  <si>
    <t>0                      RC 0566000M  54</t>
  </si>
  <si>
    <t>Drug abuse and addiction : a fact book for parents, teen-agers, and young adults / introd. by Richard L. Ottinger.</t>
  </si>
  <si>
    <t>Milbauer, Barbara.</t>
  </si>
  <si>
    <t>New York : Crown Publishers, [1970]</t>
  </si>
  <si>
    <t>1995-03-16</t>
  </si>
  <si>
    <t>1194568:eng</t>
  </si>
  <si>
    <t>107812</t>
  </si>
  <si>
    <t>991000635949702656</t>
  </si>
  <si>
    <t>2262021070002656</t>
  </si>
  <si>
    <t>32285001034171</t>
  </si>
  <si>
    <t>893696005</t>
  </si>
  <si>
    <t>RC566 .P58 1971b</t>
  </si>
  <si>
    <t>0                      RC 0566000P  58          1971b</t>
  </si>
  <si>
    <t>Voices from the drug culture [by] Harrison Pope, Jr.</t>
  </si>
  <si>
    <t>Boston, Beacon Press [c1971]</t>
  </si>
  <si>
    <t>1992-04-23</t>
  </si>
  <si>
    <t>1328020:eng</t>
  </si>
  <si>
    <t>281159</t>
  </si>
  <si>
    <t>991002192279702656</t>
  </si>
  <si>
    <t>2264701060002656</t>
  </si>
  <si>
    <t>9780807027707</t>
  </si>
  <si>
    <t>32285001054872</t>
  </si>
  <si>
    <t>893892256</t>
  </si>
  <si>
    <t>RC566.A1 E18</t>
  </si>
  <si>
    <t>0                      RC 0566000A  1                  E  18</t>
  </si>
  <si>
    <t>Drug abuse : current concepts and research / compiled and edited by Wolfram Keup.</t>
  </si>
  <si>
    <t>Eastern Psychiatric Research Association.</t>
  </si>
  <si>
    <t>Springfield, Ill. : Thomas, [1972]</t>
  </si>
  <si>
    <t>1669836:eng</t>
  </si>
  <si>
    <t>570359</t>
  </si>
  <si>
    <t>991003002939702656</t>
  </si>
  <si>
    <t>2269864530002656</t>
  </si>
  <si>
    <t>9780398023317</t>
  </si>
  <si>
    <t>32285000426634</t>
  </si>
  <si>
    <t>893505091</t>
  </si>
  <si>
    <t>RC567 .L38</t>
  </si>
  <si>
    <t>0                      RC 0567000L  38</t>
  </si>
  <si>
    <t>Learning mechanisms in smoking. Edited by William A. Hunt.</t>
  </si>
  <si>
    <t>Chicago, Aldine Pub. Co. [1970]</t>
  </si>
  <si>
    <t>2006-10-30</t>
  </si>
  <si>
    <t>905200200:eng</t>
  </si>
  <si>
    <t>102014</t>
  </si>
  <si>
    <t>991000616999702656</t>
  </si>
  <si>
    <t>2261798160002656</t>
  </si>
  <si>
    <t>9780202260068</t>
  </si>
  <si>
    <t>32285003092573</t>
  </si>
  <si>
    <t>893689864</t>
  </si>
  <si>
    <t>RC568.C6 C627 1987</t>
  </si>
  <si>
    <t>0                      RC 0568000C  6                  C  627         1987</t>
  </si>
  <si>
    <t>Cocaine abuse : new directions in treatment and research / edited by Henry I. Spitz and Jeffrey S. Rosecan.</t>
  </si>
  <si>
    <t>1990-06-07</t>
  </si>
  <si>
    <t>866259804:eng</t>
  </si>
  <si>
    <t>15014885</t>
  </si>
  <si>
    <t>991000975099702656</t>
  </si>
  <si>
    <t>2272177980002656</t>
  </si>
  <si>
    <t>9780876304617</t>
  </si>
  <si>
    <t>32285000184241</t>
  </si>
  <si>
    <t>893884925</t>
  </si>
  <si>
    <t>RC568.C6 G65 1984</t>
  </si>
  <si>
    <t>0                      RC 0568000C  6                  G  65          1984</t>
  </si>
  <si>
    <t>800-Cocaine / Mark S. Gold.</t>
  </si>
  <si>
    <t>New York, N.Y. : Bantam Books, 1984.</t>
  </si>
  <si>
    <t>2003-04-07</t>
  </si>
  <si>
    <t>2894526:eng</t>
  </si>
  <si>
    <t>10606316</t>
  </si>
  <si>
    <t>991000400839702656</t>
  </si>
  <si>
    <t>2260611500002656</t>
  </si>
  <si>
    <t>9780553340945</t>
  </si>
  <si>
    <t>32285001054633</t>
  </si>
  <si>
    <t>893607880</t>
  </si>
  <si>
    <t>RC568.H4 M65 2000</t>
  </si>
  <si>
    <t>0                      RC 0568000H  4                  M  65          2000</t>
  </si>
  <si>
    <t>The little book of heroin / Franics [sic] Moraes.</t>
  </si>
  <si>
    <t>Moraes, Francis.</t>
  </si>
  <si>
    <t>Berkeley, CA : Ronin Publishing : Distributed by Publishers Group West, c2000.</t>
  </si>
  <si>
    <t>35144323:eng</t>
  </si>
  <si>
    <t>45905636</t>
  </si>
  <si>
    <t>991003933509702656</t>
  </si>
  <si>
    <t>2264425680002656</t>
  </si>
  <si>
    <t>9780914171980</t>
  </si>
  <si>
    <t>32285004664537</t>
  </si>
  <si>
    <t>893699608</t>
  </si>
  <si>
    <t>RC568.O6 L5 1968</t>
  </si>
  <si>
    <t>0                      RC 0568000O  6                  L  5           1968</t>
  </si>
  <si>
    <t>Addiction and opiates / [by] Alfred R. Lindesmith.</t>
  </si>
  <si>
    <t>Lindesmith, Alfred Ray, 1905-1991.</t>
  </si>
  <si>
    <t>Chicago : Aldine Pub. Co., [1968]</t>
  </si>
  <si>
    <t>119580514:eng</t>
  </si>
  <si>
    <t>239558</t>
  </si>
  <si>
    <t>991001903559702656</t>
  </si>
  <si>
    <t>2256838090002656</t>
  </si>
  <si>
    <t>32285000756956</t>
  </si>
  <si>
    <t>893244508</t>
  </si>
  <si>
    <t>RC569 .A77 1992</t>
  </si>
  <si>
    <t>0                      RC 0569000A  77          1992</t>
  </si>
  <si>
    <t>Assessment and prediction of suicide / edited by Ronald W. Maris ... [et al.].</t>
  </si>
  <si>
    <t>2003-11-10</t>
  </si>
  <si>
    <t>1995-02-07</t>
  </si>
  <si>
    <t>353964770:eng</t>
  </si>
  <si>
    <t>24913591</t>
  </si>
  <si>
    <t>991001966839702656</t>
  </si>
  <si>
    <t>2266190870002656</t>
  </si>
  <si>
    <t>9780898627916</t>
  </si>
  <si>
    <t>32285001997708</t>
  </si>
  <si>
    <t>893785572</t>
  </si>
  <si>
    <t>RC569 .B66 1991</t>
  </si>
  <si>
    <t>0                      RC 0569000B  66          1991</t>
  </si>
  <si>
    <t>The suicidal patient : clinical and legal standards of care / Bruce Bongar ; Eric Harris, legal consultant.</t>
  </si>
  <si>
    <t>Bongar, Bruce Michael.</t>
  </si>
  <si>
    <t>Washington, D.C. : American Psychological Association, c1991.</t>
  </si>
  <si>
    <t>1999-03-16</t>
  </si>
  <si>
    <t>1999-08-09</t>
  </si>
  <si>
    <t>1991-11-18</t>
  </si>
  <si>
    <t>1999-10-27</t>
  </si>
  <si>
    <t>4925429587:eng</t>
  </si>
  <si>
    <t>23218979</t>
  </si>
  <si>
    <t>991001648319702656</t>
  </si>
  <si>
    <t>2260221490002656</t>
  </si>
  <si>
    <t>9781557981097</t>
  </si>
  <si>
    <t>32285000816487</t>
  </si>
  <si>
    <t>893444736</t>
  </si>
  <si>
    <t>RC569 .B74 1983</t>
  </si>
  <si>
    <t>0                      RC 0569000B  74          1983</t>
  </si>
  <si>
    <t>Brief counseling with suicidal persons / William L. Getz ... [et al.].</t>
  </si>
  <si>
    <t>Lexington, Mass. : Lexington Books, c1983.</t>
  </si>
  <si>
    <t>2007-02-16</t>
  </si>
  <si>
    <t>54526259:eng</t>
  </si>
  <si>
    <t>8845656</t>
  </si>
  <si>
    <t>991000082379702656</t>
  </si>
  <si>
    <t>2254768800002656</t>
  </si>
  <si>
    <t>9780669040906</t>
  </si>
  <si>
    <t>32285001152163</t>
  </si>
  <si>
    <t>893514974</t>
  </si>
  <si>
    <t>RC569 .G47 1985</t>
  </si>
  <si>
    <t>0                      RC 0569000G  47          1985</t>
  </si>
  <si>
    <t>The suicide syndrome : origins, manifestations, and alleviation of human self-destructiveness / Larry Morton Gernsbacher.</t>
  </si>
  <si>
    <t>Gernsbacher, Larry Morton.</t>
  </si>
  <si>
    <t>New York, N.Y. : Human Sciences Press, c1985.</t>
  </si>
  <si>
    <t>1998-11-05</t>
  </si>
  <si>
    <t>3816840:eng</t>
  </si>
  <si>
    <t>11158620</t>
  </si>
  <si>
    <t>991000497749702656</t>
  </si>
  <si>
    <t>2255140800002656</t>
  </si>
  <si>
    <t>9780898852325</t>
  </si>
  <si>
    <t>32285000845486</t>
  </si>
  <si>
    <t>893884439</t>
  </si>
  <si>
    <t>RC569 .H43 1994</t>
  </si>
  <si>
    <t>0                      RC 0569000H  43          1994</t>
  </si>
  <si>
    <t>Waking up, alive : the descent, the suicide attempt, and the return to life / Richard A. Heckler.</t>
  </si>
  <si>
    <t>Heckler, Richard A.</t>
  </si>
  <si>
    <t>1997-03-23</t>
  </si>
  <si>
    <t>31687713:eng</t>
  </si>
  <si>
    <t>29702752</t>
  </si>
  <si>
    <t>991002291369702656</t>
  </si>
  <si>
    <t>2261457230002656</t>
  </si>
  <si>
    <t>9780399139451</t>
  </si>
  <si>
    <t>32285002113412</t>
  </si>
  <si>
    <t>893497933</t>
  </si>
  <si>
    <t>RC569 .H56</t>
  </si>
  <si>
    <t>0                      RC 0569000H  56</t>
  </si>
  <si>
    <t>The counselor and suicidal crisis : diagnosis and intervention / by John Hipple and Peter Cimbolic.</t>
  </si>
  <si>
    <t>198220604:eng</t>
  </si>
  <si>
    <t>4494210</t>
  </si>
  <si>
    <t>991004651599702656</t>
  </si>
  <si>
    <t>2265415280002656</t>
  </si>
  <si>
    <t>9780398038724</t>
  </si>
  <si>
    <t>32285001145555</t>
  </si>
  <si>
    <t>893241693</t>
  </si>
  <si>
    <t>RC569 .H65 1987</t>
  </si>
  <si>
    <t>0                      RC 0569000H  65          1987</t>
  </si>
  <si>
    <t>Violent deaths in the United States : an epidemiologic study of suicide, homicide, and accidents / Paul C. Holinger ; foreword by Jan Fawcett.</t>
  </si>
  <si>
    <t>Holinger, Paul C.</t>
  </si>
  <si>
    <t>294423545:eng</t>
  </si>
  <si>
    <t>15656185</t>
  </si>
  <si>
    <t>991001051689702656</t>
  </si>
  <si>
    <t>2268219280002656</t>
  </si>
  <si>
    <t>9780898626728</t>
  </si>
  <si>
    <t>32285000976166</t>
  </si>
  <si>
    <t>893255969</t>
  </si>
  <si>
    <t>RC569 .L46 1988</t>
  </si>
  <si>
    <t>0                      RC 0569000L  46          1988</t>
  </si>
  <si>
    <t>The biochemical basis of suicide / by David Lester.</t>
  </si>
  <si>
    <t>1997-02-16</t>
  </si>
  <si>
    <t>15635627:eng</t>
  </si>
  <si>
    <t>17265210</t>
  </si>
  <si>
    <t>991001194619702656</t>
  </si>
  <si>
    <t>2264068200002656</t>
  </si>
  <si>
    <t>9780398054434</t>
  </si>
  <si>
    <t>32285000975887</t>
  </si>
  <si>
    <t>893225675</t>
  </si>
  <si>
    <t>RC569 .M35 1986</t>
  </si>
  <si>
    <t>0                      RC 0569000M  35          1986</t>
  </si>
  <si>
    <t>Suicide risk : the formulation of clinical judgment / John T. Maltsberger.</t>
  </si>
  <si>
    <t>Maltsberger, John T.</t>
  </si>
  <si>
    <t>New York : New York University Press, c1986.</t>
  </si>
  <si>
    <t>2002-10-03</t>
  </si>
  <si>
    <t>836620495:eng</t>
  </si>
  <si>
    <t>13159091</t>
  </si>
  <si>
    <t>991000792079702656</t>
  </si>
  <si>
    <t>2267646970002656</t>
  </si>
  <si>
    <t>9780814753989</t>
  </si>
  <si>
    <t>32285000180181</t>
  </si>
  <si>
    <t>893714908</t>
  </si>
  <si>
    <t>RC569 .R53 1986</t>
  </si>
  <si>
    <t>0                      RC 0569000R  53          1986</t>
  </si>
  <si>
    <t>Family therapy for suicidal people / Joseph Richman.</t>
  </si>
  <si>
    <t>Richman, Joseph.</t>
  </si>
  <si>
    <t>New York : Springer Pub. Co., c1986.</t>
  </si>
  <si>
    <t>The Springer series on death and suicide ; v. 7</t>
  </si>
  <si>
    <t>1997-09-18</t>
  </si>
  <si>
    <t>1990-02-20</t>
  </si>
  <si>
    <t>967282:eng</t>
  </si>
  <si>
    <t>12420786</t>
  </si>
  <si>
    <t>991000685889702656</t>
  </si>
  <si>
    <t>2254984510002656</t>
  </si>
  <si>
    <t>9780826150103</t>
  </si>
  <si>
    <t>32285000057454</t>
  </si>
  <si>
    <t>893802998</t>
  </si>
  <si>
    <t>RC569 .S937</t>
  </si>
  <si>
    <t>0                      RC 0569000S  937</t>
  </si>
  <si>
    <t>Suicide : theory and clinical aspects / L. D. Hankoff, editor, Bernice Einsidler, associate editor.</t>
  </si>
  <si>
    <t>Littleton, Mass. : PSG Pub. Co., c1979.</t>
  </si>
  <si>
    <t>1991-06-18</t>
  </si>
  <si>
    <t>896923499:eng</t>
  </si>
  <si>
    <t>4036310</t>
  </si>
  <si>
    <t>991004572139702656</t>
  </si>
  <si>
    <t>2269435610002656</t>
  </si>
  <si>
    <t>9780884161981</t>
  </si>
  <si>
    <t>32285000630656</t>
  </si>
  <si>
    <t>893876266</t>
  </si>
  <si>
    <t>RC569 .S94</t>
  </si>
  <si>
    <t>0                      RC 0569000S  94</t>
  </si>
  <si>
    <t>Suicidology : contemporary developments / edited by Edwin S. Shneidman ; foreword by Milton Greenblatt.</t>
  </si>
  <si>
    <t>New York : Grune &amp; Stratton, c1976.</t>
  </si>
  <si>
    <t>Seminars in psychiatry</t>
  </si>
  <si>
    <t>2002-11-13</t>
  </si>
  <si>
    <t>836659501:eng</t>
  </si>
  <si>
    <t>2326408</t>
  </si>
  <si>
    <t>991001767289702656</t>
  </si>
  <si>
    <t>2261503280002656</t>
  </si>
  <si>
    <t>9780808909309</t>
  </si>
  <si>
    <t>32285001770105</t>
  </si>
  <si>
    <t>893866463</t>
  </si>
  <si>
    <t>RC569 .W44</t>
  </si>
  <si>
    <t>0                      RC 0569000W  44</t>
  </si>
  <si>
    <t>Handbook of suicidology : principles, problems, and practice / by Louis Wekstein.</t>
  </si>
  <si>
    <t>Wekstein, Louis, 1917-</t>
  </si>
  <si>
    <t>199214800:eng</t>
  </si>
  <si>
    <t>5285972</t>
  </si>
  <si>
    <t>991004812049702656</t>
  </si>
  <si>
    <t>2272092130002656</t>
  </si>
  <si>
    <t>9780876302118</t>
  </si>
  <si>
    <t>32285001059616</t>
  </si>
  <si>
    <t>893807503</t>
  </si>
  <si>
    <t>RC569.5 .C5513 1997</t>
  </si>
  <si>
    <t>0                      RC 0569500C  5513        1997</t>
  </si>
  <si>
    <t>Breaking down the wall of silence : the liberating experience of facing painful truth / Alice Miller ; translation by Simon Worrall.</t>
  </si>
  <si>
    <t>Miller, Alice.</t>
  </si>
  <si>
    <t>New York : Meridian, 1997.</t>
  </si>
  <si>
    <t>Rev. ed. / with a new preface by the author.</t>
  </si>
  <si>
    <t>2004-07-12</t>
  </si>
  <si>
    <t>1997-09-23</t>
  </si>
  <si>
    <t>3943563444:eng</t>
  </si>
  <si>
    <t>35192311</t>
  </si>
  <si>
    <t>991002695139702656</t>
  </si>
  <si>
    <t>2256385420002656</t>
  </si>
  <si>
    <t>9780452011113</t>
  </si>
  <si>
    <t>32285003250221</t>
  </si>
  <si>
    <t>893804901</t>
  </si>
  <si>
    <t>RC569.5.A28 D38 1991</t>
  </si>
  <si>
    <t>0                      RC 0569500A  28                 D  38          1991</t>
  </si>
  <si>
    <t>Allies in healing : when the person you love was sexually abused as a child / Laura Davis.</t>
  </si>
  <si>
    <t>Davis, Laura.</t>
  </si>
  <si>
    <t>New York, N.Y. : HarperPerennial, c1991.</t>
  </si>
  <si>
    <t>1996-12-06</t>
  </si>
  <si>
    <t>198608549:eng</t>
  </si>
  <si>
    <t>23287102</t>
  </si>
  <si>
    <t>991001855989702656</t>
  </si>
  <si>
    <t>2272084560002656</t>
  </si>
  <si>
    <t>9780060968830</t>
  </si>
  <si>
    <t>32285001196293</t>
  </si>
  <si>
    <t>893439489</t>
  </si>
  <si>
    <t>RC569.5.A28 M35 2001</t>
  </si>
  <si>
    <t>0                      RC 0569500A  28                 M  35          2001</t>
  </si>
  <si>
    <t>The sexual healing journey : a guide for survivors of sexual abuse / Wendy Maltz ; illustrations by Carol Arian.</t>
  </si>
  <si>
    <t>Maltz, Wendy.</t>
  </si>
  <si>
    <t>New York : Quill, 2001.</t>
  </si>
  <si>
    <t>24155541:eng</t>
  </si>
  <si>
    <t>46402842</t>
  </si>
  <si>
    <t>991005049599702656</t>
  </si>
  <si>
    <t>2263620240002656</t>
  </si>
  <si>
    <t>9780060959647</t>
  </si>
  <si>
    <t>32285005281273</t>
  </si>
  <si>
    <t>893344566</t>
  </si>
  <si>
    <t>RC569.5.A28 P67 1996</t>
  </si>
  <si>
    <t>0                      RC 0569500A  28                 P  67          1996</t>
  </si>
  <si>
    <t>Recovered memories of abuse : assessment, therapy, forensics / Kenneth S. Pope and Laura S. Brown.</t>
  </si>
  <si>
    <t>Washington, D.C. : American Psychological Ass., c1996.</t>
  </si>
  <si>
    <t>2006-09-12</t>
  </si>
  <si>
    <t>2004-05-11</t>
  </si>
  <si>
    <t>890954432:eng</t>
  </si>
  <si>
    <t>35121783</t>
  </si>
  <si>
    <t>991004265339702656</t>
  </si>
  <si>
    <t>2258610170002656</t>
  </si>
  <si>
    <t>9781557983954</t>
  </si>
  <si>
    <t>32285004905013</t>
  </si>
  <si>
    <t>893788496</t>
  </si>
  <si>
    <t>RC569.5.A28 W35 1994</t>
  </si>
  <si>
    <t>0                      RC 0569500A  28                 W  35          1994</t>
  </si>
  <si>
    <t>Return of the furies : an investigation into recovered memory therapy / Hollida Wakefield and Ralph Underwager.</t>
  </si>
  <si>
    <t>Wakefield, Hollida.</t>
  </si>
  <si>
    <t>Chicago : Open Court, c1994.</t>
  </si>
  <si>
    <t>1998-09-19</t>
  </si>
  <si>
    <t>232264701:eng</t>
  </si>
  <si>
    <t>30894975</t>
  </si>
  <si>
    <t>991002376469702656</t>
  </si>
  <si>
    <t>2271134450002656</t>
  </si>
  <si>
    <t>9780812692716</t>
  </si>
  <si>
    <t>32285002113495</t>
  </si>
  <si>
    <t>893685296</t>
  </si>
  <si>
    <t>RC569.5.A3 B43 1992</t>
  </si>
  <si>
    <t>0                      RC 0569500A  3                  B  43          1992</t>
  </si>
  <si>
    <t>Adult children of divorce : breaking the cycle and finding fulfillment in love, marriage, and family / Edward W. Beal and Gloria Hochman.</t>
  </si>
  <si>
    <t>Beal, Edward W.</t>
  </si>
  <si>
    <t>New York, N.Y. : Dell Publishing, 1992, c1991.</t>
  </si>
  <si>
    <t>2000-11-09</t>
  </si>
  <si>
    <t>9645134:eng</t>
  </si>
  <si>
    <t>25333177</t>
  </si>
  <si>
    <t>991001994599702656</t>
  </si>
  <si>
    <t>2255724300002656</t>
  </si>
  <si>
    <t>9780385305938</t>
  </si>
  <si>
    <t>32285001119998</t>
  </si>
  <si>
    <t>893340914</t>
  </si>
  <si>
    <t>RC569.5.A3 B47 1991</t>
  </si>
  <si>
    <t>0                      RC 0569500A  3                  B  47          1991</t>
  </si>
  <si>
    <t>Adult children of divorce speak out about growing up with--and moving beyond--parental divorce / Claire Berman.</t>
  </si>
  <si>
    <t>Berman, Claire.</t>
  </si>
  <si>
    <t>New York : Simon &amp; Schuster, c1991.</t>
  </si>
  <si>
    <t>1991-08-06</t>
  </si>
  <si>
    <t>5610224852:eng</t>
  </si>
  <si>
    <t>22345298</t>
  </si>
  <si>
    <t>991001768549702656</t>
  </si>
  <si>
    <t>2257814860002656</t>
  </si>
  <si>
    <t>9780671731496</t>
  </si>
  <si>
    <t>32285000664861</t>
  </si>
  <si>
    <t>893898043</t>
  </si>
  <si>
    <t>RC569.5.A3 H37 1991</t>
  </si>
  <si>
    <t>0                      RC 0569500A  3                  H  37          1991</t>
  </si>
  <si>
    <t>Healing adult children of divorce : taking care of unfinished business so you can be whole again / Archibald D. Hart.</t>
  </si>
  <si>
    <t>Ann Arbor, Mich. : Vine Books/Servant Publications, c1991.</t>
  </si>
  <si>
    <t>1991-12-19</t>
  </si>
  <si>
    <t>5355000683:eng</t>
  </si>
  <si>
    <t>23901872</t>
  </si>
  <si>
    <t>991001893129702656</t>
  </si>
  <si>
    <t>2262270860002656</t>
  </si>
  <si>
    <t>9780892837274</t>
  </si>
  <si>
    <t>32285000861715</t>
  </si>
  <si>
    <t>893898142</t>
  </si>
  <si>
    <t>RC569.5.A34 G65 1987</t>
  </si>
  <si>
    <t>0                      RC 0569500A  34                 G  65          1987</t>
  </si>
  <si>
    <t>Aggressive behavior : assessment and intervention / Arnold P. Goldstein, Harold R. Keller.</t>
  </si>
  <si>
    <t>1995-10-22</t>
  </si>
  <si>
    <t>1991-11-12</t>
  </si>
  <si>
    <t>836714730:eng</t>
  </si>
  <si>
    <t>15428469</t>
  </si>
  <si>
    <t>991001024379702656</t>
  </si>
  <si>
    <t>2261883340002656</t>
  </si>
  <si>
    <t>9780080343198</t>
  </si>
  <si>
    <t>32285000822436</t>
  </si>
  <si>
    <t>893720902</t>
  </si>
  <si>
    <t>RC569.5.B67 B688 1992</t>
  </si>
  <si>
    <t>0                      RC 0569500B  67                 B  688         1992</t>
  </si>
  <si>
    <t>Borderline personality disorder : clinical and empirical perspectives / edited by John F. Clarkin, Elsa Marziali, Heather Munroe-Blum.</t>
  </si>
  <si>
    <t>The Guilford personality disorders series</t>
  </si>
  <si>
    <t>2007-03-09</t>
  </si>
  <si>
    <t>906524185:eng</t>
  </si>
  <si>
    <t>24246479</t>
  </si>
  <si>
    <t>991001920219702656</t>
  </si>
  <si>
    <t>2264001870002656</t>
  </si>
  <si>
    <t>9780898622621</t>
  </si>
  <si>
    <t>32285001403194</t>
  </si>
  <si>
    <t>893497540</t>
  </si>
  <si>
    <t>RC569.5.B67 K76 1988</t>
  </si>
  <si>
    <t>0                      RC 0569500B  67                 K  76          1988</t>
  </si>
  <si>
    <t>The challenge of the borderline patient : competency in diagnosis and treatment / Jerome Kroll.</t>
  </si>
  <si>
    <t>Kroll, Jerome.</t>
  </si>
  <si>
    <t>2005-09-21</t>
  </si>
  <si>
    <t>1990-05-29</t>
  </si>
  <si>
    <t>13501028:eng</t>
  </si>
  <si>
    <t>16717595</t>
  </si>
  <si>
    <t>991001137259702656</t>
  </si>
  <si>
    <t>2256675780002656</t>
  </si>
  <si>
    <t>9780393700473</t>
  </si>
  <si>
    <t>32285000156447</t>
  </si>
  <si>
    <t>893420102</t>
  </si>
  <si>
    <t>RC569.5.B67 M67 1996</t>
  </si>
  <si>
    <t>0                      RC 0569500B  67                 M  67          1996</t>
  </si>
  <si>
    <t>Lost in the mirror : an inside look at borderline personality disorder / Richard A. Moskovitz.</t>
  </si>
  <si>
    <t>Moskovitz, Richard A.</t>
  </si>
  <si>
    <t>Dallas, Tex. : Taylor Pub. Co., c1996.</t>
  </si>
  <si>
    <t>1996-12-14</t>
  </si>
  <si>
    <t>896030001:eng</t>
  </si>
  <si>
    <t>34410811</t>
  </si>
  <si>
    <t>991002624909702656</t>
  </si>
  <si>
    <t>2263600250002656</t>
  </si>
  <si>
    <t>9780878339365</t>
  </si>
  <si>
    <t>32285002396744</t>
  </si>
  <si>
    <t>893685574</t>
  </si>
  <si>
    <t>RC569.5.B67 P79 1989</t>
  </si>
  <si>
    <t>0                      RC 0569500B  67                 P  79          1989</t>
  </si>
  <si>
    <t>Psychodynamic psychotherapy of borderline patients / Otto F. Kernberg ... [et al.].</t>
  </si>
  <si>
    <t>New York : Basic Books, c1989.</t>
  </si>
  <si>
    <t>21202775:eng</t>
  </si>
  <si>
    <t>19556151</t>
  </si>
  <si>
    <t>991001475409702656</t>
  </si>
  <si>
    <t>2271267100002656</t>
  </si>
  <si>
    <t>9780465066438</t>
  </si>
  <si>
    <t>32285000572809</t>
  </si>
  <si>
    <t>893516219</t>
  </si>
  <si>
    <t>RC569.5.B67 S76 1990</t>
  </si>
  <si>
    <t>0                      RC 0569500B  67                 S  76          1990</t>
  </si>
  <si>
    <t>The fate of borderline patients : successful outcome and psychiatric practice / Michael H. Stone ; foreword by Allen Frances.</t>
  </si>
  <si>
    <t>Stone, Michael H., 1933-</t>
  </si>
  <si>
    <t>1992-03-01</t>
  </si>
  <si>
    <t>433680818:eng</t>
  </si>
  <si>
    <t>21294549</t>
  </si>
  <si>
    <t>991001671469702656</t>
  </si>
  <si>
    <t>2265210110002656</t>
  </si>
  <si>
    <t>9780898623994</t>
  </si>
  <si>
    <t>32285000937473</t>
  </si>
  <si>
    <t>893684515</t>
  </si>
  <si>
    <t>RC569.5.C55 A44 2003</t>
  </si>
  <si>
    <t>0                      RC 0569500C  55                 A  44          2003</t>
  </si>
  <si>
    <t>Finding courage to speak : women's survival of child abuse / Paige Alisen.</t>
  </si>
  <si>
    <t>Alisen, Paige, 1963-</t>
  </si>
  <si>
    <t>Boston : Northeastern University Press, c2003.</t>
  </si>
  <si>
    <t>772015:eng</t>
  </si>
  <si>
    <t>52127511</t>
  </si>
  <si>
    <t>991004284509702656</t>
  </si>
  <si>
    <t>2262745420002656</t>
  </si>
  <si>
    <t>9781555535803</t>
  </si>
  <si>
    <t>32285004904677</t>
  </si>
  <si>
    <t>893693754</t>
  </si>
  <si>
    <t>RC569.5.C55 B56 1997</t>
  </si>
  <si>
    <t>0                      RC 0569500C  55                 B  56          1997</t>
  </si>
  <si>
    <t>Creating sanctuary : toward the evolution of sane societies / Sandra L. Bloom.</t>
  </si>
  <si>
    <t>Bloom, Sandra L., 1948-</t>
  </si>
  <si>
    <t>New York : Routledge, 1997.</t>
  </si>
  <si>
    <t>2005-12-14</t>
  </si>
  <si>
    <t>1998-08-04</t>
  </si>
  <si>
    <t>837037580:eng</t>
  </si>
  <si>
    <t>35955107</t>
  </si>
  <si>
    <t>991002737849702656</t>
  </si>
  <si>
    <t>2271799210002656</t>
  </si>
  <si>
    <t>9780415915687</t>
  </si>
  <si>
    <t>32285003448668</t>
  </si>
  <si>
    <t>893233360</t>
  </si>
  <si>
    <t>RC569.5.C55 C46 1983</t>
  </si>
  <si>
    <t>0                      RC 0569500C  55                 C  46          1983</t>
  </si>
  <si>
    <t>Child abuse : the nonhuman primate data / editors, Martin Reite, Nancy G. Caine.</t>
  </si>
  <si>
    <t>New York : A. Liss, c1983.</t>
  </si>
  <si>
    <t>Monographs in primatology ; v. 1</t>
  </si>
  <si>
    <t>2002-10-31</t>
  </si>
  <si>
    <t>796087320:eng</t>
  </si>
  <si>
    <t>9254635</t>
  </si>
  <si>
    <t>991000157989702656</t>
  </si>
  <si>
    <t>2259081410002656</t>
  </si>
  <si>
    <t>9780845134009</t>
  </si>
  <si>
    <t>32285000239110</t>
  </si>
  <si>
    <t>893527859</t>
  </si>
  <si>
    <t>RC569.5.C55 J44 1988</t>
  </si>
  <si>
    <t>0                      RC 0569500C  55                 J  44          1988</t>
  </si>
  <si>
    <t>Beyond sexual abuse : therapy with women who were childhood victims / Derek Jehu, in association with Marjorie Gazan and Carole Klassen.</t>
  </si>
  <si>
    <t>Jehu, Derek.</t>
  </si>
  <si>
    <t>Chichester [England] ; New York : Wiley, c1988.</t>
  </si>
  <si>
    <t>Wiley series on psychotherapy and counselling</t>
  </si>
  <si>
    <t>347399767:eng</t>
  </si>
  <si>
    <t>17982702</t>
  </si>
  <si>
    <t>991001289689702656</t>
  </si>
  <si>
    <t>2259186640002656</t>
  </si>
  <si>
    <t>9780471919131</t>
  </si>
  <si>
    <t>32285000937416</t>
  </si>
  <si>
    <t>893866131</t>
  </si>
  <si>
    <t>RC569.5.C55 K44 1983</t>
  </si>
  <si>
    <t>0                      RC 0569500C  55                 K  44          1983</t>
  </si>
  <si>
    <t>Treating child-abusive families : intervention based on skills-training principles / Jeffrey A. Kelly.</t>
  </si>
  <si>
    <t>Kelly, Jeffrey A.</t>
  </si>
  <si>
    <t>836628822:eng</t>
  </si>
  <si>
    <t>9896291</t>
  </si>
  <si>
    <t>991000277159702656</t>
  </si>
  <si>
    <t>2264351390002656</t>
  </si>
  <si>
    <t>9780306414176</t>
  </si>
  <si>
    <t>32285000239128</t>
  </si>
  <si>
    <t>893689592</t>
  </si>
  <si>
    <t>RC569.5.C55 L88 2002</t>
  </si>
  <si>
    <t>0                      RC 0569500C  55                 L  88          2002</t>
  </si>
  <si>
    <t>Reducing child maltreatment : a guidebook for parent services / John R. Lutzker, Kathryn M. Bigelow ; series editor's note by David H. Barlow ; foreword by David A. Wolfe.</t>
  </si>
  <si>
    <t>Lutzker, John R., 1947-</t>
  </si>
  <si>
    <t>New York : Guilford Press , c2002.</t>
  </si>
  <si>
    <t>Treatment manuals for practitioners</t>
  </si>
  <si>
    <t>2002-03-27</t>
  </si>
  <si>
    <t>937568:eng</t>
  </si>
  <si>
    <t>47837900</t>
  </si>
  <si>
    <t>991003741289702656</t>
  </si>
  <si>
    <t>2260870730002656</t>
  </si>
  <si>
    <t>9781572307049</t>
  </si>
  <si>
    <t>32285004464078</t>
  </si>
  <si>
    <t>893894063</t>
  </si>
  <si>
    <t>RC569.5.C55 N38 1994</t>
  </si>
  <si>
    <t>0                      RC 0569500C  55                 N  38          1994</t>
  </si>
  <si>
    <t>Getting through the day : strategies for adults hurt as children / Nancy J. Napier.</t>
  </si>
  <si>
    <t>Napier, Nancy J.</t>
  </si>
  <si>
    <t>New York : W.W. Norton, c1994.</t>
  </si>
  <si>
    <t>335659:eng</t>
  </si>
  <si>
    <t>31384807</t>
  </si>
  <si>
    <t>991002411899702656</t>
  </si>
  <si>
    <t>2271771060002656</t>
  </si>
  <si>
    <t>9780393312423</t>
  </si>
  <si>
    <t>32285001975175</t>
  </si>
  <si>
    <t>893873486</t>
  </si>
  <si>
    <t>RC569.5.C55 R414 1989</t>
  </si>
  <si>
    <t>0                      RC 0569500C  55                 R  414         1989</t>
  </si>
  <si>
    <t>Emotional abuse of the child / Dory Renn.</t>
  </si>
  <si>
    <t>Renn, Dory.</t>
  </si>
  <si>
    <t>San Diego, CA : Libra Publishers, 1989.</t>
  </si>
  <si>
    <t>21984864:eng</t>
  </si>
  <si>
    <t>20850440</t>
  </si>
  <si>
    <t>991001625509702656</t>
  </si>
  <si>
    <t>2265883160002656</t>
  </si>
  <si>
    <t>9780872122161</t>
  </si>
  <si>
    <t>32285000939297</t>
  </si>
  <si>
    <t>893791547</t>
  </si>
  <si>
    <t>RC569.5.C55 W45 1995</t>
  </si>
  <si>
    <t>0                      RC 0569500C  55                 W  45          1995</t>
  </si>
  <si>
    <t>Memory and abuse : remembering and healing the effects of trauma / Charles L. Whitfield ; [foreword by Christine Courtois].</t>
  </si>
  <si>
    <t>Whitfield, Charles L.</t>
  </si>
  <si>
    <t>Deerfield Beach, Fla. : Health Communications, c1995.</t>
  </si>
  <si>
    <t>1999-02-18</t>
  </si>
  <si>
    <t>1996-09-26</t>
  </si>
  <si>
    <t>33068176:eng</t>
  </si>
  <si>
    <t>30978966</t>
  </si>
  <si>
    <t>991002384559702656</t>
  </si>
  <si>
    <t>2266624910002656</t>
  </si>
  <si>
    <t>9781558743205</t>
  </si>
  <si>
    <t>32285002320421</t>
  </si>
  <si>
    <t>893251147</t>
  </si>
  <si>
    <t>RC569.5.C55 W64 1991</t>
  </si>
  <si>
    <t>0                      RC 0569500C  55                 W  64          1991</t>
  </si>
  <si>
    <t>Preventing physical and emotional abuse of children / David A. Wolfe ; editor's note by David H. Barlow.</t>
  </si>
  <si>
    <t>Wolfe, David A. (David Allen), 1951-</t>
  </si>
  <si>
    <t>New York : Guilford Press, 1991.</t>
  </si>
  <si>
    <t>1999-04-25</t>
  </si>
  <si>
    <t>143825484:eng</t>
  </si>
  <si>
    <t>24066523</t>
  </si>
  <si>
    <t>991001904519702656</t>
  </si>
  <si>
    <t>2261920330002656</t>
  </si>
  <si>
    <t>9780898622195</t>
  </si>
  <si>
    <t>32285000863604</t>
  </si>
  <si>
    <t>893346878</t>
  </si>
  <si>
    <t>RC569.5.C63 I78 1999</t>
  </si>
  <si>
    <t>0                      RC 0569500C  63                 I  78          1999</t>
  </si>
  <si>
    <t>Codependent forevermore : the invention of self in a twelve step group / Leslie Irvine.</t>
  </si>
  <si>
    <t>Irvine, Leslie.</t>
  </si>
  <si>
    <t>Chicago, Ill. : University of Chicago Press, c1999.</t>
  </si>
  <si>
    <t>2007-04-16</t>
  </si>
  <si>
    <t>2000-09-11</t>
  </si>
  <si>
    <t>1875404176:eng</t>
  </si>
  <si>
    <t>40654708</t>
  </si>
  <si>
    <t>991003240299702656</t>
  </si>
  <si>
    <t>2262143330002656</t>
  </si>
  <si>
    <t>9780226384719</t>
  </si>
  <si>
    <t>32285003760781</t>
  </si>
  <si>
    <t>893887275</t>
  </si>
  <si>
    <t>RC569.5.C63 M37 1998</t>
  </si>
  <si>
    <t>0                      RC 0569500C  63                 M  37          1998</t>
  </si>
  <si>
    <t>Superman doesn't live here anymore : drugs are a lie, Jesus is the truth / by Scott McPhillips.</t>
  </si>
  <si>
    <t>McPhillips, Scott, 1968-</t>
  </si>
  <si>
    <t>Honey Creek, Iowa : Mac on the Attack for Jesus, c1998.</t>
  </si>
  <si>
    <t>2002-10-28</t>
  </si>
  <si>
    <t>933213437:eng</t>
  </si>
  <si>
    <t>41237242</t>
  </si>
  <si>
    <t>991003927409702656</t>
  </si>
  <si>
    <t>2258369250002656</t>
  </si>
  <si>
    <t>9780966220544</t>
  </si>
  <si>
    <t>32285004643556</t>
  </si>
  <si>
    <t>893705790</t>
  </si>
  <si>
    <t>RC569.5.C63 S33 1996</t>
  </si>
  <si>
    <t>0                      RC 0569500C  63                 S  33          1996</t>
  </si>
  <si>
    <t>Co-dependence : misunderstood-mistreated / Anne Wilson Schaef.</t>
  </si>
  <si>
    <t>Schaef, Anne Wilson.</t>
  </si>
  <si>
    <t>[San Francisco, Calif.] : HarperSanFrancisco, [1996?], c1986.</t>
  </si>
  <si>
    <t>[New ed.].</t>
  </si>
  <si>
    <t>2004-05-03</t>
  </si>
  <si>
    <t>1151342852:eng</t>
  </si>
  <si>
    <t>23383235</t>
  </si>
  <si>
    <t>991003931469702656</t>
  </si>
  <si>
    <t>2268341570002656</t>
  </si>
  <si>
    <t>9780062507693</t>
  </si>
  <si>
    <t>32285004664644</t>
  </si>
  <si>
    <t>893611702</t>
  </si>
  <si>
    <t>RC569.5.D47 W55 1998</t>
  </si>
  <si>
    <t>0                      RC 0569500D  47                 W  55          1998</t>
  </si>
  <si>
    <t>Wild hunger : the primal roots of modern addiction / Bruce Wilshire.</t>
  </si>
  <si>
    <t>Wilshire, Bruce W., 1932-</t>
  </si>
  <si>
    <t>Lanham : Rowman &amp; Littlefield Publishers, c1998.</t>
  </si>
  <si>
    <t>36922218:eng</t>
  </si>
  <si>
    <t>38557217</t>
  </si>
  <si>
    <t>991002916149702656</t>
  </si>
  <si>
    <t>2262266860002656</t>
  </si>
  <si>
    <t>9780847689675</t>
  </si>
  <si>
    <t>32285003559019</t>
  </si>
  <si>
    <t>893886900</t>
  </si>
  <si>
    <t>RC569.5.F27 F45 1994</t>
  </si>
  <si>
    <t>0                      RC 0569500F  27                 F  45          1994</t>
  </si>
  <si>
    <t>Patient or pretender : inside the strange world of factitious disorders / Marc D. Feldman, Charles V. Ford, with Toni Reinhold.</t>
  </si>
  <si>
    <t>Feldman, Marc D., 1958-</t>
  </si>
  <si>
    <t>New York : J. Wiley, c1994.</t>
  </si>
  <si>
    <t>1993-12-06</t>
  </si>
  <si>
    <t>47205520:eng</t>
  </si>
  <si>
    <t>28018997</t>
  </si>
  <si>
    <t>991002176029702656</t>
  </si>
  <si>
    <t>2255004640002656</t>
  </si>
  <si>
    <t>9780471580805</t>
  </si>
  <si>
    <t>32285001814028</t>
  </si>
  <si>
    <t>893809338</t>
  </si>
  <si>
    <t>RC569.5.F3 A28 1988</t>
  </si>
  <si>
    <t>0                      RC 0569500F  3                  A  28          1988</t>
  </si>
  <si>
    <t>Abuse and victimization across the life span / edited by Martha B. Straus.</t>
  </si>
  <si>
    <t>Baltimore : Johns Hopkins University Press, c1988.</t>
  </si>
  <si>
    <t>1999-06-24</t>
  </si>
  <si>
    <t>55063701:eng</t>
  </si>
  <si>
    <t>17507178</t>
  </si>
  <si>
    <t>991001225779702656</t>
  </si>
  <si>
    <t>2271059180002656</t>
  </si>
  <si>
    <t>9780801836367</t>
  </si>
  <si>
    <t>32285000239144</t>
  </si>
  <si>
    <t>893414076</t>
  </si>
  <si>
    <t>RC569.5.F3 B38 1993</t>
  </si>
  <si>
    <t>0                      RC 0569500F  3                  B  38          1993</t>
  </si>
  <si>
    <t>Battering and family therapy : a feminist perspective / Marsali Hansen &amp; Michèle Harway, editors.</t>
  </si>
  <si>
    <t>Newbury Park : Sage Publications, c1993.</t>
  </si>
  <si>
    <t>2001-09-21</t>
  </si>
  <si>
    <t>836887099:eng</t>
  </si>
  <si>
    <t>27106033</t>
  </si>
  <si>
    <t>991002114789702656</t>
  </si>
  <si>
    <t>2260200860002656</t>
  </si>
  <si>
    <t>9780803943209</t>
  </si>
  <si>
    <t>32285001766590</t>
  </si>
  <si>
    <t>893414836</t>
  </si>
  <si>
    <t>RC569.5.F3 I47 1996</t>
  </si>
  <si>
    <t>0                      RC 0569500F  3                  I  47          1996</t>
  </si>
  <si>
    <t>The impact of violence on the family : treatment approaches for therapists and other professionals / Dean M. Busby, editor.</t>
  </si>
  <si>
    <t>Boston : Allyn and Bacon, c1996.</t>
  </si>
  <si>
    <t>890326744:eng</t>
  </si>
  <si>
    <t>33281020</t>
  </si>
  <si>
    <t>991002560769702656</t>
  </si>
  <si>
    <t>2270336570002656</t>
  </si>
  <si>
    <t>9780205175703</t>
  </si>
  <si>
    <t>32285002191228</t>
  </si>
  <si>
    <t>893257452</t>
  </si>
  <si>
    <t>RC569.5.F3 I57 1989</t>
  </si>
  <si>
    <t>0                      RC 0569500F  3                  I  57          1989</t>
  </si>
  <si>
    <t>Intervening with assaulted women : current theory, research, and practice / edited by Barbara Pressman, Gary Cameron, Michael Rothery.</t>
  </si>
  <si>
    <t>Hillsdale, N.J. : Erlbaum Associates, 1989.</t>
  </si>
  <si>
    <t>18967646:eng</t>
  </si>
  <si>
    <t>18834443</t>
  </si>
  <si>
    <t>991001403999702656</t>
  </si>
  <si>
    <t>2257809940002656</t>
  </si>
  <si>
    <t>9780805804560</t>
  </si>
  <si>
    <t>32285001035830</t>
  </si>
  <si>
    <t>893509603</t>
  </si>
  <si>
    <t>RC569.5.F3 I58 2002</t>
  </si>
  <si>
    <t>0                      RC 0569500F  3                  I  58          2002</t>
  </si>
  <si>
    <t>Intimate violence : contemporary treatment innovations / Donald Dutton, Daniel J. Sonkin, editors.</t>
  </si>
  <si>
    <t>Binghamton, N.Y. : Haworth Maltreatment &amp; Trauma Press, c2002.</t>
  </si>
  <si>
    <t>2005-05-25</t>
  </si>
  <si>
    <t>2005-03-31</t>
  </si>
  <si>
    <t>837889718:eng</t>
  </si>
  <si>
    <t>51855509</t>
  </si>
  <si>
    <t>991004511039702656</t>
  </si>
  <si>
    <t>2272781620002656</t>
  </si>
  <si>
    <t>9780789020185</t>
  </si>
  <si>
    <t>32285005046585</t>
  </si>
  <si>
    <t>893337826</t>
  </si>
  <si>
    <t>RC569.5.F3 P787 2001</t>
  </si>
  <si>
    <t>0                      RC 0569500F  3                  P  787         2001</t>
  </si>
  <si>
    <t>Psychological abuse in violent domestic relations / K. Daniel O'Leary and Roland D. Maiuro, editors.</t>
  </si>
  <si>
    <t>New York : Spring Pub. Co., c2001.</t>
  </si>
  <si>
    <t>766244901:eng</t>
  </si>
  <si>
    <t>43050066</t>
  </si>
  <si>
    <t>991005201619702656</t>
  </si>
  <si>
    <t>2256330670002656</t>
  </si>
  <si>
    <t>9780826113214</t>
  </si>
  <si>
    <t>32285005400428</t>
  </si>
  <si>
    <t>893431027</t>
  </si>
  <si>
    <t>RC569.5.F3 T35 1995</t>
  </si>
  <si>
    <t>0                      RC 0569500F  3                  T  35          1995</t>
  </si>
  <si>
    <t>The physician's guide to domestic violence : how to ask the right questions and recognize abuse-- another way to save a life / Patricia R. Salber and Ellen Taliaferro.</t>
  </si>
  <si>
    <t>Salber, Patricia R.</t>
  </si>
  <si>
    <t>Volcano, Calif. : Volcano Press, c1995.</t>
  </si>
  <si>
    <t>1997-11-18</t>
  </si>
  <si>
    <t>2290281373:eng</t>
  </si>
  <si>
    <t>30978944</t>
  </si>
  <si>
    <t>991002384459702656</t>
  </si>
  <si>
    <t>2266466730002656</t>
  </si>
  <si>
    <t>9781884244049</t>
  </si>
  <si>
    <t>32285002400215</t>
  </si>
  <si>
    <t>893421279</t>
  </si>
  <si>
    <t>RC569.5.G35 P48 2005</t>
  </si>
  <si>
    <t>0                      RC 0569500G  35                 P  48          2005</t>
  </si>
  <si>
    <t>Pathological gambling : etiology, comorbidity, and treatment / Nancy M. Petry.</t>
  </si>
  <si>
    <t>Petry, Nancy M.</t>
  </si>
  <si>
    <t>2005-11-08</t>
  </si>
  <si>
    <t>1954201:eng</t>
  </si>
  <si>
    <t>55679929</t>
  </si>
  <si>
    <t>991004653519702656</t>
  </si>
  <si>
    <t>2258740960002656</t>
  </si>
  <si>
    <t>9781591471738</t>
  </si>
  <si>
    <t>32285005145577</t>
  </si>
  <si>
    <t>893229664</t>
  </si>
  <si>
    <t>RC569.5.H65 M35 2006</t>
  </si>
  <si>
    <t>0                      RC 0569500H  65                 M  35          2006</t>
  </si>
  <si>
    <t>Homicide : a psychiatric perspective / Carl P. Malmquist.</t>
  </si>
  <si>
    <t>Malmquist, Carl P.</t>
  </si>
  <si>
    <t>Washington, DC : American Psychiatric Pub., c2006.</t>
  </si>
  <si>
    <t>33785825:eng</t>
  </si>
  <si>
    <t>62326656</t>
  </si>
  <si>
    <t>991005131459702656</t>
  </si>
  <si>
    <t>2272226740002656</t>
  </si>
  <si>
    <t>9781585622047</t>
  </si>
  <si>
    <t>32285005363170</t>
  </si>
  <si>
    <t>893776878</t>
  </si>
  <si>
    <t>RC569.5.I46 I49 1997</t>
  </si>
  <si>
    <t>0                      RC 0569500I  46                 I  49          1997</t>
  </si>
  <si>
    <t>Impulsivity : theory, assessment, and treatment / edited by Christopher D. Webster and Margaret A. Jackson ; foreword by John Monahan.</t>
  </si>
  <si>
    <t>New York : Guilford Press, c1997.</t>
  </si>
  <si>
    <t>2006-04-24</t>
  </si>
  <si>
    <t>836954337:eng</t>
  </si>
  <si>
    <t>36900983</t>
  </si>
  <si>
    <t>991003268799702656</t>
  </si>
  <si>
    <t>2271960390002656</t>
  </si>
  <si>
    <t>9781572302259</t>
  </si>
  <si>
    <t>32285004260856</t>
  </si>
  <si>
    <t>893330151</t>
  </si>
  <si>
    <t>RC569.5.M8 A43 1989</t>
  </si>
  <si>
    <t>0                      RC 0569500M  8                  A  43          1989</t>
  </si>
  <si>
    <t>Multiple personality : an exercise in deception / Ray Aldridge-Morris.</t>
  </si>
  <si>
    <t>Aldridge-Morris, Ray.</t>
  </si>
  <si>
    <t>Hove, UK ; Hillsdale, USA : Lawrence Erlbaum Associates, c1989.</t>
  </si>
  <si>
    <t>2008-10-22</t>
  </si>
  <si>
    <t>47259702:eng</t>
  </si>
  <si>
    <t>23585032</t>
  </si>
  <si>
    <t>991001870799702656</t>
  </si>
  <si>
    <t>2254750400002656</t>
  </si>
  <si>
    <t>9780863771286</t>
  </si>
  <si>
    <t>32285000935139</t>
  </si>
  <si>
    <t>893244472</t>
  </si>
  <si>
    <t>RC569.5.M8 B788 1996</t>
  </si>
  <si>
    <t>0                      RC 0569500M  8                  B  788         1996</t>
  </si>
  <si>
    <t>Beyond integration : one multiple's journey / Doris Bryant, Judy Kessler.</t>
  </si>
  <si>
    <t>Bryant, Doris.</t>
  </si>
  <si>
    <t>New York : W. W. Norton &amp; Co., 1996.</t>
  </si>
  <si>
    <t>2006-11-25</t>
  </si>
  <si>
    <t>836972608:eng</t>
  </si>
  <si>
    <t>32894959</t>
  </si>
  <si>
    <t>991002532199702656</t>
  </si>
  <si>
    <t>2257430680002656</t>
  </si>
  <si>
    <t>9780393702064</t>
  </si>
  <si>
    <t>32285002395803</t>
  </si>
  <si>
    <t>893440250</t>
  </si>
  <si>
    <t>RC569.5.M8 C66 1983</t>
  </si>
  <si>
    <t>0                      RC 0569500M  8                  C  66          1983</t>
  </si>
  <si>
    <t>Multiple personality : etiology, diagnosis, and treatment / William N. Confer, Billie S. Ables.</t>
  </si>
  <si>
    <t>Confer, William N.</t>
  </si>
  <si>
    <t>New York, N.Y. : Human Sciences Press, c1983.</t>
  </si>
  <si>
    <t>2007-02-19</t>
  </si>
  <si>
    <t>554999:eng</t>
  </si>
  <si>
    <t>8283367</t>
  </si>
  <si>
    <t>991005226849702656</t>
  </si>
  <si>
    <t>2268586260002656</t>
  </si>
  <si>
    <t>9780898850819</t>
  </si>
  <si>
    <t>32285001000941</t>
  </si>
  <si>
    <t>893625661</t>
  </si>
  <si>
    <t>RC569.5.M8 G58 1993</t>
  </si>
  <si>
    <t>0                      RC 0569500M  8                  G  58          1993</t>
  </si>
  <si>
    <t>Shattered selves : multiple personality in a postmodern world / James. M. Glass.</t>
  </si>
  <si>
    <t>Ithaca : Cornell University Press, 1993.</t>
  </si>
  <si>
    <t>2008-09-12</t>
  </si>
  <si>
    <t>29307261:eng</t>
  </si>
  <si>
    <t>26858343</t>
  </si>
  <si>
    <t>991002095879702656</t>
  </si>
  <si>
    <t>2268345340002656</t>
  </si>
  <si>
    <t>9780801428098</t>
  </si>
  <si>
    <t>32285001842011</t>
  </si>
  <si>
    <t>893773216</t>
  </si>
  <si>
    <t>RC569.5.M8 P87 1989</t>
  </si>
  <si>
    <t>0                      RC 0569500M  8                  P  87          1989</t>
  </si>
  <si>
    <t>Diagnosis and treatment of multiple personality disorder / Frank W. Putnam.</t>
  </si>
  <si>
    <t>Putnam, Frank W., 1947-</t>
  </si>
  <si>
    <t>Foundations of modern psychiatry</t>
  </si>
  <si>
    <t>933090:eng</t>
  </si>
  <si>
    <t>17874005</t>
  </si>
  <si>
    <t>991001275689702656</t>
  </si>
  <si>
    <t>2267507020002656</t>
  </si>
  <si>
    <t>9780898621778</t>
  </si>
  <si>
    <t>32285001401438</t>
  </si>
  <si>
    <t>893420220</t>
  </si>
  <si>
    <t>RC569.5.R59 W75 1994</t>
  </si>
  <si>
    <t>0                      RC 0569500R  59                 W  75          1994</t>
  </si>
  <si>
    <t>Remembering Satan / by Lawrence Wright.</t>
  </si>
  <si>
    <t>Wright, Lawrence, 1947-</t>
  </si>
  <si>
    <t>New York : Knopf, 1994.</t>
  </si>
  <si>
    <t>31571615:eng</t>
  </si>
  <si>
    <t>28892012</t>
  </si>
  <si>
    <t>991002241049702656</t>
  </si>
  <si>
    <t>2265810130002656</t>
  </si>
  <si>
    <t>9780679431558</t>
  </si>
  <si>
    <t>32285001933174</t>
  </si>
  <si>
    <t>893232724</t>
  </si>
  <si>
    <t>RC569.5.S45 M36</t>
  </si>
  <si>
    <t>0                      RC 0569500S  45                 M  36</t>
  </si>
  <si>
    <t>The many faces of suicide : indirect self-destructive behavior / edited by Norman L. Farberow.</t>
  </si>
  <si>
    <t>New York : McGraw-Hill, c1980.</t>
  </si>
  <si>
    <t>890517356:eng</t>
  </si>
  <si>
    <t>5264296</t>
  </si>
  <si>
    <t>991004808089702656</t>
  </si>
  <si>
    <t>2258593420002656</t>
  </si>
  <si>
    <t>9780070199446</t>
  </si>
  <si>
    <t>32285000180199</t>
  </si>
  <si>
    <t>893612797</t>
  </si>
  <si>
    <t>RC569.5.S74 S74 1996</t>
  </si>
  <si>
    <t>0                      RC 0569500S  74                 S  74          1996</t>
  </si>
  <si>
    <t>Stereotyped movements : brain and behavior relationships / Robert L. Sprague, Karl M. Newell, editors.</t>
  </si>
  <si>
    <t>APA science volumes</t>
  </si>
  <si>
    <t>2000-06-27</t>
  </si>
  <si>
    <t>1998-09-08</t>
  </si>
  <si>
    <t>1078121378:eng</t>
  </si>
  <si>
    <t>34283366</t>
  </si>
  <si>
    <t>991005423289702656</t>
  </si>
  <si>
    <t>2257614380002656</t>
  </si>
  <si>
    <t>9781557983015</t>
  </si>
  <si>
    <t>32285003466082</t>
  </si>
  <si>
    <t>893236815</t>
  </si>
  <si>
    <t>RC569.5.T47 M67 2009</t>
  </si>
  <si>
    <t>0                      RC 0569500T  47                 M  67          2009</t>
  </si>
  <si>
    <t>The solution of the fist : Dostoevsky and the roots of modern terrorism / John P. Moran.</t>
  </si>
  <si>
    <t>Moran, John P.</t>
  </si>
  <si>
    <t>Lanham, MD : Lexington Books, c2009.</t>
  </si>
  <si>
    <t>2010-03-25</t>
  </si>
  <si>
    <t>865151377:eng</t>
  </si>
  <si>
    <t>316512850</t>
  </si>
  <si>
    <t>991005368059702656</t>
  </si>
  <si>
    <t>2269151210002656</t>
  </si>
  <si>
    <t>9780739129852</t>
  </si>
  <si>
    <t>32285005579536</t>
  </si>
  <si>
    <t>893332846</t>
  </si>
  <si>
    <t>RC569.5.V55 A29 1992</t>
  </si>
  <si>
    <t>0                      RC 0569500V  55                 A  29          1992</t>
  </si>
  <si>
    <t>Aggression and violence throughout the life span / Ray DeV. Peters, Robert J. McMahon, Vernon L. Quinsey, editors.</t>
  </si>
  <si>
    <t>2003-01-30</t>
  </si>
  <si>
    <t>351387775:eng</t>
  </si>
  <si>
    <t>26396121</t>
  </si>
  <si>
    <t>991002061819702656</t>
  </si>
  <si>
    <t>2256800790002656</t>
  </si>
  <si>
    <t>9780803945500</t>
  </si>
  <si>
    <t>32285001360600</t>
  </si>
  <si>
    <t>893250770</t>
  </si>
  <si>
    <t>RC569.5.V55 A84</t>
  </si>
  <si>
    <t>0                      RC 0569500V  55                 A  84</t>
  </si>
  <si>
    <t>Are we all Nazis? / By Hans Askenasy.</t>
  </si>
  <si>
    <t>Askenasy, Hans, 1930-</t>
  </si>
  <si>
    <t>Secaucus, N.J. : L. Stuart, c1978.</t>
  </si>
  <si>
    <t>9438343:eng</t>
  </si>
  <si>
    <t>3311072</t>
  </si>
  <si>
    <t>991004403079702656</t>
  </si>
  <si>
    <t>2271526670002656</t>
  </si>
  <si>
    <t>9780818402487</t>
  </si>
  <si>
    <t>32285003092599</t>
  </si>
  <si>
    <t>893706364</t>
  </si>
  <si>
    <t>RC569.5.V55 A87 2007</t>
  </si>
  <si>
    <t>0                      RC 0569500V  55                 A  87          2007</t>
  </si>
  <si>
    <t>Assessing dangerousness : violence by batterers and child abusers / Jacquelyn C. Campbell, editor.</t>
  </si>
  <si>
    <t>New York : Springer Pub., c2007.</t>
  </si>
  <si>
    <t>2008-04-01</t>
  </si>
  <si>
    <t>802517082:eng</t>
  </si>
  <si>
    <t>104835395</t>
  </si>
  <si>
    <t>991005199859702656</t>
  </si>
  <si>
    <t>2267384430002656</t>
  </si>
  <si>
    <t>9780826102980</t>
  </si>
  <si>
    <t>32285005400162</t>
  </si>
  <si>
    <t>893789603</t>
  </si>
  <si>
    <t>RC569.5.V55 C47</t>
  </si>
  <si>
    <t>0                      RC 0569500V  55                 C  47</t>
  </si>
  <si>
    <t>The mind stealers : psychosurgery and mind control / Samuel Chavkin.</t>
  </si>
  <si>
    <t>Chavkin, Samuel.</t>
  </si>
  <si>
    <t>Boston : Houghton Mifflin, 1978.</t>
  </si>
  <si>
    <t>2001-11-12</t>
  </si>
  <si>
    <t>468156:eng</t>
  </si>
  <si>
    <t>3631239</t>
  </si>
  <si>
    <t>991004483509702656</t>
  </si>
  <si>
    <t>2259507910002656</t>
  </si>
  <si>
    <t>9780395263815</t>
  </si>
  <si>
    <t>32285001607547</t>
  </si>
  <si>
    <t>893593734</t>
  </si>
  <si>
    <t>RC569.5.V55 I5 1981</t>
  </si>
  <si>
    <t>0                      RC 0569500V  55                 I  5           1981</t>
  </si>
  <si>
    <t>In response to aggression : methods of control and prosocial alternatives / by Arnold P. Goldstein ... [et al.].</t>
  </si>
  <si>
    <t>New York : Pergamon Press, 1981.</t>
  </si>
  <si>
    <t>Pergamon general psychology series ; v. 98</t>
  </si>
  <si>
    <t>1994-10-12</t>
  </si>
  <si>
    <t>896287226:eng</t>
  </si>
  <si>
    <t>7277651</t>
  </si>
  <si>
    <t>991005098329702656</t>
  </si>
  <si>
    <t>2263830190002656</t>
  </si>
  <si>
    <t>9780080255798</t>
  </si>
  <si>
    <t>32285001443307</t>
  </si>
  <si>
    <t>893807813</t>
  </si>
  <si>
    <t>RC569.5.V55 W43 2007</t>
  </si>
  <si>
    <t>0                      RC 0569500V  55                 W  43          2007</t>
  </si>
  <si>
    <t>Violence risk : assessment and management / Christopher D. Webster, Stephen J. Hucker.</t>
  </si>
  <si>
    <t>Webster, Christopher D., 1936-</t>
  </si>
  <si>
    <t>Chichester, West Sussex, England ; Hoboken, NJ : Wiley, 2007.</t>
  </si>
  <si>
    <t>3856123709:eng</t>
  </si>
  <si>
    <t>72774406</t>
  </si>
  <si>
    <t>991005301409702656</t>
  </si>
  <si>
    <t>2261834600002656</t>
  </si>
  <si>
    <t>9780470027493</t>
  </si>
  <si>
    <t>32285005509871</t>
  </si>
  <si>
    <t>893883649</t>
  </si>
  <si>
    <t>RC569.U53 M36 1988</t>
  </si>
  <si>
    <t>0                      RC 0569000U  53                 M  36          1988</t>
  </si>
  <si>
    <t>The psychology of underachievement : differential diagnosis and differential treatment / Harvey P. Mandel, Sander I. Marcus.</t>
  </si>
  <si>
    <t>Mandel, Harvey P.</t>
  </si>
  <si>
    <t>New York : Wiley, c1988.</t>
  </si>
  <si>
    <t>181030:eng</t>
  </si>
  <si>
    <t>17300410</t>
  </si>
  <si>
    <t>991001199529702656</t>
  </si>
  <si>
    <t>2265429870002656</t>
  </si>
  <si>
    <t>9780471848554</t>
  </si>
  <si>
    <t>32285000103274</t>
  </si>
  <si>
    <t>893261768</t>
  </si>
  <si>
    <t>RC570 .B23</t>
  </si>
  <si>
    <t>0                      RC 0570000B  23</t>
  </si>
  <si>
    <t>The emotionally disturbed, mentally retarded: a historical and contemporary perspective [by] Earl E. Balthazar [and] Harvey A. Stevens.</t>
  </si>
  <si>
    <t>Balthazar, Earl Edward, 1918-</t>
  </si>
  <si>
    <t>Englewood Cliffs, N.J., Prentice-Hall [1974, c1975]</t>
  </si>
  <si>
    <t>Prentice-Hall series in special education</t>
  </si>
  <si>
    <t>1998-04-08</t>
  </si>
  <si>
    <t>796604524:eng</t>
  </si>
  <si>
    <t>914856</t>
  </si>
  <si>
    <t>991003378619702656</t>
  </si>
  <si>
    <t>2262711020002656</t>
  </si>
  <si>
    <t>9780132749695</t>
  </si>
  <si>
    <t>32285000948512</t>
  </si>
  <si>
    <t>893330257</t>
  </si>
  <si>
    <t>RC570 .C28 1975</t>
  </si>
  <si>
    <t>0                      RC 0570000C  28          1975</t>
  </si>
  <si>
    <t>Handbook of mental retardation syndromes / by Charles H. Carter.</t>
  </si>
  <si>
    <t>Carter, Charles H.</t>
  </si>
  <si>
    <t>2004-11-06</t>
  </si>
  <si>
    <t>308773982:eng</t>
  </si>
  <si>
    <t>1242029</t>
  </si>
  <si>
    <t>991003643419702656</t>
  </si>
  <si>
    <t>2258407600002656</t>
  </si>
  <si>
    <t>9780398030902</t>
  </si>
  <si>
    <t>32285000775402</t>
  </si>
  <si>
    <t>893893947</t>
  </si>
  <si>
    <t>RC570 .E84 1984</t>
  </si>
  <si>
    <t>0                      RC 0570000E  84          1984</t>
  </si>
  <si>
    <t>Ethics and mental retardation / edited by Loretta Kopelman and John C. Moskop.</t>
  </si>
  <si>
    <t>Dordrecht, Holland ; Boston : D. Reidel ; Hingham, MA : Sold and distributed in the U.S.A. and Canada by Kluwer Academic Publishers, c1984.</t>
  </si>
  <si>
    <t>Philosophy and medicine ; v. 15</t>
  </si>
  <si>
    <t>1996-04-02</t>
  </si>
  <si>
    <t>353275747:eng</t>
  </si>
  <si>
    <t>10185543</t>
  </si>
  <si>
    <t>991000329389702656</t>
  </si>
  <si>
    <t>2265401920002656</t>
  </si>
  <si>
    <t>9789027716309</t>
  </si>
  <si>
    <t>32285001607604</t>
  </si>
  <si>
    <t>893790414</t>
  </si>
  <si>
    <t>RC570 .F69 1982</t>
  </si>
  <si>
    <t>0                      RC 0570000F  69          1982</t>
  </si>
  <si>
    <t>Increasing behaviors of severely retarded and autistic persons / Richard M. Foxx.</t>
  </si>
  <si>
    <t>Foxx, Richard M.</t>
  </si>
  <si>
    <t>Champaign, Ill. : Research Press, c1982.</t>
  </si>
  <si>
    <t>1993-06-08</t>
  </si>
  <si>
    <t>4494924126:eng</t>
  </si>
  <si>
    <t>10223349</t>
  </si>
  <si>
    <t>991000334239702656</t>
  </si>
  <si>
    <t>2259125640002656</t>
  </si>
  <si>
    <t>9780878222636</t>
  </si>
  <si>
    <t>32285001607612</t>
  </si>
  <si>
    <t>893777853</t>
  </si>
  <si>
    <t>RC570 .G44</t>
  </si>
  <si>
    <t>0                      RC 0570000G  44</t>
  </si>
  <si>
    <t>The Genetic, metabolic and developmental aspects of mental retardation / edited by Robert F. Murray and Pearl Lockhart Rosser. With a foreword by Roland B. Scott.</t>
  </si>
  <si>
    <t>366682828:eng</t>
  </si>
  <si>
    <t>533670</t>
  </si>
  <si>
    <t>991002936979702656</t>
  </si>
  <si>
    <t>2264387700002656</t>
  </si>
  <si>
    <t>9780398025311</t>
  </si>
  <si>
    <t>32285000971985</t>
  </si>
  <si>
    <t>893874208</t>
  </si>
  <si>
    <t>RC570 .G67</t>
  </si>
  <si>
    <t>0                      RC 0570000G  67</t>
  </si>
  <si>
    <t>Public awareness about mental retardation.</t>
  </si>
  <si>
    <t>Gottwald, Henry.</t>
  </si>
  <si>
    <t>Arlington, Va. : Council for Exceptional Children, [1970]</t>
  </si>
  <si>
    <t>CEC research monograph</t>
  </si>
  <si>
    <t>1996-12-05</t>
  </si>
  <si>
    <t>1253059:eng</t>
  </si>
  <si>
    <t>126572</t>
  </si>
  <si>
    <t>991000720349702656</t>
  </si>
  <si>
    <t>2258430380002656</t>
  </si>
  <si>
    <t>32285001060580</t>
  </si>
  <si>
    <t>893327522</t>
  </si>
  <si>
    <t>RC570 .J6 1976</t>
  </si>
  <si>
    <t>0                      RC 0570000J  6           1976</t>
  </si>
  <si>
    <t>The mentally retarded / Thomas E. Jordan.</t>
  </si>
  <si>
    <t>Jordan, Thomas E. (Thomas Edward)</t>
  </si>
  <si>
    <t>Columbus, Ohio : Merrill, c1976.</t>
  </si>
  <si>
    <t>1994-04-29</t>
  </si>
  <si>
    <t>1343538:eng</t>
  </si>
  <si>
    <t>2276140</t>
  </si>
  <si>
    <t>991004062549702656</t>
  </si>
  <si>
    <t>2271542590002656</t>
  </si>
  <si>
    <t>9780675086165</t>
  </si>
  <si>
    <t>32285001838514</t>
  </si>
  <si>
    <t>893337295</t>
  </si>
  <si>
    <t>RC570 .M214</t>
  </si>
  <si>
    <t>0                      RC 0570000M  214</t>
  </si>
  <si>
    <t>Mental retardation and modern society / Michael P. Maloney and Michael P. Ward.</t>
  </si>
  <si>
    <t>New York : Oxford University Press, 1979.</t>
  </si>
  <si>
    <t>13624033:eng</t>
  </si>
  <si>
    <t>4004287</t>
  </si>
  <si>
    <t>991004564999702656</t>
  </si>
  <si>
    <t>2264881140002656</t>
  </si>
  <si>
    <t>9780195024739</t>
  </si>
  <si>
    <t>32285001607695</t>
  </si>
  <si>
    <t>893350164</t>
  </si>
  <si>
    <t>RC570 .M4163</t>
  </si>
  <si>
    <t>0                      RC 0570000M  4163</t>
  </si>
  <si>
    <t>Mental retardation for special educators / edited by J. P. Das and David Baine.</t>
  </si>
  <si>
    <t>366734591:eng</t>
  </si>
  <si>
    <t>2873691</t>
  </si>
  <si>
    <t>991004268279702656</t>
  </si>
  <si>
    <t>2259484580002656</t>
  </si>
  <si>
    <t>9780398036652</t>
  </si>
  <si>
    <t>32285001607703</t>
  </si>
  <si>
    <t>893618467</t>
  </si>
  <si>
    <t>RC570 .M417</t>
  </si>
  <si>
    <t>0                      RC 0570000M  417</t>
  </si>
  <si>
    <t>Mental retardation : introduction and personal perspectives / edited by James M. Kauffman, James S. Payne ; [with a foreword by Norman R. Ellis].</t>
  </si>
  <si>
    <t>Columbus, Ohio : Merrill, [1975]</t>
  </si>
  <si>
    <t>The Merrill personal perspectives in special education series</t>
  </si>
  <si>
    <t>3856702258:eng</t>
  </si>
  <si>
    <t>3255323</t>
  </si>
  <si>
    <t>991004388819702656</t>
  </si>
  <si>
    <t>2272447700002656</t>
  </si>
  <si>
    <t>32285000974575</t>
  </si>
  <si>
    <t>893888644</t>
  </si>
  <si>
    <t>RC570 .M56</t>
  </si>
  <si>
    <t>0                      RC 0570000M  56</t>
  </si>
  <si>
    <t>Introduction to mental retardation syndromes and terminology / by Byron C. Moore, Jane D. Haynes, Clarence R. Laing ; with a foreword by Willard Abraham.</t>
  </si>
  <si>
    <t>Moore, Byron C.</t>
  </si>
  <si>
    <t>Springfield, Ill. : C. C. Thomas, c1978.</t>
  </si>
  <si>
    <t>1995-07-25</t>
  </si>
  <si>
    <t>573820:eng</t>
  </si>
  <si>
    <t>3168423</t>
  </si>
  <si>
    <t>991004363379702656</t>
  </si>
  <si>
    <t>2262972160002656</t>
  </si>
  <si>
    <t>9780398037185</t>
  </si>
  <si>
    <t>32285002022241</t>
  </si>
  <si>
    <t>893706314</t>
  </si>
  <si>
    <t>RC570 .M57 1985</t>
  </si>
  <si>
    <t>0                      RC 0570000M  57          1985</t>
  </si>
  <si>
    <t>Moral issues in mental retardation / edited by Ronald S. Laura and Adrian F. Ashman.</t>
  </si>
  <si>
    <t>London ; Dover, NH : Croom Helm, c1985.</t>
  </si>
  <si>
    <t>2002-04-10</t>
  </si>
  <si>
    <t>375472455:eng</t>
  </si>
  <si>
    <t>11621442</t>
  </si>
  <si>
    <t>991000564779702656</t>
  </si>
  <si>
    <t>2263493000002656</t>
  </si>
  <si>
    <t>9780709916925</t>
  </si>
  <si>
    <t>32285001048379</t>
  </si>
  <si>
    <t>893407314</t>
  </si>
  <si>
    <t>RC570 .N43 1984</t>
  </si>
  <si>
    <t>0                      RC 0570000N  43          1984</t>
  </si>
  <si>
    <t>Guiding the mentally retarded person to success : basic behavior principles and practice / John T. Neisworth, Robert M. Smith.</t>
  </si>
  <si>
    <t>Neisworth, John T.</t>
  </si>
  <si>
    <t>Austin, Tex. : PRO-ED, c1984.</t>
  </si>
  <si>
    <t>281696080:eng</t>
  </si>
  <si>
    <t>10348956</t>
  </si>
  <si>
    <t>991000358619702656</t>
  </si>
  <si>
    <t>2264249220002656</t>
  </si>
  <si>
    <t>9780936104379</t>
  </si>
  <si>
    <t>32285000971951</t>
  </si>
  <si>
    <t>893614115</t>
  </si>
  <si>
    <t>RC570 .P338 1988</t>
  </si>
  <si>
    <t>0                      RC 0570000P  338         1988</t>
  </si>
  <si>
    <t>One of them / Norene Pavlik.</t>
  </si>
  <si>
    <t>Pavlik, Norene.</t>
  </si>
  <si>
    <t>Huntington, Ind. : Our Sunday Visitor, c1988.</t>
  </si>
  <si>
    <t>21097484:eng</t>
  </si>
  <si>
    <t>19651144</t>
  </si>
  <si>
    <t>991001485679702656</t>
  </si>
  <si>
    <t>2258627200002656</t>
  </si>
  <si>
    <t>9780879734206</t>
  </si>
  <si>
    <t>32285000205509</t>
  </si>
  <si>
    <t>893797604</t>
  </si>
  <si>
    <t>RC570 .S7 1972</t>
  </si>
  <si>
    <t>0                      RC 0570000S  7           1972</t>
  </si>
  <si>
    <t>Mental retardation : a review of research / edited by Harvey A. Stevens and Rick Heber.</t>
  </si>
  <si>
    <t>Stevens, Harvey A., editor.</t>
  </si>
  <si>
    <t>Chicago : University of Chicago Press, c1964, 1972 printing.</t>
  </si>
  <si>
    <t>1994-09-27</t>
  </si>
  <si>
    <t>346612290:eng</t>
  </si>
  <si>
    <t>646461</t>
  </si>
  <si>
    <t>991003096889702656</t>
  </si>
  <si>
    <t>2260155260002656</t>
  </si>
  <si>
    <t>32285001838720</t>
  </si>
  <si>
    <t>893233823</t>
  </si>
  <si>
    <t>RC570.2 .F69 1999</t>
  </si>
  <si>
    <t>0                      RC 0570200F  69          1999</t>
  </si>
  <si>
    <t>CHIP and children with special health care needs / by Wendy Fox-Grage ... [et al.].</t>
  </si>
  <si>
    <t>Denver, CO : National Conference of State Legislatures, c1999.</t>
  </si>
  <si>
    <t>cou</t>
  </si>
  <si>
    <t>2000-11-14</t>
  </si>
  <si>
    <t>24125273:eng</t>
  </si>
  <si>
    <t>42679750</t>
  </si>
  <si>
    <t>991003243529702656</t>
  </si>
  <si>
    <t>2270503920002656</t>
  </si>
  <si>
    <t>9781580240741</t>
  </si>
  <si>
    <t>32285004266077</t>
  </si>
  <si>
    <t>893441064</t>
  </si>
  <si>
    <t>RC570.7 .S46 1986</t>
  </si>
  <si>
    <t>0                      RC 0570700S  46          1986</t>
  </si>
  <si>
    <t>Sensory impairments in mentally handicapped people / edited by David Ellis.</t>
  </si>
  <si>
    <t>San Diego, Calif. : College-Hill Press, 1986.</t>
  </si>
  <si>
    <t>2003-02-18</t>
  </si>
  <si>
    <t>143915750:eng</t>
  </si>
  <si>
    <t>12555890</t>
  </si>
  <si>
    <t>991000704569702656</t>
  </si>
  <si>
    <t>2257816080002656</t>
  </si>
  <si>
    <t>9780887442117</t>
  </si>
  <si>
    <t>32285001607737</t>
  </si>
  <si>
    <t>893438514</t>
  </si>
  <si>
    <t>RC571 .B7</t>
  </si>
  <si>
    <t>0                      RC 0571000B  7</t>
  </si>
  <si>
    <t>Translocation in human chromosomes, with special reference to mental retardation and congenital malformations.</t>
  </si>
  <si>
    <t>Brøgger, Anton.</t>
  </si>
  <si>
    <t>Oslo, Universitetsforlaget, 1967.</t>
  </si>
  <si>
    <t>2010-10-14</t>
  </si>
  <si>
    <t>3247059:eng</t>
  </si>
  <si>
    <t>2043989</t>
  </si>
  <si>
    <t>991003990289702656</t>
  </si>
  <si>
    <t>2271584170002656</t>
  </si>
  <si>
    <t>32285003092664</t>
  </si>
  <si>
    <t>893593135</t>
  </si>
  <si>
    <t>RC571 .M43 2002</t>
  </si>
  <si>
    <t>0                      RC 0571000M  43          2002</t>
  </si>
  <si>
    <t>The Down syndrome nutrition handbook : a guide to promoting healthy lifestyles / Joan E. Guthrie Medlen ; [foreword by Timothy P. Shriver].</t>
  </si>
  <si>
    <t>Medlen, Joan E. Guthrie.</t>
  </si>
  <si>
    <t>Bethesda, Md : Woodbine House, c2002.</t>
  </si>
  <si>
    <t>2003-11-17</t>
  </si>
  <si>
    <t>957008:eng</t>
  </si>
  <si>
    <t>50204433</t>
  </si>
  <si>
    <t>991004181409702656</t>
  </si>
  <si>
    <t>2256853400002656</t>
  </si>
  <si>
    <t>9781890627232</t>
  </si>
  <si>
    <t>32285004799044</t>
  </si>
  <si>
    <t>893429753</t>
  </si>
  <si>
    <t>RC571 .N4</t>
  </si>
  <si>
    <t>0                      RC 0571000N  4</t>
  </si>
  <si>
    <t>Readings in Down's syndrome / Irving Newman and Stephen Feldman.</t>
  </si>
  <si>
    <t>Newman, Irving.</t>
  </si>
  <si>
    <t>Guilford, Conn. : Special Learning Corporation, 1980.</t>
  </si>
  <si>
    <t>Special education series</t>
  </si>
  <si>
    <t>8941187284:eng</t>
  </si>
  <si>
    <t>6470431</t>
  </si>
  <si>
    <t>991004987749702656</t>
  </si>
  <si>
    <t>2269651190002656</t>
  </si>
  <si>
    <t>9780895681942</t>
  </si>
  <si>
    <t>32285000974567</t>
  </si>
  <si>
    <t>893507460</t>
  </si>
  <si>
    <t>RC571 .P4</t>
  </si>
  <si>
    <t>0                      RC 0571000P  4</t>
  </si>
  <si>
    <t>Down's anomaly / by L. S. Penrose and G. F. Smith.</t>
  </si>
  <si>
    <t>Penrose, L. S. (Lionel Sharples)</t>
  </si>
  <si>
    <t>1990-10-05</t>
  </si>
  <si>
    <t>2554422998:eng</t>
  </si>
  <si>
    <t>952696</t>
  </si>
  <si>
    <t>991003413969702656</t>
  </si>
  <si>
    <t>2261391810002656</t>
  </si>
  <si>
    <t>32285000332683</t>
  </si>
  <si>
    <t>893623456</t>
  </si>
  <si>
    <t>RC571 .P83</t>
  </si>
  <si>
    <t>0                      RC 0571000P  83</t>
  </si>
  <si>
    <t>Down syndrome : a comprehensive bibliography / Siegfried M. Pueschel and Lynn Steinberg.</t>
  </si>
  <si>
    <t>Pueschel, Siegfried M.</t>
  </si>
  <si>
    <t>Garland series in mental retardation</t>
  </si>
  <si>
    <t>4417257996:eng</t>
  </si>
  <si>
    <t>5333559</t>
  </si>
  <si>
    <t>991004820479702656</t>
  </si>
  <si>
    <t>2265597990002656</t>
  </si>
  <si>
    <t>9780824071585</t>
  </si>
  <si>
    <t>32285000057462</t>
  </si>
  <si>
    <t>893344299</t>
  </si>
  <si>
    <t>RC574 .M27 1972</t>
  </si>
  <si>
    <t>0                      RC 0574000M  27          1972</t>
  </si>
  <si>
    <t>Suicidal behaviour / by J. Wallace McCulloch and Alistair E. Philip.</t>
  </si>
  <si>
    <t>McCulloch, J. Wallace (James Wallace), 1921-</t>
  </si>
  <si>
    <t>Oxford ; New York : Pergamon Press, [1972]</t>
  </si>
  <si>
    <t>Commonwealth and international library. Social work division</t>
  </si>
  <si>
    <t>1992-02-18</t>
  </si>
  <si>
    <t>407120:eng</t>
  </si>
  <si>
    <t>515161</t>
  </si>
  <si>
    <t>991002898119702656</t>
  </si>
  <si>
    <t>2264092000002656</t>
  </si>
  <si>
    <t>9780080168555</t>
  </si>
  <si>
    <t>32285000332675</t>
  </si>
  <si>
    <t>893329693</t>
  </si>
  <si>
    <t>RC574 .W6</t>
  </si>
  <si>
    <t>0                      RC 0574000W  6</t>
  </si>
  <si>
    <t>Prevention of suicide.</t>
  </si>
  <si>
    <t>World Health Organization.</t>
  </si>
  <si>
    <t>Public health papers ; 35</t>
  </si>
  <si>
    <t>1992-03-15</t>
  </si>
  <si>
    <t>1991-05-15</t>
  </si>
  <si>
    <t>3982690:eng</t>
  </si>
  <si>
    <t>15025</t>
  </si>
  <si>
    <t>991000011739702656</t>
  </si>
  <si>
    <t>2262637540002656</t>
  </si>
  <si>
    <t>32285000595503</t>
  </si>
  <si>
    <t>893808590</t>
  </si>
  <si>
    <t>RC582 .P78</t>
  </si>
  <si>
    <t>0                      RC 0582000P  78</t>
  </si>
  <si>
    <t>Psychoneuroimmunology / edited by Robert Ader ; with a foreword by Robert A. Good.</t>
  </si>
  <si>
    <t>New York : Academic Press, 1981.</t>
  </si>
  <si>
    <t>Behavioral medicine</t>
  </si>
  <si>
    <t>2005-01-25</t>
  </si>
  <si>
    <t>1012161487:eng</t>
  </si>
  <si>
    <t>7573694</t>
  </si>
  <si>
    <t>991005132729702656</t>
  </si>
  <si>
    <t>2271513360002656</t>
  </si>
  <si>
    <t>9780120437801</t>
  </si>
  <si>
    <t>32285001607745</t>
  </si>
  <si>
    <t>893613177</t>
  </si>
  <si>
    <t>RC584 .K58</t>
  </si>
  <si>
    <t>0                      RC 0584000K  58</t>
  </si>
  <si>
    <t>Allergy; a layman's guide to sneezing, wheezing, and itch.</t>
  </si>
  <si>
    <t>Knight, Allan.</t>
  </si>
  <si>
    <t>[Don Mills, Ont.] Burns &amp; MacEachern [1973]</t>
  </si>
  <si>
    <t>1080002424:eng</t>
  </si>
  <si>
    <t>673618</t>
  </si>
  <si>
    <t>991003130799702656</t>
  </si>
  <si>
    <t>2269024540002656</t>
  </si>
  <si>
    <t>9780887680304</t>
  </si>
  <si>
    <t>32285000843523</t>
  </si>
  <si>
    <t>893445547</t>
  </si>
  <si>
    <t>RC591 .I53 1991</t>
  </si>
  <si>
    <t>0                      RC 0591000I  53          1991</t>
  </si>
  <si>
    <t>Inflammatory cells and mediators in bronchial asthma / editors, Devendra K. Agrawal, Robert G. Townley.</t>
  </si>
  <si>
    <t>Boca Raton : CRC Press, 1991.</t>
  </si>
  <si>
    <t>lau</t>
  </si>
  <si>
    <t>CRC Press series in pharmacology and toxicology</t>
  </si>
  <si>
    <t>2006-03-23</t>
  </si>
  <si>
    <t>1990-12-05</t>
  </si>
  <si>
    <t>365300554:eng</t>
  </si>
  <si>
    <t>22208175</t>
  </si>
  <si>
    <t>991001761349702656</t>
  </si>
  <si>
    <t>2255399230002656</t>
  </si>
  <si>
    <t>9780849372940</t>
  </si>
  <si>
    <t>32285000358621</t>
  </si>
  <si>
    <t>893226107</t>
  </si>
  <si>
    <t>RC591 .S74</t>
  </si>
  <si>
    <t>0                      RC 0591000S  74</t>
  </si>
  <si>
    <t>Asthma and emotion / by Abraham Stern.</t>
  </si>
  <si>
    <t>Stern, Abraham, 1927-2006.</t>
  </si>
  <si>
    <t>New York : Gardner Press, c1981.</t>
  </si>
  <si>
    <t>2003-02-06</t>
  </si>
  <si>
    <t>1992-01-23</t>
  </si>
  <si>
    <t>503121161:eng</t>
  </si>
  <si>
    <t>7277648</t>
  </si>
  <si>
    <t>991005098319702656</t>
  </si>
  <si>
    <t>2263846070002656</t>
  </si>
  <si>
    <t>9780898760026</t>
  </si>
  <si>
    <t>32285000917384</t>
  </si>
  <si>
    <t>893776825</t>
  </si>
  <si>
    <t>RC599 .Z5</t>
  </si>
  <si>
    <t>0                      RC 0599000Z  5</t>
  </si>
  <si>
    <t>A history of medical psychology [by] Gregory Zilboorg, M.D., in collaboration with George W. Henry, M.D.</t>
  </si>
  <si>
    <t>Zilboorg, Gregory, 1890-1959.</t>
  </si>
  <si>
    <t>New York, W. W. Norton &amp; company, inc. [c1941]</t>
  </si>
  <si>
    <t>2002-09-08</t>
  </si>
  <si>
    <t>1346356:eng</t>
  </si>
  <si>
    <t>189799</t>
  </si>
  <si>
    <t>991001791509702656</t>
  </si>
  <si>
    <t>2268440760002656</t>
  </si>
  <si>
    <t>32285003092706</t>
  </si>
  <si>
    <t>893703333</t>
  </si>
  <si>
    <t>RC601 .M87</t>
  </si>
  <si>
    <t>0                      RC 0601000M  87</t>
  </si>
  <si>
    <t>Foundations of abnormal psychology, by Fred A. Moss ... and Thelma Hunt ...</t>
  </si>
  <si>
    <t>Moss, Fred A. (Fred August), 1893-1966.</t>
  </si>
  <si>
    <t>New York, Prentice-Hall, inc., 1932.</t>
  </si>
  <si>
    <t>1932</t>
  </si>
  <si>
    <t>Prentice-Hall psychology series</t>
  </si>
  <si>
    <t>1999-12-12</t>
  </si>
  <si>
    <t>2245886:eng</t>
  </si>
  <si>
    <t>1348463</t>
  </si>
  <si>
    <t>991003709589702656</t>
  </si>
  <si>
    <t>2257275440002656</t>
  </si>
  <si>
    <t>32285003092714</t>
  </si>
  <si>
    <t>893717994</t>
  </si>
  <si>
    <t>RC606.54 .A33 2009</t>
  </si>
  <si>
    <t>0                      RC 0606540A  33          2009</t>
  </si>
  <si>
    <t>Access to life : Magnum / [editors, Annalyn Swan and Peter Bernstein, ASAP Media ; writer and associate editor, Adèle Sulcas].</t>
  </si>
  <si>
    <t>New York : Aperture : D.A.P./Distributed Art Pub. [distributor], c2009.</t>
  </si>
  <si>
    <t>1st Aperture ed.</t>
  </si>
  <si>
    <t>2010-05-04</t>
  </si>
  <si>
    <t>2010-04-27</t>
  </si>
  <si>
    <t>1028097357:eng</t>
  </si>
  <si>
    <t>317250805</t>
  </si>
  <si>
    <t>991005375919702656</t>
  </si>
  <si>
    <t>2256040450002656</t>
  </si>
  <si>
    <t>9781597111058</t>
  </si>
  <si>
    <t>32285005628614</t>
  </si>
  <si>
    <t>893783540</t>
  </si>
  <si>
    <t>RC606.6 .H57 2007</t>
  </si>
  <si>
    <t>0                      RC 0606600H  57          2007</t>
  </si>
  <si>
    <t>HIV : issues with mental health and illness / Michael B. Blank, Marlene M. Eisenberg, editors.</t>
  </si>
  <si>
    <t>Binghamton, N.Y. : Haworth Press, c2007.</t>
  </si>
  <si>
    <t>Journal of prevention &amp; intervention in the community, 1085-2352 ; v. 33, no. 1/2</t>
  </si>
  <si>
    <t>2008-10-13</t>
  </si>
  <si>
    <t>900408527:eng</t>
  </si>
  <si>
    <t>64770959</t>
  </si>
  <si>
    <t>991005270489702656</t>
  </si>
  <si>
    <t>2266349980002656</t>
  </si>
  <si>
    <t>9780789034090</t>
  </si>
  <si>
    <t>32285005463426</t>
  </si>
  <si>
    <t>893688871</t>
  </si>
  <si>
    <t>RC606.6 .W385 2003</t>
  </si>
  <si>
    <t>0                      RC 0606600W  385         2003</t>
  </si>
  <si>
    <t>The encyclopedia of HIV and AIDS / Sarah Barbara Watstein, Stephen E. Stratton ; foreword by Evelyn J. Fisher.</t>
  </si>
  <si>
    <t>Watstein, Sarah.</t>
  </si>
  <si>
    <t>New York, NY : Facts On File, c2003.</t>
  </si>
  <si>
    <t>701232:eng</t>
  </si>
  <si>
    <t>50694853</t>
  </si>
  <si>
    <t>991004251639702656</t>
  </si>
  <si>
    <t>2255649110002656</t>
  </si>
  <si>
    <t>9780816048083</t>
  </si>
  <si>
    <t>32285004901954</t>
  </si>
  <si>
    <t>893500330</t>
  </si>
  <si>
    <t>RC607.A26 A3424 1997</t>
  </si>
  <si>
    <t>0                      RC 0607000A  26                 A  3424        1997</t>
  </si>
  <si>
    <t>The fragile community : living together with AIDS / Mara B. Adelman, Lawrence R. Frey.</t>
  </si>
  <si>
    <t>Adelman, Mara B.</t>
  </si>
  <si>
    <t>Mahwah, N.J. : Lawrence Erlbaum Associates, 1997.</t>
  </si>
  <si>
    <t>Everyday communication</t>
  </si>
  <si>
    <t>2001-02-24</t>
  </si>
  <si>
    <t>2000-04-11</t>
  </si>
  <si>
    <t>856347870:eng</t>
  </si>
  <si>
    <t>35068149</t>
  </si>
  <si>
    <t>991002683669702656</t>
  </si>
  <si>
    <t>2255464140002656</t>
  </si>
  <si>
    <t>9780805818437</t>
  </si>
  <si>
    <t>32285003676888</t>
  </si>
  <si>
    <t>893335585</t>
  </si>
  <si>
    <t>RC607.A26 A34522 1992</t>
  </si>
  <si>
    <t>0                      RC 0607000A  26                 A  34522       1992</t>
  </si>
  <si>
    <t>AIDS : a complete guide to psychosocial intervention / Helen Land, editor.</t>
  </si>
  <si>
    <t>Milwaukee, Wis. : Family Service America, Inc., c1992.</t>
  </si>
  <si>
    <t>2002-02-28</t>
  </si>
  <si>
    <t>1993-11-15</t>
  </si>
  <si>
    <t>979431:eng</t>
  </si>
  <si>
    <t>26013603</t>
  </si>
  <si>
    <t>991002039579702656</t>
  </si>
  <si>
    <t>2261639310002656</t>
  </si>
  <si>
    <t>9780873042581</t>
  </si>
  <si>
    <t>32285001812030</t>
  </si>
  <si>
    <t>893516822</t>
  </si>
  <si>
    <t>RC607.A26 A34523 1996</t>
  </si>
  <si>
    <t>0                      RC 0607000A  26                 A  34523       1996</t>
  </si>
  <si>
    <t>AIDS, a moral issue : the ethical, legal, and social aspects / edited by Brenda Almond.</t>
  </si>
  <si>
    <t>New York : St. Martin's Press, 1996.</t>
  </si>
  <si>
    <t>2000-03-29</t>
  </si>
  <si>
    <t>1998-09-16</t>
  </si>
  <si>
    <t>836719731:eng</t>
  </si>
  <si>
    <t>34320398</t>
  </si>
  <si>
    <t>991002618439702656</t>
  </si>
  <si>
    <t>2255940960002656</t>
  </si>
  <si>
    <t>9780312161521</t>
  </si>
  <si>
    <t>32285003468955</t>
  </si>
  <si>
    <t>893262376</t>
  </si>
  <si>
    <t>RC607.A26 A345552 1989b</t>
  </si>
  <si>
    <t>0                      RC 0607000A  26                 A  345552      1989b</t>
  </si>
  <si>
    <t>AIDS and families : report of the AIDS Task Force, Groves Conference on Marriage and the Family / Eleanor D. Macklin, editor.</t>
  </si>
  <si>
    <t>836895176:eng</t>
  </si>
  <si>
    <t>19628313</t>
  </si>
  <si>
    <t>991001482719702656</t>
  </si>
  <si>
    <t>2265603130002656</t>
  </si>
  <si>
    <t>9780866568791</t>
  </si>
  <si>
    <t>32285001196434</t>
  </si>
  <si>
    <t>893334351</t>
  </si>
  <si>
    <t>RC607.A26 A3457324 1994</t>
  </si>
  <si>
    <t>0                      RC 0607000A  26                 A  3457324     1994</t>
  </si>
  <si>
    <t>AIDS : crisis in professional ethics / edited by Elliot D. Cohen and Michael Davis.</t>
  </si>
  <si>
    <t>Philadelphia : Temple University Press, 1994.</t>
  </si>
  <si>
    <t>1996-03-05</t>
  </si>
  <si>
    <t>803163003:eng</t>
  </si>
  <si>
    <t>29390396</t>
  </si>
  <si>
    <t>991002266629702656</t>
  </si>
  <si>
    <t>2262610350002656</t>
  </si>
  <si>
    <t>9781566391641</t>
  </si>
  <si>
    <t>32285002140142</t>
  </si>
  <si>
    <t>893903798</t>
  </si>
  <si>
    <t>RC607.A26 A348914 1991</t>
  </si>
  <si>
    <t>0                      RC 0607000A  26                 A  348914      1991</t>
  </si>
  <si>
    <t>The AIDS reader : social, political, and ethical issues / edited by Nancy F. McKenzie.</t>
  </si>
  <si>
    <t>New York, N.Y., U.S.A. : Meridian, c1991.</t>
  </si>
  <si>
    <t>2004-03-31</t>
  </si>
  <si>
    <t>905404815:eng</t>
  </si>
  <si>
    <t>22544616</t>
  </si>
  <si>
    <t>991001792019702656</t>
  </si>
  <si>
    <t>2270380130002656</t>
  </si>
  <si>
    <t>9780452010727</t>
  </si>
  <si>
    <t>32285000819762</t>
  </si>
  <si>
    <t>893803907</t>
  </si>
  <si>
    <t>RC607.A26 A97 1996</t>
  </si>
  <si>
    <t>0                      RC 0607000A  26                 A  97          1996</t>
  </si>
  <si>
    <t>Falling through the cracks : AIDS and the urban poor / Victor Ayala.</t>
  </si>
  <si>
    <t>Ayala, Victor, Dr.</t>
  </si>
  <si>
    <t>Bayside, NY : Social Change Press, c1996.</t>
  </si>
  <si>
    <t>2004-02-12</t>
  </si>
  <si>
    <t>138800335:eng</t>
  </si>
  <si>
    <t>34669041</t>
  </si>
  <si>
    <t>991002649809702656</t>
  </si>
  <si>
    <t>2271344860002656</t>
  </si>
  <si>
    <t>9780964443709</t>
  </si>
  <si>
    <t>32285002443843</t>
  </si>
  <si>
    <t>893421631</t>
  </si>
  <si>
    <t>RC607.A26 C33 1990</t>
  </si>
  <si>
    <t>0                      RC 0607000A  26                 C  33          1990</t>
  </si>
  <si>
    <t>Surviving AIDS / Michael Callen.</t>
  </si>
  <si>
    <t>Callen, Michael, 1955-1993.</t>
  </si>
  <si>
    <t>New York : HarperCollins, c1990.</t>
  </si>
  <si>
    <t>2009-07-21</t>
  </si>
  <si>
    <t>1990-12-19</t>
  </si>
  <si>
    <t>53387247:eng</t>
  </si>
  <si>
    <t>21036093</t>
  </si>
  <si>
    <t>991001663499702656</t>
  </si>
  <si>
    <t>2272288490002656</t>
  </si>
  <si>
    <t>9780060161484</t>
  </si>
  <si>
    <t>32285000405299</t>
  </si>
  <si>
    <t>893891707</t>
  </si>
  <si>
    <t>RC607.A26 C35 1988</t>
  </si>
  <si>
    <t>0                      RC 0607000A  26                 C  35          1988</t>
  </si>
  <si>
    <t>AIDS and the doctors of death : an inquiry into the origin of the AIDS epidemic / Alan Cantwell, Jr. ; foreword by Jon Rappoport.</t>
  </si>
  <si>
    <t>Cantwell, Alan, 1934-</t>
  </si>
  <si>
    <t>Los Angeles : Aries Rising Press, c1988.</t>
  </si>
  <si>
    <t>2009-03-23</t>
  </si>
  <si>
    <t>15391156:eng</t>
  </si>
  <si>
    <t>17300751</t>
  </si>
  <si>
    <t>991001200289702656</t>
  </si>
  <si>
    <t>2267741320002656</t>
  </si>
  <si>
    <t>9780917211003</t>
  </si>
  <si>
    <t>32285000191576</t>
  </si>
  <si>
    <t>893778636</t>
  </si>
  <si>
    <t>RC607.A26 C37 1990</t>
  </si>
  <si>
    <t>0                      RC 0607000A  26                 C  37          1990</t>
  </si>
  <si>
    <t>Called to compassion and responsibility : a response to the HIV/AIDS crisis / National Conference of Catholic Bishops.</t>
  </si>
  <si>
    <t>Catholic Church. National Conference of Catholic Bishops.</t>
  </si>
  <si>
    <t>Washington, D.C. : United States Catholic Conference, [1989], c1990.</t>
  </si>
  <si>
    <t>Publication / Office for Publishing and Promotion Services, United States Catholic Conference ; no. 327-2</t>
  </si>
  <si>
    <t>23057415:eng</t>
  </si>
  <si>
    <t>21266752</t>
  </si>
  <si>
    <t>991001669989702656</t>
  </si>
  <si>
    <t>2260510770002656</t>
  </si>
  <si>
    <t>9781555863272</t>
  </si>
  <si>
    <t>32285000022102</t>
  </si>
  <si>
    <t>893615291</t>
  </si>
  <si>
    <t>RC607.A26 C4783 1995</t>
  </si>
  <si>
    <t>0                      RC 0607000A  26                 C  4783        1995</t>
  </si>
  <si>
    <t>The hurry-up song : a memoir of losing my brother / Clifford Chase.</t>
  </si>
  <si>
    <t>Chase, Clifford.</t>
  </si>
  <si>
    <t>[San Francisco] : HarperSan Francisco, c1995.</t>
  </si>
  <si>
    <t>2010-01-25</t>
  </si>
  <si>
    <t>1997-02-07</t>
  </si>
  <si>
    <t>908273004:eng</t>
  </si>
  <si>
    <t>30893668</t>
  </si>
  <si>
    <t>991002375259702656</t>
  </si>
  <si>
    <t>2267200290002656</t>
  </si>
  <si>
    <t>9780062510198</t>
  </si>
  <si>
    <t>32285002430014</t>
  </si>
  <si>
    <t>893798511</t>
  </si>
  <si>
    <t>RC607.A26 D84 1996</t>
  </si>
  <si>
    <t>0                      RC 0607000A  26                 D  84          1996</t>
  </si>
  <si>
    <t>Inventing the AIDS virus / Peter Duesberg.</t>
  </si>
  <si>
    <t>Duesberg, Peter.</t>
  </si>
  <si>
    <t>Washington, D.C. : Regnery Publishing ; Lanham, MD : Distributed to the trade by National Book Network, c1996.</t>
  </si>
  <si>
    <t>2000-01-10</t>
  </si>
  <si>
    <t>1996-07-15</t>
  </si>
  <si>
    <t>138496196:eng</t>
  </si>
  <si>
    <t>33276899</t>
  </si>
  <si>
    <t>991002560069702656</t>
  </si>
  <si>
    <t>2257697720002656</t>
  </si>
  <si>
    <t>9780895264701</t>
  </si>
  <si>
    <t>32285002212222</t>
  </si>
  <si>
    <t>893798727</t>
  </si>
  <si>
    <t>RC607.A26 F35 1991</t>
  </si>
  <si>
    <t>0                      RC 0607000A  26                 F  35          1991</t>
  </si>
  <si>
    <t>The biology of AIDS / Hung Fan, Ross F. Connor [sic], Luis P. Villarreal.</t>
  </si>
  <si>
    <t>Fan, Hung, 1947-</t>
  </si>
  <si>
    <t>Boston : Jones and Bartlett, c1991.</t>
  </si>
  <si>
    <t>2010-10-29</t>
  </si>
  <si>
    <t>374690:eng</t>
  </si>
  <si>
    <t>22706361</t>
  </si>
  <si>
    <t>991001805799702656</t>
  </si>
  <si>
    <t>2257566510002656</t>
  </si>
  <si>
    <t>9780867201789</t>
  </si>
  <si>
    <t>32285001039550</t>
  </si>
  <si>
    <t>893408381</t>
  </si>
  <si>
    <t>RC607.A26 F48 1984</t>
  </si>
  <si>
    <t>0                      RC 0607000A  26                 F  48          1984</t>
  </si>
  <si>
    <t>The truth about AIDS : evolution of an epidemic / Ann Giudici Fettner and William A. Check ; foreword by Bijan Safai.</t>
  </si>
  <si>
    <t>Fettner, Ann Giudici.</t>
  </si>
  <si>
    <t>New York : Holt, Rinehart and Winston, c1984.</t>
  </si>
  <si>
    <t>1995-12-19</t>
  </si>
  <si>
    <t>1995-01-25</t>
  </si>
  <si>
    <t>3348995:eng</t>
  </si>
  <si>
    <t>10183152</t>
  </si>
  <si>
    <t>991000326579702656</t>
  </si>
  <si>
    <t>2270690700002656</t>
  </si>
  <si>
    <t>9780030695391</t>
  </si>
  <si>
    <t>32285001778900</t>
  </si>
  <si>
    <t>893419368</t>
  </si>
  <si>
    <t>RC607.A26 F55 1995</t>
  </si>
  <si>
    <t>0                      RC 0607000A  26                 F  55          1995</t>
  </si>
  <si>
    <t>I'll not go quietly : Mary Fisher speaks out / Mary Fisher ; with an introduction by Katie Couric.</t>
  </si>
  <si>
    <t>Fisher, Mary, 1948-</t>
  </si>
  <si>
    <t>New York : Scribner, c1995.</t>
  </si>
  <si>
    <t>2003-03-21</t>
  </si>
  <si>
    <t>1995-10-23</t>
  </si>
  <si>
    <t>34419333:eng</t>
  </si>
  <si>
    <t>32132855</t>
  </si>
  <si>
    <t>991002466779702656</t>
  </si>
  <si>
    <t>2262173100002656</t>
  </si>
  <si>
    <t>9780684800745</t>
  </si>
  <si>
    <t>32285002096922</t>
  </si>
  <si>
    <t>893530031</t>
  </si>
  <si>
    <t>RC607.A26 F56 1994</t>
  </si>
  <si>
    <t>0                      RC 0607000A  26                 F  56          1994</t>
  </si>
  <si>
    <t>Sleep with the angels : a mother challenges AIDS / Mary Fisher.</t>
  </si>
  <si>
    <t>Wakefield, R.I. : Moyer Bell ; Emeryville, CA : Distributed in North America by Publishers Group West, c1994.</t>
  </si>
  <si>
    <t>riu</t>
  </si>
  <si>
    <t>31145257:eng</t>
  </si>
  <si>
    <t>28674845</t>
  </si>
  <si>
    <t>991002225629702656</t>
  </si>
  <si>
    <t>2271460270002656</t>
  </si>
  <si>
    <t>9781559211031</t>
  </si>
  <si>
    <t>32285001879773</t>
  </si>
  <si>
    <t>893591066</t>
  </si>
  <si>
    <t>RC607.A26 G73 1986</t>
  </si>
  <si>
    <t>0                      RC 0607000A  26                 G  73          1986</t>
  </si>
  <si>
    <t>Chronicle : the human side of AIDS / by Mike Greenly.</t>
  </si>
  <si>
    <t>Greenly, Mike, 1944-</t>
  </si>
  <si>
    <t>New York NY : Irvington, c1986.</t>
  </si>
  <si>
    <t>7355626:eng</t>
  </si>
  <si>
    <t>13525591</t>
  </si>
  <si>
    <t>991000840889702656</t>
  </si>
  <si>
    <t>2262422110002656</t>
  </si>
  <si>
    <t>9780829018004</t>
  </si>
  <si>
    <t>32285000191592</t>
  </si>
  <si>
    <t>893432351</t>
  </si>
  <si>
    <t>RC607.A26 G776 1995</t>
  </si>
  <si>
    <t>0                      RC 0607000A  26                 G  776         1995</t>
  </si>
  <si>
    <t>Grief and AIDS / edited by Lorraine Sherr.</t>
  </si>
  <si>
    <t>Chichester, West Sussex, England ; New York, NY : Wiley, 1995.</t>
  </si>
  <si>
    <t>2005-03-19</t>
  </si>
  <si>
    <t>33683285:eng</t>
  </si>
  <si>
    <t>31436180</t>
  </si>
  <si>
    <t>991002416879702656</t>
  </si>
  <si>
    <t>2262286160002656</t>
  </si>
  <si>
    <t>9780471953463</t>
  </si>
  <si>
    <t>32285002272267</t>
  </si>
  <si>
    <t>893341400</t>
  </si>
  <si>
    <t>RC607.A26 G86 1989</t>
  </si>
  <si>
    <t>0                      RC 0607000A  26                 G  86          1989</t>
  </si>
  <si>
    <t>AIDS : testing and privacy / Martin Gunderson, David J. Mayo, Frank S. Rhame.</t>
  </si>
  <si>
    <t>Gunderson, Martin, 1946-</t>
  </si>
  <si>
    <t>Salt Lake City : University of Utah Press, 1989.</t>
  </si>
  <si>
    <t>utu</t>
  </si>
  <si>
    <t>Ethics in a changing world ; v. 2</t>
  </si>
  <si>
    <t>1990-04-23</t>
  </si>
  <si>
    <t>196785730:eng</t>
  </si>
  <si>
    <t>18738944</t>
  </si>
  <si>
    <t>991001387199702656</t>
  </si>
  <si>
    <t>2261159550002656</t>
  </si>
  <si>
    <t>9780874803174</t>
  </si>
  <si>
    <t>32285000124858</t>
  </si>
  <si>
    <t>893715408</t>
  </si>
  <si>
    <t>RC607.A26 H416 1996</t>
  </si>
  <si>
    <t>0                      RC 0607000A  26                 H  416         1996</t>
  </si>
  <si>
    <t>Heaven's coast : a memoir / Mark Doty.</t>
  </si>
  <si>
    <t>Doty, Mark.</t>
  </si>
  <si>
    <t>New York, NY : HarperCollinsPublishers, c1996.</t>
  </si>
  <si>
    <t>1997-09-15</t>
  </si>
  <si>
    <t>1996-04-15</t>
  </si>
  <si>
    <t>26679836:eng</t>
  </si>
  <si>
    <t>34029880</t>
  </si>
  <si>
    <t>991002597729702656</t>
  </si>
  <si>
    <t>2271454010002656</t>
  </si>
  <si>
    <t>9780060172107</t>
  </si>
  <si>
    <t>32285002152899</t>
  </si>
  <si>
    <t>893323132</t>
  </si>
  <si>
    <t>RC607.A26 H45 1991</t>
  </si>
  <si>
    <t>0                      RC 0607000A  26                 H  45          1991</t>
  </si>
  <si>
    <t>AIDS, trading fears for facts : a guide for young people / Karen Hein, Theresa Foy DiGeronimo, and the editors of Consumer Reports Books.</t>
  </si>
  <si>
    <t>Hein, Karen.</t>
  </si>
  <si>
    <t>Yonkers, N.Y. : Consumers Reports Books, 1991.</t>
  </si>
  <si>
    <t>Updated ed.</t>
  </si>
  <si>
    <t>26291106:eng</t>
  </si>
  <si>
    <t>24219033</t>
  </si>
  <si>
    <t>991001919049702656</t>
  </si>
  <si>
    <t>2269313170002656</t>
  </si>
  <si>
    <t>9780890434819</t>
  </si>
  <si>
    <t>32285002415007</t>
  </si>
  <si>
    <t>893779195</t>
  </si>
  <si>
    <t>RC607.A26 H558 2000</t>
  </si>
  <si>
    <t>0                      RC 0607000A  26                 H  558         2000</t>
  </si>
  <si>
    <t>HIV/AIDS at year 2000 : a sourcebook for social workers / edited by Vincent J. Lynch.</t>
  </si>
  <si>
    <t>Boston : Allyn and Bacon, c2000.</t>
  </si>
  <si>
    <t>meu</t>
  </si>
  <si>
    <t>2004-02-24</t>
  </si>
  <si>
    <t>25228799:eng</t>
  </si>
  <si>
    <t>40163512</t>
  </si>
  <si>
    <t>991004232729702656</t>
  </si>
  <si>
    <t>2263273120002656</t>
  </si>
  <si>
    <t>9780205290062</t>
  </si>
  <si>
    <t>32285004890439</t>
  </si>
  <si>
    <t>893349766</t>
  </si>
  <si>
    <t>RC607.A26 I45 1990</t>
  </si>
  <si>
    <t>0                      RC 0607000A  26                 I  45          1990</t>
  </si>
  <si>
    <t>Proceedings of the Fourth International Conference : to live: why? AIDS : November 13-15, 1989, Vatican City Synod Hall / organized by the Pontifical Council for Pastoral Assistance to Health Care Workers.</t>
  </si>
  <si>
    <t>Vatican City : Vatican Polyglot Press, 1990.</t>
  </si>
  <si>
    <t xml:space="preserve">vc </t>
  </si>
  <si>
    <t>1991-01-31</t>
  </si>
  <si>
    <t>24528300:eng</t>
  </si>
  <si>
    <t>22786571</t>
  </si>
  <si>
    <t>991001814729702656</t>
  </si>
  <si>
    <t>2267870470002656</t>
  </si>
  <si>
    <t>32285000462852</t>
  </si>
  <si>
    <t>893334631</t>
  </si>
  <si>
    <t>RC607.A26 J654 1995</t>
  </si>
  <si>
    <t>0                      RC 0607000A  26                 J  654         1995</t>
  </si>
  <si>
    <t>HIV-negative : how the uninfected are affected by AIDS / William I. Johnston ; foreword by Eric E. Rofes.</t>
  </si>
  <si>
    <t>Johnston, William I.</t>
  </si>
  <si>
    <t>New York : Plenum Press, c1995.</t>
  </si>
  <si>
    <t>1995-06-06</t>
  </si>
  <si>
    <t>894995:eng</t>
  </si>
  <si>
    <t>32089986</t>
  </si>
  <si>
    <t>991002462979702656</t>
  </si>
  <si>
    <t>2255351990002656</t>
  </si>
  <si>
    <t>9780306449475</t>
  </si>
  <si>
    <t>32285002050333</t>
  </si>
  <si>
    <t>893685384</t>
  </si>
  <si>
    <t>RC607.A26 K3559 1996</t>
  </si>
  <si>
    <t>0                      RC 0607000A  26                 K  3559        1996</t>
  </si>
  <si>
    <t>Answering your questions about AIDS / Seth C. Kalichman.</t>
  </si>
  <si>
    <t>Kalichman, Seth C.</t>
  </si>
  <si>
    <t>Washington, D.C. : American Psychological Association, c1996.</t>
  </si>
  <si>
    <t>1997-01-13</t>
  </si>
  <si>
    <t>23566512:eng</t>
  </si>
  <si>
    <t>34076220</t>
  </si>
  <si>
    <t>991002599829702656</t>
  </si>
  <si>
    <t>2269628470002656</t>
  </si>
  <si>
    <t>9781557983398</t>
  </si>
  <si>
    <t>32285002406378</t>
  </si>
  <si>
    <t>893245366</t>
  </si>
  <si>
    <t>RC607.A26 K58 1990</t>
  </si>
  <si>
    <t>0                      RC 0607000A  26                 K  58          1990</t>
  </si>
  <si>
    <t>What every therapist should know about AIDS / Samuel Knapp, Leon VandeCreek.</t>
  </si>
  <si>
    <t>Knapp, Samuel.</t>
  </si>
  <si>
    <t>Sarasota, Fla. : Professional Resource Exchange, c1990.</t>
  </si>
  <si>
    <t>Practitioner's resource series</t>
  </si>
  <si>
    <t>1991-04-30</t>
  </si>
  <si>
    <t>24648431:eng</t>
  </si>
  <si>
    <t>22297495</t>
  </si>
  <si>
    <t>991001764049702656</t>
  </si>
  <si>
    <t>2266259490002656</t>
  </si>
  <si>
    <t>9780943158587</t>
  </si>
  <si>
    <t>32285000570134</t>
  </si>
  <si>
    <t>893256496</t>
  </si>
  <si>
    <t>RC607.A26 K73 1989</t>
  </si>
  <si>
    <t>0                      RC 0607000A  26                 K  73          1989</t>
  </si>
  <si>
    <t>Reports from the holocaust : the making of an AIDS activist / Larry Kramer.</t>
  </si>
  <si>
    <t>Kramer, Larry.</t>
  </si>
  <si>
    <t>New York : St. Martin's Press, c1989.</t>
  </si>
  <si>
    <t>1993-10-02</t>
  </si>
  <si>
    <t>1990-09-20</t>
  </si>
  <si>
    <t>19439030:eng</t>
  </si>
  <si>
    <t>18949181</t>
  </si>
  <si>
    <t>991001416229702656</t>
  </si>
  <si>
    <t>2270561690002656</t>
  </si>
  <si>
    <t>9780312026349</t>
  </si>
  <si>
    <t>32285000277516</t>
  </si>
  <si>
    <t>893238113</t>
  </si>
  <si>
    <t>RC607.A26 L36 1988</t>
  </si>
  <si>
    <t>0                      RC 0607000A  26                 L  36          1988</t>
  </si>
  <si>
    <t>AIDS : the facts / John Langone.</t>
  </si>
  <si>
    <t>Langone, John, 1929-2006.</t>
  </si>
  <si>
    <t>Boston : Little, Brown, c1988.</t>
  </si>
  <si>
    <t>13597411:eng</t>
  </si>
  <si>
    <t>16872267</t>
  </si>
  <si>
    <t>991001158979702656</t>
  </si>
  <si>
    <t>2255818020002656</t>
  </si>
  <si>
    <t>9780316514125</t>
  </si>
  <si>
    <t>32285000191600</t>
  </si>
  <si>
    <t>893237917</t>
  </si>
  <si>
    <t>RC607.A26 L58 1992</t>
  </si>
  <si>
    <t>0                      RC 0607000A  26                 L  58          1992</t>
  </si>
  <si>
    <t>Living and dying with AIDS / edited by Paul I. Ahmed with the assistance of Nancy Ahmed.</t>
  </si>
  <si>
    <t>The Language of science</t>
  </si>
  <si>
    <t>364414108:eng</t>
  </si>
  <si>
    <t>24288269</t>
  </si>
  <si>
    <t>991001923919702656</t>
  </si>
  <si>
    <t>2269082110002656</t>
  </si>
  <si>
    <t>9780306438516</t>
  </si>
  <si>
    <t>32285001195659</t>
  </si>
  <si>
    <t>893590747</t>
  </si>
  <si>
    <t>RC607.A26 M36 1993</t>
  </si>
  <si>
    <t>0                      RC 0607000A  26                 M  36          1993</t>
  </si>
  <si>
    <t>When someone you know has AIDS : a practical guide / by Leonard J. Martelli ... [et al.].</t>
  </si>
  <si>
    <t>New York : Crown Trade Paperbacks, c1993.</t>
  </si>
  <si>
    <t>Rev. and updated ed.</t>
  </si>
  <si>
    <t>2002-02-03</t>
  </si>
  <si>
    <t>9080980:eng</t>
  </si>
  <si>
    <t>27338918</t>
  </si>
  <si>
    <t>991002132689702656</t>
  </si>
  <si>
    <t>2271557450002656</t>
  </si>
  <si>
    <t>9780517880395</t>
  </si>
  <si>
    <t>32285002097342</t>
  </si>
  <si>
    <t>893792062</t>
  </si>
  <si>
    <t>RC607.A26 M66 1988</t>
  </si>
  <si>
    <t>0                      RC 0607000A  26                 M  66          1988</t>
  </si>
  <si>
    <t>Borrowed time : an AIDS memoir / Paul Monette.</t>
  </si>
  <si>
    <t>Monette, Paul.</t>
  </si>
  <si>
    <t>San Diego : Harcourt Brace Jovanovich, c1988.</t>
  </si>
  <si>
    <t>2004-10-18</t>
  </si>
  <si>
    <t>45662740:eng</t>
  </si>
  <si>
    <t>17726716</t>
  </si>
  <si>
    <t>991001253809702656</t>
  </si>
  <si>
    <t>2258860020002656</t>
  </si>
  <si>
    <t>9780151135981</t>
  </si>
  <si>
    <t>32285001047637</t>
  </si>
  <si>
    <t>893897649</t>
  </si>
  <si>
    <t>RC607.A26 N49 1992</t>
  </si>
  <si>
    <t>0                      RC 0607000A  26                 N  49          1992</t>
  </si>
  <si>
    <t>AIDS issues : a handbook / David E. Newton.</t>
  </si>
  <si>
    <t>Newton, David E.</t>
  </si>
  <si>
    <t>Hillside, N.J., U.S.A. : Enslow Publishers, c1992.</t>
  </si>
  <si>
    <t>Issues in focus</t>
  </si>
  <si>
    <t>28682206:eng</t>
  </si>
  <si>
    <t>25675842</t>
  </si>
  <si>
    <t>991002018759702656</t>
  </si>
  <si>
    <t>2267004930002656</t>
  </si>
  <si>
    <t>9780894903380</t>
  </si>
  <si>
    <t>32285002075256</t>
  </si>
  <si>
    <t>893347020</t>
  </si>
  <si>
    <t>RC607.A26 N6 1989</t>
  </si>
  <si>
    <t>0                      RC 0607000A  26                 N  6           1989</t>
  </si>
  <si>
    <t>No longer immune : a counselor's guide to AIDS / Craig D. Kain, editor ; foreword by Bernard Siegel.</t>
  </si>
  <si>
    <t>Alexandria, Va. : American Association for Counseling and Development, c1989.</t>
  </si>
  <si>
    <t>21177335:eng</t>
  </si>
  <si>
    <t>19455478</t>
  </si>
  <si>
    <t>991001461479702656</t>
  </si>
  <si>
    <t>2270659490002656</t>
  </si>
  <si>
    <t>9781556200649</t>
  </si>
  <si>
    <t>32285001037927</t>
  </si>
  <si>
    <t>893602618</t>
  </si>
  <si>
    <t>RC607.A26 P43 1986</t>
  </si>
  <si>
    <t>0                      RC 0607000A  26                 P  43          1986</t>
  </si>
  <si>
    <t>The screaming room : a mother's journal of her son's struggle with AIDS : a true story of love, dedication and courage / by Barbara Peabody.</t>
  </si>
  <si>
    <t>Peabody, Barbara.</t>
  </si>
  <si>
    <t>San Diego, Calif. : Oak Tree Publishers, c1986.</t>
  </si>
  <si>
    <t>5683698:eng</t>
  </si>
  <si>
    <t>13124365</t>
  </si>
  <si>
    <t>991000785709702656</t>
  </si>
  <si>
    <t>2255402630002656</t>
  </si>
  <si>
    <t>9780866790307</t>
  </si>
  <si>
    <t>32285000180207</t>
  </si>
  <si>
    <t>893683744</t>
  </si>
  <si>
    <t>RC607.A26 P64 1991</t>
  </si>
  <si>
    <t>0                      RC 0607000A  26                 P  64          1991</t>
  </si>
  <si>
    <t>The caregivers' journey : when you love someone with AIDS / Mel Pohl, Deniston Kay, and Doug Toft.</t>
  </si>
  <si>
    <t>Pohl, Mel.</t>
  </si>
  <si>
    <t>New York, NY : HarperCollins, 1991.</t>
  </si>
  <si>
    <t>1st HarperCollins ed.</t>
  </si>
  <si>
    <t>2002-03-24</t>
  </si>
  <si>
    <t>23770359:eng</t>
  </si>
  <si>
    <t>22767153</t>
  </si>
  <si>
    <t>991001813639702656</t>
  </si>
  <si>
    <t>2261608030002656</t>
  </si>
  <si>
    <t>9780062553393</t>
  </si>
  <si>
    <t>32285001196491</t>
  </si>
  <si>
    <t>893690941</t>
  </si>
  <si>
    <t>RC607.A26 P7946 1990</t>
  </si>
  <si>
    <t>0                      RC 0607000A  26                 P  7946        1990</t>
  </si>
  <si>
    <t>Psychosocial perspectives on AIDS : etiology, prevention, and treatment / edited by Lydia Temoshok, Andrew Baum.</t>
  </si>
  <si>
    <t>Hillsdale, N.J. : L. Erlbaum, 1990.</t>
  </si>
  <si>
    <t>908302638:eng</t>
  </si>
  <si>
    <t>21150243</t>
  </si>
  <si>
    <t>991001657589702656</t>
  </si>
  <si>
    <t>2263154430002656</t>
  </si>
  <si>
    <t>9780805802078</t>
  </si>
  <si>
    <t>32285001118172</t>
  </si>
  <si>
    <t>893414374</t>
  </si>
  <si>
    <t>RC607.A26 R53 1988</t>
  </si>
  <si>
    <t>0                      RC 0607000A  26                 R  53          1988</t>
  </si>
  <si>
    <t>Women and AIDS / Diane Richardson.</t>
  </si>
  <si>
    <t>Richardson, Diane, 1953-</t>
  </si>
  <si>
    <t>New York : Methuen, 1988.</t>
  </si>
  <si>
    <t>2006-03-19</t>
  </si>
  <si>
    <t>22610890:eng</t>
  </si>
  <si>
    <t>16131422</t>
  </si>
  <si>
    <t>991001786259702656</t>
  </si>
  <si>
    <t>2268719080002656</t>
  </si>
  <si>
    <t>9780416017410</t>
  </si>
  <si>
    <t>32285000824945</t>
  </si>
  <si>
    <t>893715725</t>
  </si>
  <si>
    <t>RC607.A26 S4916 1995</t>
  </si>
  <si>
    <t>0                      RC 0607000A  26                 S  4916        1995</t>
  </si>
  <si>
    <t>People with HIV and those who help them : challenges, integration, intervention / R. Dennis Shelby.</t>
  </si>
  <si>
    <t>Shelby, R. Dennis.</t>
  </si>
  <si>
    <t>Binghamton, N.Y. : Haworth Press, c1995.</t>
  </si>
  <si>
    <t>Haworth social work practice</t>
  </si>
  <si>
    <t>1996-06-26</t>
  </si>
  <si>
    <t>322014218:eng</t>
  </si>
  <si>
    <t>30976520</t>
  </si>
  <si>
    <t>991002383919702656</t>
  </si>
  <si>
    <t>2261159090002656</t>
  </si>
  <si>
    <t>9781560238652</t>
  </si>
  <si>
    <t>32285002173648</t>
  </si>
  <si>
    <t>893517219</t>
  </si>
  <si>
    <t>RC607.A26 T56 1992</t>
  </si>
  <si>
    <t>0                      RC 0607000A  26                 T  56          1992</t>
  </si>
  <si>
    <t>The time of AIDS : social analysis, theory, and method / [edited by] Gilbert Herdt, Shirley Lindenbaum.</t>
  </si>
  <si>
    <t>836797149:eng</t>
  </si>
  <si>
    <t>24793022</t>
  </si>
  <si>
    <t>991005054759702656</t>
  </si>
  <si>
    <t>2258322640002656</t>
  </si>
  <si>
    <t>9780803943728</t>
  </si>
  <si>
    <t>32285005284079</t>
  </si>
  <si>
    <t>893889607</t>
  </si>
  <si>
    <t>RC607.A26 U58 1993</t>
  </si>
  <si>
    <t>0                      RC 0607000A  26                 U  58          1993</t>
  </si>
  <si>
    <t>Until the cure : caring for women with HIV / edited by Ann Kurth ; foreword by Jonathan Mann.</t>
  </si>
  <si>
    <t>[A Yale fastback]</t>
  </si>
  <si>
    <t>836841975:eng</t>
  </si>
  <si>
    <t>28421309</t>
  </si>
  <si>
    <t>991002209989702656</t>
  </si>
  <si>
    <t>2260346820002656</t>
  </si>
  <si>
    <t>9780300058062</t>
  </si>
  <si>
    <t>32285003494092</t>
  </si>
  <si>
    <t>893504133</t>
  </si>
  <si>
    <t>RC607.A26 W383 1998</t>
  </si>
  <si>
    <t>0                      RC 0607000A  26                 W  383         1998</t>
  </si>
  <si>
    <t>The AIDS dictionary / Sarah Barbara Watstein, with Karen Chandler.</t>
  </si>
  <si>
    <t>New York : Facts on File, c1998.</t>
  </si>
  <si>
    <t>20696001:eng</t>
  </si>
  <si>
    <t>36521004</t>
  </si>
  <si>
    <t>991002865079702656</t>
  </si>
  <si>
    <t>2268980460002656</t>
  </si>
  <si>
    <t>9780816031498</t>
  </si>
  <si>
    <t>32285003477998</t>
  </si>
  <si>
    <t>893517852</t>
  </si>
  <si>
    <t>RC607.A26 W495 1988</t>
  </si>
  <si>
    <t>0                      RC 0607000A  26                 W  495         1988</t>
  </si>
  <si>
    <t>Someone was here : profiles in the AIDS epidemic / George Whitmore.</t>
  </si>
  <si>
    <t>Whitmore, George, 1945-1989.</t>
  </si>
  <si>
    <t>New York : New American Library, 1988.</t>
  </si>
  <si>
    <t>866256727:eng</t>
  </si>
  <si>
    <t>17105335</t>
  </si>
  <si>
    <t>991001178259702656</t>
  </si>
  <si>
    <t>2267205810002656</t>
  </si>
  <si>
    <t>9780453006019</t>
  </si>
  <si>
    <t>32285002063146</t>
  </si>
  <si>
    <t>893602391</t>
  </si>
  <si>
    <t>RC607.A26 W52 1990</t>
  </si>
  <si>
    <t>0                      RC 0607000A  26                 W  52          1990</t>
  </si>
  <si>
    <t>Nutrition and HIV : your choices make a difference / [Peggy A. Wickwire] ; Tennessee Department of Health AIDS Program.</t>
  </si>
  <si>
    <t>Wickwire, Peggy A.</t>
  </si>
  <si>
    <t>[Nashville, Tenn.] : Tennessee Dept. of Health AIDS Program, c1990.</t>
  </si>
  <si>
    <t>1998-11-04</t>
  </si>
  <si>
    <t>17594054:eng</t>
  </si>
  <si>
    <t>26631797</t>
  </si>
  <si>
    <t>991002076369702656</t>
  </si>
  <si>
    <t>2256057260002656</t>
  </si>
  <si>
    <t>32285003485504</t>
  </si>
  <si>
    <t>893226426</t>
  </si>
  <si>
    <t>RC607.A26 W57 1991</t>
  </si>
  <si>
    <t>0                      RC 0607000A  26                 W  57          1991</t>
  </si>
  <si>
    <t>AIDS-related psychotherapy / Mark G. Winiarski.</t>
  </si>
  <si>
    <t>Winiarski, Mark G., 1950-</t>
  </si>
  <si>
    <t>New York : Pergamon Press, c1991.</t>
  </si>
  <si>
    <t>Pergamon general psychology series ; PGPS-165</t>
  </si>
  <si>
    <t>23173027:eng</t>
  </si>
  <si>
    <t>21670973</t>
  </si>
  <si>
    <t>991001714279702656</t>
  </si>
  <si>
    <t>2256634130002656</t>
  </si>
  <si>
    <t>9780080379135</t>
  </si>
  <si>
    <t>32285001036143</t>
  </si>
  <si>
    <t>893232192</t>
  </si>
  <si>
    <t>RC607.A26 W5726 2000</t>
  </si>
  <si>
    <t>0                      RC 0607000A  26                 W  5726        2000</t>
  </si>
  <si>
    <t>Pedro and me : friendship, loss, and what I learned / Judd Winick.</t>
  </si>
  <si>
    <t>Winick, Judd.</t>
  </si>
  <si>
    <t>New York : Henry Holt, 2000.</t>
  </si>
  <si>
    <t>2001-08-29</t>
  </si>
  <si>
    <t>915706746:eng</t>
  </si>
  <si>
    <t>42429252</t>
  </si>
  <si>
    <t>991003588559702656</t>
  </si>
  <si>
    <t>22101318080002656</t>
  </si>
  <si>
    <t>9780805063790</t>
  </si>
  <si>
    <t>32285004382395</t>
  </si>
  <si>
    <t>893587090</t>
  </si>
  <si>
    <t>RC608 .B85</t>
  </si>
  <si>
    <t>0                      RC 0608000B  85</t>
  </si>
  <si>
    <t>Case histories in clinical and abnormal psychology, ed. by Arthur Burton and Robert E. Harris.</t>
  </si>
  <si>
    <t>Burton, Arthur, 1914-, editor.</t>
  </si>
  <si>
    <t>New York [etc.] Harper [c1947]</t>
  </si>
  <si>
    <t>1947</t>
  </si>
  <si>
    <t>1999-09-29</t>
  </si>
  <si>
    <t>1802199:eng</t>
  </si>
  <si>
    <t>642940</t>
  </si>
  <si>
    <t>991003092799702656</t>
  </si>
  <si>
    <t>2262002240002656</t>
  </si>
  <si>
    <t>32285003092789</t>
  </si>
  <si>
    <t>893524412</t>
  </si>
  <si>
    <t>RC620.5 .M27</t>
  </si>
  <si>
    <t>0                      RC 0620500M  27</t>
  </si>
  <si>
    <t>Malnutrition and retarded human development, by Sohan L. Manocha. With a foreword by G. H. Bourne.</t>
  </si>
  <si>
    <t>Manocha, Sohan L.</t>
  </si>
  <si>
    <t>Springfield, Ill., Thomas [1972]</t>
  </si>
  <si>
    <t>471344:eng</t>
  </si>
  <si>
    <t>495387</t>
  </si>
  <si>
    <t>991002865629702656</t>
  </si>
  <si>
    <t>2256809400002656</t>
  </si>
  <si>
    <t>9780398025489</t>
  </si>
  <si>
    <t>32285003092821</t>
  </si>
  <si>
    <t>893780333</t>
  </si>
  <si>
    <t>RC622 .B49</t>
  </si>
  <si>
    <t>0                      RC 0622000B  49</t>
  </si>
  <si>
    <t>Your health under siege : using nutrition to fight back / Jeffrey Bland.</t>
  </si>
  <si>
    <t>Bland, Jeffrey, 1946-</t>
  </si>
  <si>
    <t>Brattleboro, Vt. : S. Greene Press, c1981, 1982 printing.</t>
  </si>
  <si>
    <t>796477912:eng</t>
  </si>
  <si>
    <t>7179256</t>
  </si>
  <si>
    <t>991005084479702656</t>
  </si>
  <si>
    <t>2267059190002656</t>
  </si>
  <si>
    <t>9780828904155</t>
  </si>
  <si>
    <t>32285001607760</t>
  </si>
  <si>
    <t>893902072</t>
  </si>
  <si>
    <t>RC622 .F47613 2006</t>
  </si>
  <si>
    <t>0                      RC 0622000F  47613       2006</t>
  </si>
  <si>
    <t>Sacred cow, mad cow : a history of food fears / Madeleine Ferrières ; translated by Jody Gladding.</t>
  </si>
  <si>
    <t>Ferrières, Madeleine.</t>
  </si>
  <si>
    <t>New York : Columbia University Press, c2006.</t>
  </si>
  <si>
    <t>Arts and traditions of the table</t>
  </si>
  <si>
    <t>2005-12-13</t>
  </si>
  <si>
    <t>1151935760:eng</t>
  </si>
  <si>
    <t>61123200</t>
  </si>
  <si>
    <t>991004693539702656</t>
  </si>
  <si>
    <t>2255287850002656</t>
  </si>
  <si>
    <t>9780231131926</t>
  </si>
  <si>
    <t>32285005152003</t>
  </si>
  <si>
    <t>893532700</t>
  </si>
  <si>
    <t>RC623 .E23 1976</t>
  </si>
  <si>
    <t>0                      RC 0623000E  23          1976</t>
  </si>
  <si>
    <t>The two faces of malnutrition / Erik Eckholm, Frank Record.</t>
  </si>
  <si>
    <t>Eckholm, Erik P.</t>
  </si>
  <si>
    <t>Washington : Worldwatch Institute, c1976.</t>
  </si>
  <si>
    <t>Worldwatch paper ; 9</t>
  </si>
  <si>
    <t>2000-03-01</t>
  </si>
  <si>
    <t>6175302:eng</t>
  </si>
  <si>
    <t>2858519</t>
  </si>
  <si>
    <t>991004264059702656</t>
  </si>
  <si>
    <t>2263420340002656</t>
  </si>
  <si>
    <t>9780916468088</t>
  </si>
  <si>
    <t>32285001607778</t>
  </si>
  <si>
    <t>893535886</t>
  </si>
  <si>
    <t>RC627.6 .F48 1985, v...</t>
  </si>
  <si>
    <t>0                      RC 0627600F  48          1985                                        v...</t>
  </si>
  <si>
    <t>Molecular biochemistry of human disease / George Feuer, Felix A. De la Iglesia.</t>
  </si>
  <si>
    <t>Feuer, George, 1921-</t>
  </si>
  <si>
    <t>Boca Raton, Fla. : CRC Press, c1985-</t>
  </si>
  <si>
    <t>1999-10-01</t>
  </si>
  <si>
    <t>10567812029:eng</t>
  </si>
  <si>
    <t>10696770</t>
  </si>
  <si>
    <t>991000408829702656</t>
  </si>
  <si>
    <t>2269232910002656</t>
  </si>
  <si>
    <t>9780849362057</t>
  </si>
  <si>
    <t>32285001383107</t>
  </si>
  <si>
    <t>893327266</t>
  </si>
  <si>
    <t>RC627.8 .B46 1985</t>
  </si>
  <si>
    <t>0                      RC 0627800B  46          1985</t>
  </si>
  <si>
    <t>Genetic biochemical disorders / Philip F. Benson, Anthony H. Fensom.</t>
  </si>
  <si>
    <t>Benson, P. F. (Philip F.)</t>
  </si>
  <si>
    <t>Oxford [Oxfordshire] ; New York : Oxford University Press, 1985.</t>
  </si>
  <si>
    <t>Oxford monographs on medical genetics ; no. 12</t>
  </si>
  <si>
    <t>4061242:eng</t>
  </si>
  <si>
    <t>11441886</t>
  </si>
  <si>
    <t>991000534209702656</t>
  </si>
  <si>
    <t>2268636000002656</t>
  </si>
  <si>
    <t>9780192611932</t>
  </si>
  <si>
    <t>32285000943109</t>
  </si>
  <si>
    <t>893333554</t>
  </si>
  <si>
    <t>RC627.8 .G35 1985</t>
  </si>
  <si>
    <t>0                      RC 0627800G  35          1985</t>
  </si>
  <si>
    <t>Molecular genetics of common metabolic disease / David J. Galton.</t>
  </si>
  <si>
    <t>Galton, David J.</t>
  </si>
  <si>
    <t>1999-10-08</t>
  </si>
  <si>
    <t>314662203:eng</t>
  </si>
  <si>
    <t>12052380</t>
  </si>
  <si>
    <t>991001780079702656</t>
  </si>
  <si>
    <t>2258240260002656</t>
  </si>
  <si>
    <t>9780471832775</t>
  </si>
  <si>
    <t>32285000803170</t>
  </si>
  <si>
    <t>893420619</t>
  </si>
  <si>
    <t>RC627.8 .I57 1978</t>
  </si>
  <si>
    <t>0                      RC 0627800I  57          1978</t>
  </si>
  <si>
    <t>Models for the study of inborn errors of metabolism : proceedings of an International Symposium on Models for the Study of Inborn Errors of Metabolism held in Eernewoude, the Netherlands, 18-21 October, 1978 / editor, Frits A. Hommes.</t>
  </si>
  <si>
    <t>International Symposium on Models for the Study of Inborn Errors of Metabolism (1978 : Eernewoude, Netherlands)</t>
  </si>
  <si>
    <t>Amsterdam ; New York : Elsevier/North-Holland Biomedical Press ; New York : sole distributors for the USA and Canada, Elsevier North-Holland, 1979.</t>
  </si>
  <si>
    <t>1995-09-28</t>
  </si>
  <si>
    <t>3855717454:eng</t>
  </si>
  <si>
    <t>4591487</t>
  </si>
  <si>
    <t>991004684979702656</t>
  </si>
  <si>
    <t>2265912770002656</t>
  </si>
  <si>
    <t>9780444801067</t>
  </si>
  <si>
    <t>32285001607794</t>
  </si>
  <si>
    <t>893442933</t>
  </si>
  <si>
    <t>RC627.8 .S6</t>
  </si>
  <si>
    <t>0                      RC 0627800S  6</t>
  </si>
  <si>
    <t>Inborn errors of skin, hair, and connective tissue : monograph based upon proceedings of the eleventh symposium of the Society for the Study of Inborn Errors of Metabolism / edited by J. B. Holton and J. T. Ireland.</t>
  </si>
  <si>
    <t>Society for the Study of Inborn Errors of Metabolism.</t>
  </si>
  <si>
    <t>Symposia of the Society for the Study of Inborn Errors of Metabolism ; 11</t>
  </si>
  <si>
    <t>1995-03-30</t>
  </si>
  <si>
    <t>2671126:eng</t>
  </si>
  <si>
    <t>1863392</t>
  </si>
  <si>
    <t>991001780039702656</t>
  </si>
  <si>
    <t>2263277480002656</t>
  </si>
  <si>
    <t>9780839108368</t>
  </si>
  <si>
    <t>32285003092839</t>
  </si>
  <si>
    <t>893703320</t>
  </si>
  <si>
    <t>RC627.8 .S6 1976</t>
  </si>
  <si>
    <t>0                      RC 0627800S  6           1976</t>
  </si>
  <si>
    <t>Medico-social management of inherited metabolic disease / [edited by D. N. Raine].</t>
  </si>
  <si>
    <t>Baltimore : University Park Press, c1976.</t>
  </si>
  <si>
    <t>Symposia of the Society for the Study of Inborn Errors of Metabolism ; [13]</t>
  </si>
  <si>
    <t>1364610906:eng</t>
  </si>
  <si>
    <t>2798808</t>
  </si>
  <si>
    <t>991004247169702656</t>
  </si>
  <si>
    <t>2270939180002656</t>
  </si>
  <si>
    <t>9780839111030</t>
  </si>
  <si>
    <t>32285003092847</t>
  </si>
  <si>
    <t>893500323</t>
  </si>
  <si>
    <t>RC628 .B3535 1987</t>
  </si>
  <si>
    <t>0                      RC 0628000B  3535        1987</t>
  </si>
  <si>
    <t>Behavioral management of obesity / edited by Jean Storlie, Henry A. Jordan.</t>
  </si>
  <si>
    <t>Champaign, IL : Life Enhancement Publications, [1987], c1984.</t>
  </si>
  <si>
    <t>La Crosse exercise and health series</t>
  </si>
  <si>
    <t>2008-03-19</t>
  </si>
  <si>
    <t>1991-08-26</t>
  </si>
  <si>
    <t>355687236:eng</t>
  </si>
  <si>
    <t>16647386</t>
  </si>
  <si>
    <t>991001124589702656</t>
  </si>
  <si>
    <t>2262639190002656</t>
  </si>
  <si>
    <t>9780873229081</t>
  </si>
  <si>
    <t>32285000701879</t>
  </si>
  <si>
    <t>893897539</t>
  </si>
  <si>
    <t>RC628 .B54  no.1</t>
  </si>
  <si>
    <t>0                      RC 0628000B  54                                                      no.1</t>
  </si>
  <si>
    <t>Dementia praecox ; or, The group of schizophrenias / by Eugen Bleuler.</t>
  </si>
  <si>
    <t>no.1*</t>
  </si>
  <si>
    <t>Bleuler, Eugen, 1857-1939.</t>
  </si>
  <si>
    <t>New York : International Universities Press, [1950]</t>
  </si>
  <si>
    <t>Monograph series on schizophrenia ; no. 1</t>
  </si>
  <si>
    <t>1992-03-18</t>
  </si>
  <si>
    <t>5614157760:eng</t>
  </si>
  <si>
    <t>2370253</t>
  </si>
  <si>
    <t>991002002579702656</t>
  </si>
  <si>
    <t>2255059640002656</t>
  </si>
  <si>
    <t>32285001005916</t>
  </si>
  <si>
    <t>893779309</t>
  </si>
  <si>
    <t>RC628 .E28 1983</t>
  </si>
  <si>
    <t>0                      RC 0628000E  28          1983</t>
  </si>
  <si>
    <t>Eating and weight disorders : advances in treatment and research / Richard K. Goodstein, editor.</t>
  </si>
  <si>
    <t>New York : Springer Pub. Co., c1983.</t>
  </si>
  <si>
    <t>Springer series on behavior therapy and behavioral medicine ; v. 8</t>
  </si>
  <si>
    <t>905429071:eng</t>
  </si>
  <si>
    <t>8430835</t>
  </si>
  <si>
    <t>991005242439702656</t>
  </si>
  <si>
    <t>2261238340002656</t>
  </si>
  <si>
    <t>9780826138309</t>
  </si>
  <si>
    <t>32285000072529</t>
  </si>
  <si>
    <t>893520696</t>
  </si>
  <si>
    <t>RC628 .E93 1987</t>
  </si>
  <si>
    <t>0                      RC 0628000E  93          1987</t>
  </si>
  <si>
    <t>Evaluation and treatment of obesity / edited by Jean Storlie, Henry A. Jordan.</t>
  </si>
  <si>
    <t>Champaign, Ill. : Life Enhancement Publications, [1987], c1984.</t>
  </si>
  <si>
    <t>428623734:eng</t>
  </si>
  <si>
    <t>16647462</t>
  </si>
  <si>
    <t>991001124719702656</t>
  </si>
  <si>
    <t>2262733920002656</t>
  </si>
  <si>
    <t>9780873229067</t>
  </si>
  <si>
    <t>32285000701887</t>
  </si>
  <si>
    <t>893715202</t>
  </si>
  <si>
    <t>RC628 .H66</t>
  </si>
  <si>
    <t>0                      RC 0628000H  66</t>
  </si>
  <si>
    <t>The biology of schizophrenia / by R. G. Hoskins.</t>
  </si>
  <si>
    <t>Hoskins, R. G. (Roy Graham), 1880-1964.</t>
  </si>
  <si>
    <t>New York : W. W. Norton &amp; Company, inc., [1946]</t>
  </si>
  <si>
    <t>[New York Academy of Medicine. Thomas William Salmon memorial lectures]</t>
  </si>
  <si>
    <t>1496877:eng</t>
  </si>
  <si>
    <t>346648</t>
  </si>
  <si>
    <t>991002430179702656</t>
  </si>
  <si>
    <t>2272091670002656</t>
  </si>
  <si>
    <t>32285001380962</t>
  </si>
  <si>
    <t>893597448</t>
  </si>
  <si>
    <t>RC628 .K5</t>
  </si>
  <si>
    <t>0                      RC 0628000K  5</t>
  </si>
  <si>
    <t>The psychology of obesity; dynamics and treatment / Norman Kiell.</t>
  </si>
  <si>
    <t>Kiell, Norman compiler.</t>
  </si>
  <si>
    <t>Springfield, Ill. : Thomas, 1973.</t>
  </si>
  <si>
    <t>2005-04-18</t>
  </si>
  <si>
    <t>899733800:eng</t>
  </si>
  <si>
    <t>604290</t>
  </si>
  <si>
    <t>991003043029702656</t>
  </si>
  <si>
    <t>2260909910002656</t>
  </si>
  <si>
    <t>9780398026851</t>
  </si>
  <si>
    <t>32285000075464</t>
  </si>
  <si>
    <t>893440869</t>
  </si>
  <si>
    <t>RC628 .K53</t>
  </si>
  <si>
    <t>0                      RC 0628000K  53</t>
  </si>
  <si>
    <t>Obesity : etiology, treatment, and management / edited by Milton V. Kline, Lester L. Coleman, Erika E. Wick ; bibliographic editor, Patricia A. Sullivan.</t>
  </si>
  <si>
    <t>Kline, Milton V. compiler.</t>
  </si>
  <si>
    <t>Springfield, Ill. : Thomas, c1976.</t>
  </si>
  <si>
    <t>2002-02-27</t>
  </si>
  <si>
    <t>471651:eng</t>
  </si>
  <si>
    <t>1093638</t>
  </si>
  <si>
    <t>991003531029702656</t>
  </si>
  <si>
    <t>2264792730002656</t>
  </si>
  <si>
    <t>9780398033699</t>
  </si>
  <si>
    <t>32285000949080</t>
  </si>
  <si>
    <t>893717768</t>
  </si>
  <si>
    <t>RC628 .M34 1976</t>
  </si>
  <si>
    <t>0                      RC 0628000M  34          1976</t>
  </si>
  <si>
    <t>Permanent weight control / Michael J. Mahoney, Kathryn Mahoney ; foreword by Henry A. Jordan.</t>
  </si>
  <si>
    <t>Mahoney, Michael J.</t>
  </si>
  <si>
    <t>New York : Norton, c1976.</t>
  </si>
  <si>
    <t>3239156:eng</t>
  </si>
  <si>
    <t>1945433</t>
  </si>
  <si>
    <t>991003946139702656</t>
  </si>
  <si>
    <t>2264699440002656</t>
  </si>
  <si>
    <t>9780393087369</t>
  </si>
  <si>
    <t>32285001028660</t>
  </si>
  <si>
    <t>893788099</t>
  </si>
  <si>
    <t>RC628 .N86 1984</t>
  </si>
  <si>
    <t>0                      RC 0628000N  86          1984</t>
  </si>
  <si>
    <t>Nutrition and exercise in obesity management / edited by Jean Storlie, Henry A. Jordan.</t>
  </si>
  <si>
    <t>New York : SP Medical &amp; Scientific Books, c1984.</t>
  </si>
  <si>
    <t>Sports medicine and health science</t>
  </si>
  <si>
    <t>428650845:eng</t>
  </si>
  <si>
    <t>10949951</t>
  </si>
  <si>
    <t>991000464789702656</t>
  </si>
  <si>
    <t>2271434170002656</t>
  </si>
  <si>
    <t>9780893352189</t>
  </si>
  <si>
    <t>32285001040079</t>
  </si>
  <si>
    <t>893802787</t>
  </si>
  <si>
    <t>RC628 .S83</t>
  </si>
  <si>
    <t>0                      RC 0628000S  83</t>
  </si>
  <si>
    <t>Slim chance in a fat world : behavioral control of obesity / [by] Richard B. Stuart [and] Barbara Davis.</t>
  </si>
  <si>
    <t>Champaign, Ill. : Research Press Co., [1972]</t>
  </si>
  <si>
    <t>1392913:eng</t>
  </si>
  <si>
    <t>268755</t>
  </si>
  <si>
    <t>991002121329702656</t>
  </si>
  <si>
    <t>2270446960002656</t>
  </si>
  <si>
    <t>9780878220601</t>
  </si>
  <si>
    <t>32285000081199</t>
  </si>
  <si>
    <t>893716079</t>
  </si>
  <si>
    <t>RC630 .G6 1980</t>
  </si>
  <si>
    <t>0                      RC 0630000G  6           1980</t>
  </si>
  <si>
    <t>A primer of water, electrolyte, and acid-base syndromes / Emanuel Goldberger, with contributions by Jeffrey M. Brensilver.</t>
  </si>
  <si>
    <t>Goldberger, Emanuel, 1913-1994.</t>
  </si>
  <si>
    <t>Philadelphia : Lea &amp; Febiger, 1980.</t>
  </si>
  <si>
    <t>6th ed.</t>
  </si>
  <si>
    <t>1222941:eng</t>
  </si>
  <si>
    <t>5171348</t>
  </si>
  <si>
    <t>991001780119702656</t>
  </si>
  <si>
    <t>2258813870002656</t>
  </si>
  <si>
    <t>9780812106855</t>
  </si>
  <si>
    <t>32285001607810</t>
  </si>
  <si>
    <t>893690910</t>
  </si>
  <si>
    <t>RC630 .K49 1985</t>
  </si>
  <si>
    <t>0                      RC 0630000K  49          1985</t>
  </si>
  <si>
    <t>Fluid, electrolyte, and acid-base regulation / Jack L. Keyes.</t>
  </si>
  <si>
    <t>Keyes, Jack L., 1941-</t>
  </si>
  <si>
    <t>Monterey, Calif. : Wadsworth Health Sciences Division, c1985.</t>
  </si>
  <si>
    <t>1996-10-01</t>
  </si>
  <si>
    <t>3840479:eng</t>
  </si>
  <si>
    <t>11261296</t>
  </si>
  <si>
    <t>991000513299702656</t>
  </si>
  <si>
    <t>2262807790002656</t>
  </si>
  <si>
    <t>9780534044220</t>
  </si>
  <si>
    <t>32285001607828</t>
  </si>
  <si>
    <t>893714651</t>
  </si>
  <si>
    <t>RC630 .R44 1989</t>
  </si>
  <si>
    <t>0                      RC 0630000R  44          1989</t>
  </si>
  <si>
    <t>The Regulation of acid-base balance / editors, Donald W. Seldin, Gerhard Giebisch.</t>
  </si>
  <si>
    <t>New York : Raven Press, c1989.</t>
  </si>
  <si>
    <t>1995-04-18</t>
  </si>
  <si>
    <t>350100827:eng</t>
  </si>
  <si>
    <t>18258111</t>
  </si>
  <si>
    <t>991001324129702656</t>
  </si>
  <si>
    <t>2254793370002656</t>
  </si>
  <si>
    <t>9780881674804</t>
  </si>
  <si>
    <t>32285001607836</t>
  </si>
  <si>
    <t>893516119</t>
  </si>
  <si>
    <t>RC632.L5 M37 1990</t>
  </si>
  <si>
    <t>0                      RC 0632000L  5                  M  37          1990</t>
  </si>
  <si>
    <t>Disorders of lipid metabolism / Guido V. Marinetti.</t>
  </si>
  <si>
    <t>Marinetti, Guido V. (Guido Vincent), 1918-</t>
  </si>
  <si>
    <t>1998-09-04</t>
  </si>
  <si>
    <t>1990-10-17</t>
  </si>
  <si>
    <t>22567166:eng</t>
  </si>
  <si>
    <t>20933834</t>
  </si>
  <si>
    <t>991001797479702656</t>
  </si>
  <si>
    <t>2262706990002656</t>
  </si>
  <si>
    <t>9780306434310</t>
  </si>
  <si>
    <t>32285000311398</t>
  </si>
  <si>
    <t>893809188</t>
  </si>
  <si>
    <t>RC641.7.S5 E34 1986</t>
  </si>
  <si>
    <t>0                      RC 0641700S  5                  E  34          1986</t>
  </si>
  <si>
    <t>The sickled cell : from myths to molecules / Stuart J. Edelstein.</t>
  </si>
  <si>
    <t>Edelstein, Stuart J.</t>
  </si>
  <si>
    <t>Cambridge, Mass. : Harvard University Press, 1986.</t>
  </si>
  <si>
    <t>2007-04-02</t>
  </si>
  <si>
    <t>1992-03-04</t>
  </si>
  <si>
    <t>5820261:eng</t>
  </si>
  <si>
    <t>13092416</t>
  </si>
  <si>
    <t>991000777719702656</t>
  </si>
  <si>
    <t>2271309290002656</t>
  </si>
  <si>
    <t>9780674807372</t>
  </si>
  <si>
    <t>32285000979178</t>
  </si>
  <si>
    <t>893702418</t>
  </si>
  <si>
    <t>RC643 .L35 1984</t>
  </si>
  <si>
    <t>0                      RC 0643000L  35          1984</t>
  </si>
  <si>
    <t>Life and death on 10 West / by Eric Lax.</t>
  </si>
  <si>
    <t>Lax, Eric.</t>
  </si>
  <si>
    <t>New York, N.Y. : Times books, c1984.</t>
  </si>
  <si>
    <t>2002-03-18</t>
  </si>
  <si>
    <t>3270620:eng</t>
  </si>
  <si>
    <t>10020134</t>
  </si>
  <si>
    <t>991000298969702656</t>
  </si>
  <si>
    <t>2265300890002656</t>
  </si>
  <si>
    <t>9780812910377</t>
  </si>
  <si>
    <t>32285000979582</t>
  </si>
  <si>
    <t>893790394</t>
  </si>
  <si>
    <t>RC648 .E458</t>
  </si>
  <si>
    <t>0                      RC 0648000E  458</t>
  </si>
  <si>
    <t>Endocrinology / edited by Leslie J. DeGroot ... [et al.].</t>
  </si>
  <si>
    <t>New York : Grune &amp; Stratton, [1979]</t>
  </si>
  <si>
    <t>1993-09-05</t>
  </si>
  <si>
    <t>1997-10-05</t>
  </si>
  <si>
    <t>2908502607:eng</t>
  </si>
  <si>
    <t>4504256</t>
  </si>
  <si>
    <t>991005266599702656</t>
  </si>
  <si>
    <t>2264854550002656</t>
  </si>
  <si>
    <t>9780808911142</t>
  </si>
  <si>
    <t>32285001607885</t>
  </si>
  <si>
    <t>893713770</t>
  </si>
  <si>
    <t>32285001607869</t>
  </si>
  <si>
    <t>893713769</t>
  </si>
  <si>
    <t>32285001607877</t>
  </si>
  <si>
    <t>893713768</t>
  </si>
  <si>
    <t>RC648 .R33 1982</t>
  </si>
  <si>
    <t>0                      RC 0648000R  33          1982</t>
  </si>
  <si>
    <t>Clinical endocrinology and metabolism : principles and practice / David Rabin, T. Joseph McKenna.</t>
  </si>
  <si>
    <t>Rabin, David.</t>
  </si>
  <si>
    <t>New York : Grune &amp; Stratton, c1982.</t>
  </si>
  <si>
    <t>The Science and practice of clinical medicine ; v. 9</t>
  </si>
  <si>
    <t>1997-09-28</t>
  </si>
  <si>
    <t>865281994:eng</t>
  </si>
  <si>
    <t>8283335</t>
  </si>
  <si>
    <t>991005226789702656</t>
  </si>
  <si>
    <t>2268573660002656</t>
  </si>
  <si>
    <t>9780808913948</t>
  </si>
  <si>
    <t>32285001607893</t>
  </si>
  <si>
    <t>893720020</t>
  </si>
  <si>
    <t>RC648.A1 E97 1984</t>
  </si>
  <si>
    <t>0                      RC 0648000A  1                  E  97          1984</t>
  </si>
  <si>
    <t>Dopamine and neuroendocrine active substances : proceedings of the First Symposium of the European Neuroendocrine Association (E.N.E.A.) Basle, Switzerland, March 4-7, 1984 / edited by Emilio del Pozo, Edward Flückiger.</t>
  </si>
  <si>
    <t>European Neuroendocrine Association. Symposium (1st : 1984 : Basel, Switzerland)</t>
  </si>
  <si>
    <t>London : Academic, 1985.</t>
  </si>
  <si>
    <t>1994-03-06</t>
  </si>
  <si>
    <t>836738251:eng</t>
  </si>
  <si>
    <t>18742935</t>
  </si>
  <si>
    <t>991000726269702656</t>
  </si>
  <si>
    <t>2255073310002656</t>
  </si>
  <si>
    <t>9780122090455</t>
  </si>
  <si>
    <t>32285001607851</t>
  </si>
  <si>
    <t>893413621</t>
  </si>
  <si>
    <t>RC649 .H86 1998</t>
  </si>
  <si>
    <t>0                      RC 0649000H  86          1998</t>
  </si>
  <si>
    <t>Human diet and endocrine modulation : estrogenic and androgenic effects / editors, George E. Dunaif ... [et al.].</t>
  </si>
  <si>
    <t>Washington, DC : ILSI Press, c1998.</t>
  </si>
  <si>
    <t>1999-03-17</t>
  </si>
  <si>
    <t>905993346:eng</t>
  </si>
  <si>
    <t>40767323</t>
  </si>
  <si>
    <t>991003007299702656</t>
  </si>
  <si>
    <t>2270567100002656</t>
  </si>
  <si>
    <t>9781578810253</t>
  </si>
  <si>
    <t>32285003533774</t>
  </si>
  <si>
    <t>893428334</t>
  </si>
  <si>
    <t>RC65 .B46 1974</t>
  </si>
  <si>
    <t>0                      RC 0065000B  46          1974</t>
  </si>
  <si>
    <t>Interviewing: a guide for health professionals [by] Lewis Bernstein, Rosalyn S. Bernstein [and] Richard H. Dana. Foreword by Robert A. Senescu. Introd. by Jo Eleanor Elliott.</t>
  </si>
  <si>
    <t>Bernstein, Lewis.</t>
  </si>
  <si>
    <t>New York, Appleton-Century Crofts [1974]</t>
  </si>
  <si>
    <t>1639580:eng</t>
  </si>
  <si>
    <t>762496</t>
  </si>
  <si>
    <t>991001806109702656</t>
  </si>
  <si>
    <t>2265194620002656</t>
  </si>
  <si>
    <t>9780838543085</t>
  </si>
  <si>
    <t>32285003084265</t>
  </si>
  <si>
    <t>893516516</t>
  </si>
  <si>
    <t>RC65 .M57 1984</t>
  </si>
  <si>
    <t>0                      RC 0065000M  57          1984</t>
  </si>
  <si>
    <t>The discourse of medicine : dialectics of medical interviews / Elliot G. Mishler.</t>
  </si>
  <si>
    <t>Mishler, Elliot George, 1924-</t>
  </si>
  <si>
    <t>Norwood, N.J. : Ablex Pub. Corp., c1984.</t>
  </si>
  <si>
    <t>Language and learning for human service professions</t>
  </si>
  <si>
    <t>3212264:eng</t>
  </si>
  <si>
    <t>11044696</t>
  </si>
  <si>
    <t>991000479249702656</t>
  </si>
  <si>
    <t>2261232640002656</t>
  </si>
  <si>
    <t>9780893912772</t>
  </si>
  <si>
    <t>32285000779438</t>
  </si>
  <si>
    <t>893896908</t>
  </si>
  <si>
    <t>RC660 .B67 1979</t>
  </si>
  <si>
    <t>0                      RC 0660000B  67          1979</t>
  </si>
  <si>
    <t>The diabetic at work and play / by Buris R. Boshell.</t>
  </si>
  <si>
    <t>Boshell, Buris R., 1926-</t>
  </si>
  <si>
    <t>3943860728:eng</t>
  </si>
  <si>
    <t>4774715</t>
  </si>
  <si>
    <t>991004712489702656</t>
  </si>
  <si>
    <t>2256797500002656</t>
  </si>
  <si>
    <t>9780398039219</t>
  </si>
  <si>
    <t>32285000841519</t>
  </si>
  <si>
    <t>893325686</t>
  </si>
  <si>
    <t>RC660.A1 K5</t>
  </si>
  <si>
    <t>0                      RC 0660000A  1                  K  5</t>
  </si>
  <si>
    <t>Hormonal regulation of energy metabolism [proceedings] Compiled and edited by Laurance W. Kinsell.</t>
  </si>
  <si>
    <t>Conference on Hormonal Regulation of Energy Metabolism (1956 : Carmel, Calif.)</t>
  </si>
  <si>
    <t>Springfield, Ill., Thomas [1957]</t>
  </si>
  <si>
    <t>4020355501:eng</t>
  </si>
  <si>
    <t>3658441</t>
  </si>
  <si>
    <t>991004490579702656</t>
  </si>
  <si>
    <t>2255094540002656</t>
  </si>
  <si>
    <t>32285003092870</t>
  </si>
  <si>
    <t>893612413</t>
  </si>
  <si>
    <t>RC662.2 .B7 1977</t>
  </si>
  <si>
    <t>0                      RC 0662200B  7           1977</t>
  </si>
  <si>
    <t>Nutrigenetics : new concepts for relieving hypoglycemia / by R. O. Brennan, with William C. Mulligan ; foreword by Roger J. Williams.</t>
  </si>
  <si>
    <t>Brennan, Richard O.</t>
  </si>
  <si>
    <t>New York : New American Library, 1977, c1975.</t>
  </si>
  <si>
    <t>582343:eng</t>
  </si>
  <si>
    <t>1551385</t>
  </si>
  <si>
    <t>991004543579702656</t>
  </si>
  <si>
    <t>2257075980002656</t>
  </si>
  <si>
    <t>9780451077462</t>
  </si>
  <si>
    <t>32285001607919</t>
  </si>
  <si>
    <t>893706557</t>
  </si>
  <si>
    <t>RC666.72 .J6725 1988</t>
  </si>
  <si>
    <t>0                      RC 0666720J  6725        1988</t>
  </si>
  <si>
    <t>Espigas / Salomón Jorge.</t>
  </si>
  <si>
    <t>Jorge, Salomón, 1913-</t>
  </si>
  <si>
    <t>Santiago, República Dominicana : PUCMM, 1988.</t>
  </si>
  <si>
    <t>1. ed.</t>
  </si>
  <si>
    <t>spa</t>
  </si>
  <si>
    <t xml:space="preserve">dr </t>
  </si>
  <si>
    <t>Colección contemporáneos ; 133</t>
  </si>
  <si>
    <t>2001-06-18</t>
  </si>
  <si>
    <t>21455558:spa</t>
  </si>
  <si>
    <t>20121213</t>
  </si>
  <si>
    <t>991003560189702656</t>
  </si>
  <si>
    <t>2261210860002656</t>
  </si>
  <si>
    <t>32285004328224</t>
  </si>
  <si>
    <t>893793737</t>
  </si>
  <si>
    <t>RC669 .A54 1985</t>
  </si>
  <si>
    <t>0                      RC 0669000A  54          1985</t>
  </si>
  <si>
    <t>Anger and hostility in cardiovascular and behavioral disorders / edited by Margaret A. Chesney, Ray H. Rosenman.</t>
  </si>
  <si>
    <t>Washington : Hemisphere Pub. Corp., c1985.</t>
  </si>
  <si>
    <t>The Series in health psychology and behavioral medicine</t>
  </si>
  <si>
    <t>1992-12-14</t>
  </si>
  <si>
    <t>3908584:eng</t>
  </si>
  <si>
    <t>11517814</t>
  </si>
  <si>
    <t>991000545339702656</t>
  </si>
  <si>
    <t>2270605890002656</t>
  </si>
  <si>
    <t>9780891163930</t>
  </si>
  <si>
    <t>32285001466407</t>
  </si>
  <si>
    <t>893425818</t>
  </si>
  <si>
    <t>RC669 .C277 1987</t>
  </si>
  <si>
    <t>0                      RC 0669000C  277         1987</t>
  </si>
  <si>
    <t>Cardiovascular disease and behavior / edited by Jeffrey W. Elias, Phillip Howard Marshall.</t>
  </si>
  <si>
    <t>2002-05-15</t>
  </si>
  <si>
    <t>441666443:eng</t>
  </si>
  <si>
    <t>14413474</t>
  </si>
  <si>
    <t>991000942109702656</t>
  </si>
  <si>
    <t>2266394120002656</t>
  </si>
  <si>
    <t>9780891164012</t>
  </si>
  <si>
    <t>32285001071512</t>
  </si>
  <si>
    <t>893534368</t>
  </si>
  <si>
    <t>RC669 .C288 1993</t>
  </si>
  <si>
    <t>0                      RC 0669000C  288         1993</t>
  </si>
  <si>
    <t>Cardiovascular reactivity to psychological stress &amp; disease / edited by Jim Blascovich and Edward S. Katkin.</t>
  </si>
  <si>
    <t>Washington, DC : American Psychological Association ; Hyattsville, MD : APA Order Dept., c1993.</t>
  </si>
  <si>
    <t>1994-01-07</t>
  </si>
  <si>
    <t>351828069:eng</t>
  </si>
  <si>
    <t>27227968</t>
  </si>
  <si>
    <t>991002126189702656</t>
  </si>
  <si>
    <t>2265669810002656</t>
  </si>
  <si>
    <t>9781557981929</t>
  </si>
  <si>
    <t>32285001830149</t>
  </si>
  <si>
    <t>893341059</t>
  </si>
  <si>
    <t>RC669 .H285 1986</t>
  </si>
  <si>
    <t>0                      RC 0669000H  285         1986</t>
  </si>
  <si>
    <t>Handbook of stress, reactivity, and cardiovascular disease / edited by Karen A. Matthews ... [et al.].</t>
  </si>
  <si>
    <t>5859395:eng</t>
  </si>
  <si>
    <t>12945942</t>
  </si>
  <si>
    <t>991000754379702656</t>
  </si>
  <si>
    <t>2271006990002656</t>
  </si>
  <si>
    <t>9780471822196</t>
  </si>
  <si>
    <t>32285000075480</t>
  </si>
  <si>
    <t>893778212</t>
  </si>
  <si>
    <t>RC669 .P79</t>
  </si>
  <si>
    <t>0                      RC 0669000P  79</t>
  </si>
  <si>
    <t>Psychosocial aspects of cardiovascular disease : the life-threatened patient, the family, and the staff / edited by James Reiffel ... [et al.] ; with the editorial assistance of Lillian G. Kutscher.</t>
  </si>
  <si>
    <t>New York : Columbia University Press, 1980.</t>
  </si>
  <si>
    <t>Columbia University Press/Foundation of Thanatology series</t>
  </si>
  <si>
    <t>1997-10-10</t>
  </si>
  <si>
    <t>866643269:eng</t>
  </si>
  <si>
    <t>5894449</t>
  </si>
  <si>
    <t>991004896949702656</t>
  </si>
  <si>
    <t>2264301810002656</t>
  </si>
  <si>
    <t>9780231043540</t>
  </si>
  <si>
    <t>32285001579720</t>
  </si>
  <si>
    <t>893801453</t>
  </si>
  <si>
    <t>RC672 .B66 1977</t>
  </si>
  <si>
    <t>0                      RC 0672000B  66          1977</t>
  </si>
  <si>
    <t>How to keep the heart healthy and fit / by Paul C. Bragg and Patricia Bragg.</t>
  </si>
  <si>
    <t>Bragg, Paul C. (Paul Chappuis), 1895-1976.</t>
  </si>
  <si>
    <t>Burbank, Calif. : Health Science, c1977.</t>
  </si>
  <si>
    <t>2010-06-23</t>
  </si>
  <si>
    <t>643518:eng</t>
  </si>
  <si>
    <t>443345</t>
  </si>
  <si>
    <t>991004806999702656</t>
  </si>
  <si>
    <t>2264220430002656</t>
  </si>
  <si>
    <t>9780877900047</t>
  </si>
  <si>
    <t>32285001351898</t>
  </si>
  <si>
    <t>893338151</t>
  </si>
  <si>
    <t>RC672 .D413 1997</t>
  </si>
  <si>
    <t>0                      RC 0672000D  413         1997</t>
  </si>
  <si>
    <t>The new living heart / Michael E. DeBakey, Antonio M. Gotto, Jr.</t>
  </si>
  <si>
    <t>DeBakey, Michael E. (Michael Ellis), 1908-2008.</t>
  </si>
  <si>
    <t>Holbrook, Mass. : Adams Media Corp., c1997.</t>
  </si>
  <si>
    <t>2008-12-18</t>
  </si>
  <si>
    <t>1997-08-28</t>
  </si>
  <si>
    <t>3858387188:eng</t>
  </si>
  <si>
    <t>36201356</t>
  </si>
  <si>
    <t>991002759779702656</t>
  </si>
  <si>
    <t>2266745270002656</t>
  </si>
  <si>
    <t>9781558507227</t>
  </si>
  <si>
    <t>32285003002416</t>
  </si>
  <si>
    <t>893524018</t>
  </si>
  <si>
    <t>RC672 .L34</t>
  </si>
  <si>
    <t>0                      RC 0672000L  34</t>
  </si>
  <si>
    <t>Your heart and how to live with it / [by] Lawrence E. Lamb.</t>
  </si>
  <si>
    <t>Lamb, Lawrence E.</t>
  </si>
  <si>
    <t>New York : Viking Press, [1969]</t>
  </si>
  <si>
    <t>1145251:eng</t>
  </si>
  <si>
    <t>23089</t>
  </si>
  <si>
    <t>991000053799702656</t>
  </si>
  <si>
    <t>2265420650002656</t>
  </si>
  <si>
    <t>32285001033199</t>
  </si>
  <si>
    <t>893589083</t>
  </si>
  <si>
    <t>RC674 .S9</t>
  </si>
  <si>
    <t>0                      RC 0674000S  9</t>
  </si>
  <si>
    <t>Monitoring heart rhythm / Charles P. Summerall III, J. Mangiaracina, Jan McNeely.</t>
  </si>
  <si>
    <t>Summerall, Charles P.</t>
  </si>
  <si>
    <t>1996-07-23</t>
  </si>
  <si>
    <t>580845:eng</t>
  </si>
  <si>
    <t>1974277</t>
  </si>
  <si>
    <t>991001791579702656</t>
  </si>
  <si>
    <t>2265596650002656</t>
  </si>
  <si>
    <t>9780471835561</t>
  </si>
  <si>
    <t>32285000112994</t>
  </si>
  <si>
    <t>893426868</t>
  </si>
  <si>
    <t>RC681 .H794 1988</t>
  </si>
  <si>
    <t>0                      RC 0681000H  794         1988</t>
  </si>
  <si>
    <t>Heartbeat : a complete guide to understanding and preventing heart disease / Emmanuel Horovitz ; illustrations by Therese Trebaol.</t>
  </si>
  <si>
    <t>Horovitz, Emmanuel.</t>
  </si>
  <si>
    <t>Los Angeles : Health Trend Pub., c1988.</t>
  </si>
  <si>
    <t>1995-02-10</t>
  </si>
  <si>
    <t>16994440:eng</t>
  </si>
  <si>
    <t>17889319</t>
  </si>
  <si>
    <t>991001278659702656</t>
  </si>
  <si>
    <t>2269224060002656</t>
  </si>
  <si>
    <t>9780961932961</t>
  </si>
  <si>
    <t>32285002020666</t>
  </si>
  <si>
    <t>893608731</t>
  </si>
  <si>
    <t>RC682 .A45 1978</t>
  </si>
  <si>
    <t>0                      RC 0682000A  45          1978</t>
  </si>
  <si>
    <t>Nutrition and heart disease / edited by Herbert K. Naito.</t>
  </si>
  <si>
    <t>American College of Nutrition (U.S.). Meeting (19th : 1978 : Bloomington, Minn.)</t>
  </si>
  <si>
    <t>New York : Spectrum Publications, c1982.</t>
  </si>
  <si>
    <t>Monographs of the American College of Nutrition ; v. 5</t>
  </si>
  <si>
    <t>1999-10-02</t>
  </si>
  <si>
    <t>550008:eng</t>
  </si>
  <si>
    <t>6761282</t>
  </si>
  <si>
    <t>991005035869702656</t>
  </si>
  <si>
    <t>2260936290002656</t>
  </si>
  <si>
    <t>9780893351199</t>
  </si>
  <si>
    <t>32285001351880</t>
  </si>
  <si>
    <t>893332309</t>
  </si>
  <si>
    <t>RC682 .L85</t>
  </si>
  <si>
    <t>0                      RC 0682000L  85</t>
  </si>
  <si>
    <t>The broken heart : the medical consequences of loneliness / James J. Lynch.</t>
  </si>
  <si>
    <t>Lynch, James J., 1938-</t>
  </si>
  <si>
    <t>New York : Basic Books, c1977.</t>
  </si>
  <si>
    <t>6346259:eng</t>
  </si>
  <si>
    <t>2797972</t>
  </si>
  <si>
    <t>991001790749702656</t>
  </si>
  <si>
    <t>2266149170002656</t>
  </si>
  <si>
    <t>9780465007721</t>
  </si>
  <si>
    <t>32285003092888</t>
  </si>
  <si>
    <t>893684653</t>
  </si>
  <si>
    <t>RC682 .L86 1985</t>
  </si>
  <si>
    <t>0                      RC 0682000L  86          1985</t>
  </si>
  <si>
    <t>The language of the heart : the body's response to human dialogue / James J. Lynch.</t>
  </si>
  <si>
    <t>New York : Basic Books, c1985.</t>
  </si>
  <si>
    <t>1997-09-03</t>
  </si>
  <si>
    <t>61026304:eng</t>
  </si>
  <si>
    <t>11468375</t>
  </si>
  <si>
    <t>991000538139702656</t>
  </si>
  <si>
    <t>2264734200002656</t>
  </si>
  <si>
    <t>9780465037957</t>
  </si>
  <si>
    <t>32285000191626</t>
  </si>
  <si>
    <t>893601835</t>
  </si>
  <si>
    <t>RC682 .R39 1985</t>
  </si>
  <si>
    <t>0                      RC 0682000R  39          1985</t>
  </si>
  <si>
    <t>Helping cardiac patients / Andrew M. Razin and associates.</t>
  </si>
  <si>
    <t>Razin, Andrew M.</t>
  </si>
  <si>
    <t>San Francisco : Jossey-Bass, 1985.</t>
  </si>
  <si>
    <t>1993-04-02</t>
  </si>
  <si>
    <t>4242647:eng</t>
  </si>
  <si>
    <t>11399894</t>
  </si>
  <si>
    <t>991000531809702656</t>
  </si>
  <si>
    <t>2268374190002656</t>
  </si>
  <si>
    <t>9780875896274</t>
  </si>
  <si>
    <t>32285000980556</t>
  </si>
  <si>
    <t>893720722</t>
  </si>
  <si>
    <t>RC682 .W54 1988</t>
  </si>
  <si>
    <t>0                      RC 0682000W  54          1988</t>
  </si>
  <si>
    <t>Cardiac rehabilitation, adult fitness, and exercise testing / Paul S. Fardy, Frank G. Yanowitz, Philip K. Wilson.</t>
  </si>
  <si>
    <t>Fardy, Paul S.</t>
  </si>
  <si>
    <t>Philadelphia : Lea &amp; Febiger, 1988.</t>
  </si>
  <si>
    <t>1990-07-25</t>
  </si>
  <si>
    <t>12429702:eng</t>
  </si>
  <si>
    <t>16579536</t>
  </si>
  <si>
    <t>991001120229702656</t>
  </si>
  <si>
    <t>2269827180002656</t>
  </si>
  <si>
    <t>9780812111040</t>
  </si>
  <si>
    <t>32285000240159</t>
  </si>
  <si>
    <t>893249993</t>
  </si>
  <si>
    <t>RC683.5.E5 M29 1987</t>
  </si>
  <si>
    <t>0                      RC 0683500E  5                  M  29          1987</t>
  </si>
  <si>
    <t>ECG/PDQ / Henry J.L. Marriott.</t>
  </si>
  <si>
    <t>Marriott, Henry J. L. (Henry Joseph Llewellyn), 1917-2007.</t>
  </si>
  <si>
    <t>Baltimore : Williams &amp; Wilkins, c1987.</t>
  </si>
  <si>
    <t>1999-02-12</t>
  </si>
  <si>
    <t>9467823:eng</t>
  </si>
  <si>
    <t>15198173</t>
  </si>
  <si>
    <t>991001000699702656</t>
  </si>
  <si>
    <t>2260468730002656</t>
  </si>
  <si>
    <t>9780683055726</t>
  </si>
  <si>
    <t>32285001607935</t>
  </si>
  <si>
    <t>893683931</t>
  </si>
  <si>
    <t>RC683.5.E5 P28 1988</t>
  </si>
  <si>
    <t>0                      RC 0683500E  5                  P  28          1988</t>
  </si>
  <si>
    <t>Generation and interpretation of the electrocardiogram / Robert Paine with Mabel A. Siegel ... [et al.].</t>
  </si>
  <si>
    <t>Paine, Robert, 1921-</t>
  </si>
  <si>
    <t>13197489:eng</t>
  </si>
  <si>
    <t>16806213</t>
  </si>
  <si>
    <t>991001151349702656</t>
  </si>
  <si>
    <t>2271507340002656</t>
  </si>
  <si>
    <t>9780812111316</t>
  </si>
  <si>
    <t>32285000240076</t>
  </si>
  <si>
    <t>893903312</t>
  </si>
  <si>
    <t>RC683.5.E5 S75 1992</t>
  </si>
  <si>
    <t>0                      RC 0683500E  5                  S  75          1992</t>
  </si>
  <si>
    <t>Rapid analysis of electrocardiograms : a self-study program / Emanuel Stein ; illustrations by Thomas Xenakis.</t>
  </si>
  <si>
    <t>Stein, Emanuel, 1929-</t>
  </si>
  <si>
    <t>Philadelphia : Lea &amp; Febiger, 1992.</t>
  </si>
  <si>
    <t>1996-07-02</t>
  </si>
  <si>
    <t>1103118936:eng</t>
  </si>
  <si>
    <t>24428926</t>
  </si>
  <si>
    <t>991001933259702656</t>
  </si>
  <si>
    <t>2261946410002656</t>
  </si>
  <si>
    <t>9780812114416</t>
  </si>
  <si>
    <t>32285001129310</t>
  </si>
  <si>
    <t>893603003</t>
  </si>
  <si>
    <t>RC683.5.E94 F76 1983</t>
  </si>
  <si>
    <t>0                      RC 0683500E  94                 F  76          1983</t>
  </si>
  <si>
    <t>Exercise testing &amp; training / Victor F. Froelicher.</t>
  </si>
  <si>
    <t>Froelicher, Victor F.</t>
  </si>
  <si>
    <t>Chicago : Year Book Medical Publishers, c1983.</t>
  </si>
  <si>
    <t>1997-04-08</t>
  </si>
  <si>
    <t>3345257:eng</t>
  </si>
  <si>
    <t>10430421</t>
  </si>
  <si>
    <t>991000371029702656</t>
  </si>
  <si>
    <t>2264322610002656</t>
  </si>
  <si>
    <t>9780815133322</t>
  </si>
  <si>
    <t>32285000122662</t>
  </si>
  <si>
    <t>893314855</t>
  </si>
  <si>
    <t>RC683.5.E94 F77 1994</t>
  </si>
  <si>
    <t>0                      RC 0683500E  94                 F  77          1994</t>
  </si>
  <si>
    <t>Manual of exercise testing / Victor F. Froelicher.</t>
  </si>
  <si>
    <t>St. Louis : Mosby, c1994.</t>
  </si>
  <si>
    <t>1995-08-30</t>
  </si>
  <si>
    <t>1994-06-20</t>
  </si>
  <si>
    <t>2762017:eng</t>
  </si>
  <si>
    <t>29032700</t>
  </si>
  <si>
    <t>991002250139702656</t>
  </si>
  <si>
    <t>2263093880002656</t>
  </si>
  <si>
    <t>9780815133469</t>
  </si>
  <si>
    <t>32285001923472</t>
  </si>
  <si>
    <t>893408867</t>
  </si>
  <si>
    <t>RC684.E9 A45 1991</t>
  </si>
  <si>
    <t>0                      RC 0684000E  9                  A  45          1991</t>
  </si>
  <si>
    <t>Guidelines for exercise testing and prescription / American College of Sports Medicine.</t>
  </si>
  <si>
    <t>1997-06-17</t>
  </si>
  <si>
    <t>1991-02-22</t>
  </si>
  <si>
    <t>3749710183:eng</t>
  </si>
  <si>
    <t>22243545</t>
  </si>
  <si>
    <t>991005309229702656</t>
  </si>
  <si>
    <t>2271680500002656</t>
  </si>
  <si>
    <t>9780812113242</t>
  </si>
  <si>
    <t>32285000490739</t>
  </si>
  <si>
    <t>893619778</t>
  </si>
  <si>
    <t>RC684.E9 G84 1991</t>
  </si>
  <si>
    <t>0                      RC 0684000E  9                  G  84          1991</t>
  </si>
  <si>
    <t>Guidelines for cardiac rehabilitation programs / American Association of Cardiovascular and Pulmonary Rehabilitation.</t>
  </si>
  <si>
    <t>Champaign, IL : Human Kinetics Books, c1991.</t>
  </si>
  <si>
    <t>9380904521:eng</t>
  </si>
  <si>
    <t>21973485</t>
  </si>
  <si>
    <t>991001737059702656</t>
  </si>
  <si>
    <t>2268684630002656</t>
  </si>
  <si>
    <t>9780873223041</t>
  </si>
  <si>
    <t>32285000568419</t>
  </si>
  <si>
    <t>893433077</t>
  </si>
  <si>
    <t>RC684.E9 G84 1995</t>
  </si>
  <si>
    <t>0                      RC 0684000E  9                  G  84          1995</t>
  </si>
  <si>
    <t>Champaign, IL : Human Kinetics, c1995.</t>
  </si>
  <si>
    <t>2001-02-23</t>
  </si>
  <si>
    <t>1997-01-02</t>
  </si>
  <si>
    <t>30780184</t>
  </si>
  <si>
    <t>991001755809702656</t>
  </si>
  <si>
    <t>2264815170002656</t>
  </si>
  <si>
    <t>9780873227780</t>
  </si>
  <si>
    <t>32285002404548</t>
  </si>
  <si>
    <t>893340668</t>
  </si>
  <si>
    <t>RC684.E9 K37 1989</t>
  </si>
  <si>
    <t>0                      RC 0684000E  9                  K  37          1989</t>
  </si>
  <si>
    <t>A practical guide to cardiac rehabilitation / Christopher Karam.</t>
  </si>
  <si>
    <t>Karam, Christopher.</t>
  </si>
  <si>
    <t>Rockville, Md. : Aspen Publishers, 1989.</t>
  </si>
  <si>
    <t>1989-12-29</t>
  </si>
  <si>
    <t>21232906:eng</t>
  </si>
  <si>
    <t>20057465</t>
  </si>
  <si>
    <t>991001534949702656</t>
  </si>
  <si>
    <t>2269748210002656</t>
  </si>
  <si>
    <t>9780834200890</t>
  </si>
  <si>
    <t>32285000025873</t>
  </si>
  <si>
    <t>893626720</t>
  </si>
  <si>
    <t>RC684.E9 T73 1998</t>
  </si>
  <si>
    <t>0                      RC 0684000E  9                  T  73          1998</t>
  </si>
  <si>
    <t>Training techniques in cardiac rehabilitation / Paul S. Fardy ... [et al.].</t>
  </si>
  <si>
    <t>Current issues in cardiac rehabilitation series, 1071-7889 ; monograph no. 3</t>
  </si>
  <si>
    <t>2001-03-22</t>
  </si>
  <si>
    <t>2242180440:eng</t>
  </si>
  <si>
    <t>36994098</t>
  </si>
  <si>
    <t>991002816069702656</t>
  </si>
  <si>
    <t>2265925720002656</t>
  </si>
  <si>
    <t>9780873225366</t>
  </si>
  <si>
    <t>32285003380671</t>
  </si>
  <si>
    <t>893799055</t>
  </si>
  <si>
    <t>RC684.E9 W55 1994</t>
  </si>
  <si>
    <t>0                      RC 0684000E  9                  W  55          1994</t>
  </si>
  <si>
    <t>Exercise testing and training in the elderly cardiac patient / Mark A. Williams.</t>
  </si>
  <si>
    <t>Williams, Mark Alan, 1951-</t>
  </si>
  <si>
    <t>Champaign, IL : Human Kinetics Publishers, c1994.</t>
  </si>
  <si>
    <t>Current issues in cardiac rehabilitation, 1071-7889 ; monograph no. 1</t>
  </si>
  <si>
    <t>1994-04-07</t>
  </si>
  <si>
    <t>1995-01-10</t>
  </si>
  <si>
    <t>353549597:eng</t>
  </si>
  <si>
    <t>28888256</t>
  </si>
  <si>
    <t>991001755769702656</t>
  </si>
  <si>
    <t>2264088680002656</t>
  </si>
  <si>
    <t>9780873226219</t>
  </si>
  <si>
    <t>32285001859528</t>
  </si>
  <si>
    <t>893414450</t>
  </si>
  <si>
    <t>RC685.A65 S75 1988</t>
  </si>
  <si>
    <t>0                      RC 0685000A  65                 S  75          1988</t>
  </si>
  <si>
    <t>Interpretation of arrhythmias : a self-study program / Emanuel Stein ; illustrations by Thomas Xenakis.</t>
  </si>
  <si>
    <t>2005-11-29</t>
  </si>
  <si>
    <t>1990-08-27</t>
  </si>
  <si>
    <t>5116998971:eng</t>
  </si>
  <si>
    <t>17105861</t>
  </si>
  <si>
    <t>991001178779702656</t>
  </si>
  <si>
    <t>2267108940002656</t>
  </si>
  <si>
    <t>9780812111439</t>
  </si>
  <si>
    <t>32285000275205</t>
  </si>
  <si>
    <t>893534464</t>
  </si>
  <si>
    <t>RC685.C6 C27 1984</t>
  </si>
  <si>
    <t>0                      RC 0685000C  6                  C  27          1984</t>
  </si>
  <si>
    <t>Cardiac rehabilitation : exercise testing and prescription / edited by Linda K. Hall, G. Curt Meyer, Herman K. Hellerstein.</t>
  </si>
  <si>
    <t>792067356:eng</t>
  </si>
  <si>
    <t>10429989</t>
  </si>
  <si>
    <t>991000370489702656</t>
  </si>
  <si>
    <t>2259395250002656</t>
  </si>
  <si>
    <t>9780893352011</t>
  </si>
  <si>
    <t>32285000821107</t>
  </si>
  <si>
    <t>893777878</t>
  </si>
  <si>
    <t>RC685.C6 F54 1997</t>
  </si>
  <si>
    <t>0                      RC 0685000C  6                  F  54          1997</t>
  </si>
  <si>
    <t>How to bypass your bypass : what your doctor doesn't tell you about cholesterol and your diet / Richard M. Fleming.</t>
  </si>
  <si>
    <t>Fleming, Richard M.</t>
  </si>
  <si>
    <t>Bethel, Conn : Rutledge Books, Inc., c1997.</t>
  </si>
  <si>
    <t>1998-03-31</t>
  </si>
  <si>
    <t>1999-10-09</t>
  </si>
  <si>
    <t>1999-04-30</t>
  </si>
  <si>
    <t>623964:eng</t>
  </si>
  <si>
    <t>37549547</t>
  </si>
  <si>
    <t>991001808379702656</t>
  </si>
  <si>
    <t>2263235990002656</t>
  </si>
  <si>
    <t>9781887750554</t>
  </si>
  <si>
    <t>32285003175212</t>
  </si>
  <si>
    <t>893772923</t>
  </si>
  <si>
    <t>RC685.C6 F7 1985</t>
  </si>
  <si>
    <t>0                      RC 0685000C  6                  F  7           1985</t>
  </si>
  <si>
    <t>The Framingham heart study : what organizations need to know / William P. Castelli ... [et.al.]</t>
  </si>
  <si>
    <t>[University Park, Pa.] : College of Business Administration, Pennsylvania State University, [1985?]</t>
  </si>
  <si>
    <t>The William Elliott lectures ; 1985</t>
  </si>
  <si>
    <t>1995-02-14</t>
  </si>
  <si>
    <t>10556943:eng</t>
  </si>
  <si>
    <t>15537479</t>
  </si>
  <si>
    <t>991001034749702656</t>
  </si>
  <si>
    <t>2266916300002656</t>
  </si>
  <si>
    <t>32285001607968</t>
  </si>
  <si>
    <t>893522229</t>
  </si>
  <si>
    <t>RC685.C6 H35 1996</t>
  </si>
  <si>
    <t>0                      RC 0685000C  6                  H  35          1996</t>
  </si>
  <si>
    <t>Heart &amp; mind : the practice of cardiac psychology / edited by Robert Allan and Stephen Scheidt.</t>
  </si>
  <si>
    <t>1999-09-12</t>
  </si>
  <si>
    <t>2010-09-30</t>
  </si>
  <si>
    <t>1078121254:eng</t>
  </si>
  <si>
    <t>34413595</t>
  </si>
  <si>
    <t>991001691149702656</t>
  </si>
  <si>
    <t>2260009390002656</t>
  </si>
  <si>
    <t>9781557983565</t>
  </si>
  <si>
    <t>32285003463584</t>
  </si>
  <si>
    <t>893615315</t>
  </si>
  <si>
    <t>RC685.C6 K345 2008</t>
  </si>
  <si>
    <t>0                      RC 0685000C  6                  K  345         2008</t>
  </si>
  <si>
    <t>Empowering vulnerable populations : cognitive-behavioral interventions / Mary Keegan Eamon.</t>
  </si>
  <si>
    <t>Keegan Eamon, Mary.</t>
  </si>
  <si>
    <t>Chicago, Ill. : Lyceum Books, c2008.</t>
  </si>
  <si>
    <t>2008-03-03</t>
  </si>
  <si>
    <t>1149217679:eng</t>
  </si>
  <si>
    <t>173243795</t>
  </si>
  <si>
    <t>991005183839702656</t>
  </si>
  <si>
    <t>2264889110002656</t>
  </si>
  <si>
    <t>9781933478210</t>
  </si>
  <si>
    <t>32285005395206</t>
  </si>
  <si>
    <t>893619603</t>
  </si>
  <si>
    <t>RC685.C6 R68 1987</t>
  </si>
  <si>
    <t>0                      RC 0685000C  6                  R  68          1987</t>
  </si>
  <si>
    <t>Stress management for the healthy type A : theory and practice / Ethel Roskies ; foreword by Richard S. Lazarus.</t>
  </si>
  <si>
    <t>Roskies, Ethel.</t>
  </si>
  <si>
    <t>190130337:eng</t>
  </si>
  <si>
    <t>14967550</t>
  </si>
  <si>
    <t>991000973719702656</t>
  </si>
  <si>
    <t>2262373680002656</t>
  </si>
  <si>
    <t>9780898626896</t>
  </si>
  <si>
    <t>32285000056662</t>
  </si>
  <si>
    <t>893720880</t>
  </si>
  <si>
    <t>RC685.C6 S7513 1988</t>
  </si>
  <si>
    <t>0                      RC 0685000C  6                  S  7513        1988</t>
  </si>
  <si>
    <t>Cardiac rehabilitation : outpatient physical training methods / Josef Stippig, Aloys Berg, Joseph Keul ; edited by Louis R. Amundsen.</t>
  </si>
  <si>
    <t>Stippig, Josef.</t>
  </si>
  <si>
    <t>Rockville, Md. : Aspen Publishers, 1988.</t>
  </si>
  <si>
    <t>English language ed.</t>
  </si>
  <si>
    <t>1998-11-19</t>
  </si>
  <si>
    <t>12451468:eng</t>
  </si>
  <si>
    <t>16525296</t>
  </si>
  <si>
    <t>991001115119702656</t>
  </si>
  <si>
    <t>2258850320002656</t>
  </si>
  <si>
    <t>9780871898852</t>
  </si>
  <si>
    <t>32285000011683</t>
  </si>
  <si>
    <t>893321638</t>
  </si>
  <si>
    <t>RC685.C6 T95 1991</t>
  </si>
  <si>
    <t>0                      RC 0685000C  6                  T  95          1991</t>
  </si>
  <si>
    <t>Type A behavior / edited by Michael J. Strube.</t>
  </si>
  <si>
    <t>Newbury Park, Calif. : Sage Publications, c1991.</t>
  </si>
  <si>
    <t>1997-04-10</t>
  </si>
  <si>
    <t>54918707:eng</t>
  </si>
  <si>
    <t>22810074</t>
  </si>
  <si>
    <t>991001815419702656</t>
  </si>
  <si>
    <t>2265690170002656</t>
  </si>
  <si>
    <t>9780803940901</t>
  </si>
  <si>
    <t>32285001037497</t>
  </si>
  <si>
    <t>893433161</t>
  </si>
  <si>
    <t>RC685.C6 W55 1989</t>
  </si>
  <si>
    <t>0                      RC 0685000C  6                  W  55          1989</t>
  </si>
  <si>
    <t>The trusting heart : great news about type A behavior / Redford Williams.</t>
  </si>
  <si>
    <t>Williams, Redford B., 1940-</t>
  </si>
  <si>
    <t>New York : Times Books, c1989.</t>
  </si>
  <si>
    <t>1990-01-15</t>
  </si>
  <si>
    <t>2910587927:eng</t>
  </si>
  <si>
    <t>18558834</t>
  </si>
  <si>
    <t>991001366379702656</t>
  </si>
  <si>
    <t>2262125600002656</t>
  </si>
  <si>
    <t>9780812916751</t>
  </si>
  <si>
    <t>32285000028208</t>
  </si>
  <si>
    <t>893516147</t>
  </si>
  <si>
    <t>RC685.H8 G65 1983</t>
  </si>
  <si>
    <t>0                      RC 0685000H  8                  G  65          1983</t>
  </si>
  <si>
    <t>Hypertension essentials : current concepts of cause, and control / Theodore L. Goodfriend.</t>
  </si>
  <si>
    <t>Goodfriend, Theodore L.</t>
  </si>
  <si>
    <t>New York : Grune &amp; Stratton, 1983.</t>
  </si>
  <si>
    <t>436931289:eng</t>
  </si>
  <si>
    <t>8667912</t>
  </si>
  <si>
    <t>991000044949702656</t>
  </si>
  <si>
    <t>2270230900002656</t>
  </si>
  <si>
    <t>9780808915836</t>
  </si>
  <si>
    <t>32285001211217</t>
  </si>
  <si>
    <t>893314623</t>
  </si>
  <si>
    <t>RC685.H9 P46 1994</t>
  </si>
  <si>
    <t>0                      RC 0685000H  9                  P  46          1994</t>
  </si>
  <si>
    <t>Raising Lazarus / Robert Jon Pensack and Dwight Arnan Williams.</t>
  </si>
  <si>
    <t>Pensack, Robert Jon.</t>
  </si>
  <si>
    <t>New York : G.P. Putnam's Sons, c1994.</t>
  </si>
  <si>
    <t>2002-08-25</t>
  </si>
  <si>
    <t>1995-05-01</t>
  </si>
  <si>
    <t>32632940:eng</t>
  </si>
  <si>
    <t>30437705</t>
  </si>
  <si>
    <t>991002338529702656</t>
  </si>
  <si>
    <t>2256326690002656</t>
  </si>
  <si>
    <t>9780399140013</t>
  </si>
  <si>
    <t>32285002036985</t>
  </si>
  <si>
    <t>893251099</t>
  </si>
  <si>
    <t>RC685.I6 B97 1987</t>
  </si>
  <si>
    <t>0                      RC 0685000I  6                  B  97          1987</t>
  </si>
  <si>
    <t>The behavioral management of the cardiac patient / by D.G. Byrne.</t>
  </si>
  <si>
    <t>Byrne, D. G. (Donald Glenn)</t>
  </si>
  <si>
    <t>1997-06-24</t>
  </si>
  <si>
    <t>1990-04-24</t>
  </si>
  <si>
    <t>2868329:eng</t>
  </si>
  <si>
    <t>15590330</t>
  </si>
  <si>
    <t>991001042099702656</t>
  </si>
  <si>
    <t>2263394230002656</t>
  </si>
  <si>
    <t>9780893913861</t>
  </si>
  <si>
    <t>32285000115856</t>
  </si>
  <si>
    <t>893690271</t>
  </si>
  <si>
    <t>RC685.I6 C66 1985</t>
  </si>
  <si>
    <t>0                      RC 0685000I  6                  C  66          1985</t>
  </si>
  <si>
    <t>Running without fear : how to reduce the risk of heart attack and sudden death during aerobic exercise / by Kenneth H. Cooper.</t>
  </si>
  <si>
    <t>Cooper, Kenneth H.</t>
  </si>
  <si>
    <t>New York, NY : M. Evans, 1985.</t>
  </si>
  <si>
    <t>836642391:eng</t>
  </si>
  <si>
    <t>11841110</t>
  </si>
  <si>
    <t>991000600799702656</t>
  </si>
  <si>
    <t>2264609870002656</t>
  </si>
  <si>
    <t>9780871314567</t>
  </si>
  <si>
    <t>32285000122688</t>
  </si>
  <si>
    <t>893689846</t>
  </si>
  <si>
    <t>RC685.I6 C7 1983</t>
  </si>
  <si>
    <t>0                      RC 0685000I  6                  C  7           1983</t>
  </si>
  <si>
    <t>The healing heart : antidotes to pain and helplessness / Norman Cousins.</t>
  </si>
  <si>
    <t>836621140:eng</t>
  </si>
  <si>
    <t>9620895</t>
  </si>
  <si>
    <t>991000226789702656</t>
  </si>
  <si>
    <t>2270498050002656</t>
  </si>
  <si>
    <t>9780393018165</t>
  </si>
  <si>
    <t>32285000112051</t>
  </si>
  <si>
    <t>893527914</t>
  </si>
  <si>
    <t>RC685.I6 S687 1982</t>
  </si>
  <si>
    <t>0                      RC 0685000I  6                  S  687         1982</t>
  </si>
  <si>
    <t>Heart attack : the family response at home and in the hospital / Edward J. Speedling.</t>
  </si>
  <si>
    <t>Speedling, Edward J., 1942-</t>
  </si>
  <si>
    <t>New York : Tavistock, 1982.</t>
  </si>
  <si>
    <t>1996-03-03</t>
  </si>
  <si>
    <t>308989957:eng</t>
  </si>
  <si>
    <t>8169183</t>
  </si>
  <si>
    <t>991005211169702656</t>
  </si>
  <si>
    <t>2269766200002656</t>
  </si>
  <si>
    <t>9780422777902</t>
  </si>
  <si>
    <t>32285001607976</t>
  </si>
  <si>
    <t>893722827</t>
  </si>
  <si>
    <t>RC692 .O95 1995</t>
  </si>
  <si>
    <t>0                      RC 0692000O  95          1995</t>
  </si>
  <si>
    <t>Oxidative stress, lipoproteins and cardiovascular dysfunction / edited by C. Rice-Evans, K. R. Bruckdorfer.</t>
  </si>
  <si>
    <t>London : Portland, c1995.</t>
  </si>
  <si>
    <t>Portland Press research monograph, 0964-5845 ; 7</t>
  </si>
  <si>
    <t>1999-11-22</t>
  </si>
  <si>
    <t>365407317:eng</t>
  </si>
  <si>
    <t>33242935</t>
  </si>
  <si>
    <t>991002556059702656</t>
  </si>
  <si>
    <t>2254893120002656</t>
  </si>
  <si>
    <t>9781855780453</t>
  </si>
  <si>
    <t>32285002400801</t>
  </si>
  <si>
    <t>893880100</t>
  </si>
  <si>
    <t>RC731 .P6</t>
  </si>
  <si>
    <t>0                      RC 0731000P  6</t>
  </si>
  <si>
    <t>Your respiratory system, by Herman Pomeranz, M.D.</t>
  </si>
  <si>
    <t>Pomeranz, Herman, 1885-</t>
  </si>
  <si>
    <t>Philadelphia, The Blakiston company [1944]</t>
  </si>
  <si>
    <t>1944</t>
  </si>
  <si>
    <t>The New home library</t>
  </si>
  <si>
    <t>1995-02-04</t>
  </si>
  <si>
    <t>2740442:eng</t>
  </si>
  <si>
    <t>1834490</t>
  </si>
  <si>
    <t>991003904809702656</t>
  </si>
  <si>
    <t>2258574250002656</t>
  </si>
  <si>
    <t>32285000872571</t>
  </si>
  <si>
    <t>893410881</t>
  </si>
  <si>
    <t>RC756 .P48 1986</t>
  </si>
  <si>
    <t>0                      RC 0756000P  48          1986</t>
  </si>
  <si>
    <t>Physiology of oxygen radicals / edited by Aubrey E. Taylor, Sadis Matalon, Peter Ward.</t>
  </si>
  <si>
    <t>Baltimore, Md. : American Psychological Society : Distributed by Williams &amp; Wilkins Co., 1986.</t>
  </si>
  <si>
    <t>Clinical physiology series</t>
  </si>
  <si>
    <t>1993-05-23</t>
  </si>
  <si>
    <t>350133734:eng</t>
  </si>
  <si>
    <t>13793332</t>
  </si>
  <si>
    <t>991000871789702656</t>
  </si>
  <si>
    <t>2272182170002656</t>
  </si>
  <si>
    <t>9780683081046</t>
  </si>
  <si>
    <t>32285001608008</t>
  </si>
  <si>
    <t>893243673</t>
  </si>
  <si>
    <t>RC77.5 .C73 1998</t>
  </si>
  <si>
    <t>0                      RC 0077500C  73          1998</t>
  </si>
  <si>
    <t>Introduction to surface electromyography / Jeffrey R. Cram, Glenn S. Kasman, with Jonathan Holtz.</t>
  </si>
  <si>
    <t>Cram, Jeffrey R.</t>
  </si>
  <si>
    <t>Gaithersburg, Md. : Aspen Publishers, 1998.</t>
  </si>
  <si>
    <t>2005-11-16</t>
  </si>
  <si>
    <t>1998-03-30</t>
  </si>
  <si>
    <t>3856504124:eng</t>
  </si>
  <si>
    <t>36977258</t>
  </si>
  <si>
    <t>991002815539702656</t>
  </si>
  <si>
    <t>2258993370002656</t>
  </si>
  <si>
    <t>9780834207516</t>
  </si>
  <si>
    <t>32285003381737</t>
  </si>
  <si>
    <t>893880464</t>
  </si>
  <si>
    <t>RC776.E5 W454 1995</t>
  </si>
  <si>
    <t>0                      RC 0776000E  5                  W  454         1995</t>
  </si>
  <si>
    <t>Final negotiations : a story of love, loss, and chronic illness / Carolyn Ellis.</t>
  </si>
  <si>
    <t>Ellis, Carolyn, 1950-</t>
  </si>
  <si>
    <t>Philadelphia : Temple University Press, 1995.</t>
  </si>
  <si>
    <t>Health, society, and policy</t>
  </si>
  <si>
    <t>2006-12-09</t>
  </si>
  <si>
    <t>1995-11-20</t>
  </si>
  <si>
    <t>1998-01-16</t>
  </si>
  <si>
    <t>32840782:eng</t>
  </si>
  <si>
    <t>30399807</t>
  </si>
  <si>
    <t>991001790209702656</t>
  </si>
  <si>
    <t>2258624690002656</t>
  </si>
  <si>
    <t>9781566392709</t>
  </si>
  <si>
    <t>32285002104676</t>
  </si>
  <si>
    <t>893703331</t>
  </si>
  <si>
    <t>RC78.7.N83 F74 1997</t>
  </si>
  <si>
    <t>0                      RC 0078700N  83                 F  74          1997</t>
  </si>
  <si>
    <t>Spin choreography : basic steps in high resolution NMR / Ray Freeman.</t>
  </si>
  <si>
    <t>Freeman, Ray, 1932-</t>
  </si>
  <si>
    <t>Oxford : Spektrum ; Sausalito, Calif. : University Science Books, c1997.</t>
  </si>
  <si>
    <t>1998-04-21</t>
  </si>
  <si>
    <t>23403862:eng</t>
  </si>
  <si>
    <t>35650895</t>
  </si>
  <si>
    <t>991002718879702656</t>
  </si>
  <si>
    <t>2258335970002656</t>
  </si>
  <si>
    <t>9780935702958</t>
  </si>
  <si>
    <t>32285003376083</t>
  </si>
  <si>
    <t>893511100</t>
  </si>
  <si>
    <t>RC78.7.T6 W43 1990</t>
  </si>
  <si>
    <t>0                      RC 0078700T  6                  W  43          1990</t>
  </si>
  <si>
    <t>From the watching of shadows : the origins of radiological tomography / Steve Webb.</t>
  </si>
  <si>
    <t>Webb, Steve, 1948-</t>
  </si>
  <si>
    <t>Bristol ; New York : A. Hilger, c1990.</t>
  </si>
  <si>
    <t>2002-09-20</t>
  </si>
  <si>
    <t>198334755:eng</t>
  </si>
  <si>
    <t>20755879</t>
  </si>
  <si>
    <t>991001613319702656</t>
  </si>
  <si>
    <t>2266187200002656</t>
  </si>
  <si>
    <t>9780852743058</t>
  </si>
  <si>
    <t>32285002404423</t>
  </si>
  <si>
    <t>893885402</t>
  </si>
  <si>
    <t>RC801 .K62</t>
  </si>
  <si>
    <t>0                      RC 0801000K  62</t>
  </si>
  <si>
    <t>Your digestive system / by Louis Winfield Kohn.</t>
  </si>
  <si>
    <t>Kohn, Louis Winfield, 1888-</t>
  </si>
  <si>
    <t>Philadelphia : The Blakiston company [1944]</t>
  </si>
  <si>
    <t>1995-02-11</t>
  </si>
  <si>
    <t>2542846:eng</t>
  </si>
  <si>
    <t>1684889</t>
  </si>
  <si>
    <t>991003868439702656</t>
  </si>
  <si>
    <t>2272779170002656</t>
  </si>
  <si>
    <t>32285000872589</t>
  </si>
  <si>
    <t>893894264</t>
  </si>
  <si>
    <t>RC802 .G46 1980</t>
  </si>
  <si>
    <t>0                      RC 0802000G  46          1980</t>
  </si>
  <si>
    <t>Genetics and heterogeneity of common gastrointestinal disorders / edited by Jerome I. Rotter, I. Michael Samloff, David L. Rimoin.</t>
  </si>
  <si>
    <t>24712439:eng</t>
  </si>
  <si>
    <t>6914637</t>
  </si>
  <si>
    <t>991005057819702656</t>
  </si>
  <si>
    <t>2262648700002656</t>
  </si>
  <si>
    <t>9780125987608</t>
  </si>
  <si>
    <t>32285000993757</t>
  </si>
  <si>
    <t>893625388</t>
  </si>
  <si>
    <t>RC81 .A543 1982</t>
  </si>
  <si>
    <t>0                      RC 0081000A  543         1982</t>
  </si>
  <si>
    <t>The American Medical Association family medical guide / editor-in-chief, Jeffrey R.M. Kunz.</t>
  </si>
  <si>
    <t>New York : Random House, c1982.</t>
  </si>
  <si>
    <t>The American Medical Association home health library</t>
  </si>
  <si>
    <t>1997-03-12</t>
  </si>
  <si>
    <t>56869934:eng</t>
  </si>
  <si>
    <t>8305799</t>
  </si>
  <si>
    <t>991005228879702656</t>
  </si>
  <si>
    <t>2269544240002656</t>
  </si>
  <si>
    <t>9780394510156</t>
  </si>
  <si>
    <t>32285002447141</t>
  </si>
  <si>
    <t>893344875</t>
  </si>
  <si>
    <t>RC81 .C714 1989</t>
  </si>
  <si>
    <t>0                      RC 0081000C  714         1989</t>
  </si>
  <si>
    <t>The Columbia University College of Physicians and Surgeons complete home medical guide / Donald F. Tapley ... [et al.].</t>
  </si>
  <si>
    <t>New York : Crown Publishers, c1989.</t>
  </si>
  <si>
    <t>2008-06-30</t>
  </si>
  <si>
    <t>346161157:eng</t>
  </si>
  <si>
    <t>19722276</t>
  </si>
  <si>
    <t>991001490239702656</t>
  </si>
  <si>
    <t>2256398490002656</t>
  </si>
  <si>
    <t>9780517572160</t>
  </si>
  <si>
    <t>32285000299668</t>
  </si>
  <si>
    <t>893225883</t>
  </si>
  <si>
    <t>RC81 .E63 1976</t>
  </si>
  <si>
    <t>0                      RC 0081000E  63          1976</t>
  </si>
  <si>
    <t>The Encyclopedia of common diseases / by the staff of Prevention magazine ; compiled and prepared by Charles Gerras ... [et al.].</t>
  </si>
  <si>
    <t>[Emmaus, Pa.] : Rodale Press, c1976, 1983 printing.</t>
  </si>
  <si>
    <t>[Special deluxe ed.]</t>
  </si>
  <si>
    <t>54083269:eng</t>
  </si>
  <si>
    <t>1849167</t>
  </si>
  <si>
    <t>991003909949702656</t>
  </si>
  <si>
    <t>2257730510002656</t>
  </si>
  <si>
    <t>9780878571130</t>
  </si>
  <si>
    <t>32285000916600</t>
  </si>
  <si>
    <t>893894350</t>
  </si>
  <si>
    <t>RC81 .M473 1990</t>
  </si>
  <si>
    <t>0                      RC 0081000M  473         1990</t>
  </si>
  <si>
    <t>Mayo Clinic family health book / David E. Larson, editor-in-chief.</t>
  </si>
  <si>
    <t>New York : W. Morrow, c1990.</t>
  </si>
  <si>
    <t>1991-06-13</t>
  </si>
  <si>
    <t>1153752494:eng</t>
  </si>
  <si>
    <t>21483659</t>
  </si>
  <si>
    <t>991001696139702656</t>
  </si>
  <si>
    <t>2261493480002656</t>
  </si>
  <si>
    <t>9780688099077</t>
  </si>
  <si>
    <t>32285000656024</t>
  </si>
  <si>
    <t>893328305</t>
  </si>
  <si>
    <t>RC81 .P843 2006</t>
  </si>
  <si>
    <t>0                      RC 0081000P  843         2006</t>
  </si>
  <si>
    <t>Healthier at home : the proven guide to self-care &amp; being a wise health consumer / written by Don R. Powell, Ph.D. and the American Institute for Preventive Medicine.</t>
  </si>
  <si>
    <t>Powell, Don R.</t>
  </si>
  <si>
    <t>Farmington Hills, MI : American Institute for Preventive Medicine, 2006.</t>
  </si>
  <si>
    <t>2010-12-09</t>
  </si>
  <si>
    <t>5114048005:eng</t>
  </si>
  <si>
    <t>70044552</t>
  </si>
  <si>
    <t>991000393749702656</t>
  </si>
  <si>
    <t>2271346340002656</t>
  </si>
  <si>
    <t>9780976504801</t>
  </si>
  <si>
    <t>32285005650253</t>
  </si>
  <si>
    <t>893607874</t>
  </si>
  <si>
    <t>RC82 .G76 2001</t>
  </si>
  <si>
    <t>0                      RC 0082000G  76          2001</t>
  </si>
  <si>
    <t>Second opinions : stories of intuition and choice in thechanging world of medicine / Jerome Groopman.</t>
  </si>
  <si>
    <t>Groopman, Jerome E.</t>
  </si>
  <si>
    <t>New York : Penguin Books, 2001.</t>
  </si>
  <si>
    <t>2005-07-28</t>
  </si>
  <si>
    <t>2002-09-27</t>
  </si>
  <si>
    <t>1810035636:eng</t>
  </si>
  <si>
    <t>46593749</t>
  </si>
  <si>
    <t>991003899689702656</t>
  </si>
  <si>
    <t>2258994520002656</t>
  </si>
  <si>
    <t>9780140298628</t>
  </si>
  <si>
    <t>32285004654066</t>
  </si>
  <si>
    <t>893349365</t>
  </si>
  <si>
    <t>RC82 .H43 1974</t>
  </si>
  <si>
    <t>0                      RC 0082000H  43          1974</t>
  </si>
  <si>
    <t>The great patent medicine era : or, Without benefit of doctor / by Adelaide Hechtlinger.</t>
  </si>
  <si>
    <t>Hechtlinger, Adelaide compiler.</t>
  </si>
  <si>
    <t>New York : Galahad Books, [1974?] c1970.</t>
  </si>
  <si>
    <t>1308630:eng</t>
  </si>
  <si>
    <t>1091546</t>
  </si>
  <si>
    <t>991003527549702656</t>
  </si>
  <si>
    <t>2266096620002656</t>
  </si>
  <si>
    <t>9780883651131</t>
  </si>
  <si>
    <t>32285003084315</t>
  </si>
  <si>
    <t>893336580</t>
  </si>
  <si>
    <t>RC82 .K87</t>
  </si>
  <si>
    <t>0                      RC 0082000K  87</t>
  </si>
  <si>
    <t>Rice vinegar : an oriental home remedy / by Togo, Kuroiwa.</t>
  </si>
  <si>
    <t>Kuroiwa, Tōgo, 1917-</t>
  </si>
  <si>
    <t>Tokyo : Kenko Igakusha Co., 1977.</t>
  </si>
  <si>
    <t xml:space="preserve">ja </t>
  </si>
  <si>
    <t>1084682013:eng</t>
  </si>
  <si>
    <t>3688096</t>
  </si>
  <si>
    <t>991004494769702656</t>
  </si>
  <si>
    <t>2263281370002656</t>
  </si>
  <si>
    <t>32285003084323</t>
  </si>
  <si>
    <t>893624788</t>
  </si>
  <si>
    <t>RC86.7 .A43 1987</t>
  </si>
  <si>
    <t>0                      RC 0086700A  43          1987</t>
  </si>
  <si>
    <t>Emergency care and transportation of the sick and injured / by the American Academy of Orthopaedic Surgeons.</t>
  </si>
  <si>
    <t>American Academy of Orthopaedic Surgeons.</t>
  </si>
  <si>
    <t>Park Ridge, IL : American Academy of Orthopaedic Surgeons, c1987.</t>
  </si>
  <si>
    <t>2002-02-14</t>
  </si>
  <si>
    <t>5069595116:eng</t>
  </si>
  <si>
    <t>17919755</t>
  </si>
  <si>
    <t>991000958949702656</t>
  </si>
  <si>
    <t>2258160570002656</t>
  </si>
  <si>
    <t>9780892030125</t>
  </si>
  <si>
    <t>32285001105526</t>
  </si>
  <si>
    <t>893903225</t>
  </si>
  <si>
    <t>RC86.7 .A53 1981</t>
  </si>
  <si>
    <t>0                      RC 0086700A  53          1981</t>
  </si>
  <si>
    <t>Emergency extrication.</t>
  </si>
  <si>
    <t>American National Red Cross.</t>
  </si>
  <si>
    <t>[Washington, D.C.] : American National Red Cross, c1981.</t>
  </si>
  <si>
    <t>Red Cross first aid module</t>
  </si>
  <si>
    <t>1996-07-10</t>
  </si>
  <si>
    <t>1992-03-16</t>
  </si>
  <si>
    <t>3937522:eng</t>
  </si>
  <si>
    <t>11320197</t>
  </si>
  <si>
    <t>991000520349702656</t>
  </si>
  <si>
    <t>2271066720002656</t>
  </si>
  <si>
    <t>9780865360235</t>
  </si>
  <si>
    <t>32285001021236</t>
  </si>
  <si>
    <t>893333546</t>
  </si>
  <si>
    <t>RC86.7 .G7 1982</t>
  </si>
  <si>
    <t>0                      RC 0086700G  7           1982</t>
  </si>
  <si>
    <t>Emergency care / Harvey D. Grant, Robert H. Murray, Jr., J. David Bergeron.</t>
  </si>
  <si>
    <t>Grant, Harvey D., 1934-</t>
  </si>
  <si>
    <t>Bowie, Md. : R.J. Brady Co., c1982.</t>
  </si>
  <si>
    <t>364157832:eng</t>
  </si>
  <si>
    <t>8430644</t>
  </si>
  <si>
    <t>991005242369702656</t>
  </si>
  <si>
    <t>2261356750002656</t>
  </si>
  <si>
    <t>9780893031169</t>
  </si>
  <si>
    <t>32285000901487</t>
  </si>
  <si>
    <t>893230424</t>
  </si>
  <si>
    <t>RC86.7 .R42 1979a</t>
  </si>
  <si>
    <t>0                      RC 0086700R  42          1979a</t>
  </si>
  <si>
    <t>Advanced first aid and emergency care / prepared by the American Red Cross for the instruction of advanced first aid classes.</t>
  </si>
  <si>
    <t>Garden City, N.Y. : Doubleday, c1979, 1981 printing.</t>
  </si>
  <si>
    <t>1992-02-17</t>
  </si>
  <si>
    <t>572723:eng</t>
  </si>
  <si>
    <t>5896310</t>
  </si>
  <si>
    <t>991004897389702656</t>
  </si>
  <si>
    <t>2265314080002656</t>
  </si>
  <si>
    <t>9780385157377</t>
  </si>
  <si>
    <t>32285000937218</t>
  </si>
  <si>
    <t>893706961</t>
  </si>
  <si>
    <t>RC86.95 .C75 1995</t>
  </si>
  <si>
    <t>0                      RC 0086950C  75          1995</t>
  </si>
  <si>
    <t>Critical choices and critical care : Catholic perspectives on allocating resources in intensive care medicine / edited by Kevin Wm. Wildes.</t>
  </si>
  <si>
    <t>Dordrecht ; Boston : Kluwer Academic Publishers, c1995.</t>
  </si>
  <si>
    <t>Philosophy and medicine ; 51. Catholic studies in bioethics ; 2</t>
  </si>
  <si>
    <t>1996-05-28</t>
  </si>
  <si>
    <t>809920223:eng</t>
  </si>
  <si>
    <t>31900226</t>
  </si>
  <si>
    <t>991002445439702656</t>
  </si>
  <si>
    <t>2264643830002656</t>
  </si>
  <si>
    <t>9780792333821</t>
  </si>
  <si>
    <t>32285002177748</t>
  </si>
  <si>
    <t>893721470</t>
  </si>
  <si>
    <t>RC87 .B74 1981</t>
  </si>
  <si>
    <t>0                      RC 0087000B  74          1981</t>
  </si>
  <si>
    <t>Guide to problems and practices in first aid and emergency care / William T. Brennan, James W. Crowe ; William J. Bailey, instructional developer.</t>
  </si>
  <si>
    <t>Brennan, William Thomas, 1924-</t>
  </si>
  <si>
    <t>Dubuque, Iowa : W.C. Brown, c1981, 1983 printing.</t>
  </si>
  <si>
    <t>4127900:eng</t>
  </si>
  <si>
    <t>8573464</t>
  </si>
  <si>
    <t>991005103869702656</t>
  </si>
  <si>
    <t>2272555840002656</t>
  </si>
  <si>
    <t>9780697073907</t>
  </si>
  <si>
    <t>32285000107531</t>
  </si>
  <si>
    <t>893437161</t>
  </si>
  <si>
    <t>RC87 .H23</t>
  </si>
  <si>
    <t>0                      RC 0087000H  23</t>
  </si>
  <si>
    <t>First aid: contemporary practices and principles, edited by Brent Q. Hafen, Alton L. Thygerson [and] Ray A. Petersen.</t>
  </si>
  <si>
    <t>Hafen, Brent Q. compiler.</t>
  </si>
  <si>
    <t>Minneapolis, Burgess Pub. Co. [1972]</t>
  </si>
  <si>
    <t>1781884407:eng</t>
  </si>
  <si>
    <t>482683</t>
  </si>
  <si>
    <t>991002842169702656</t>
  </si>
  <si>
    <t>2258896400002656</t>
  </si>
  <si>
    <t>9780808708377</t>
  </si>
  <si>
    <t>32285003084331</t>
  </si>
  <si>
    <t>893805118</t>
  </si>
  <si>
    <t>RC87 .H484</t>
  </si>
  <si>
    <t>0                      RC 0087000H  484</t>
  </si>
  <si>
    <t>Emergency medical guide / illustrated by Neil Hardy.</t>
  </si>
  <si>
    <t>Henderson, John.</t>
  </si>
  <si>
    <t>New York : McGraw-Hill, [1963]</t>
  </si>
  <si>
    <t>McGraw-Hill paperbacks</t>
  </si>
  <si>
    <t>21909617:eng</t>
  </si>
  <si>
    <t>1601519</t>
  </si>
  <si>
    <t>991003835749702656</t>
  </si>
  <si>
    <t>2266688840002656</t>
  </si>
  <si>
    <t>32285001851152</t>
  </si>
  <si>
    <t>893599050</t>
  </si>
  <si>
    <t>RC87 .K48 1929</t>
  </si>
  <si>
    <t>0                      RC 0087000K  48          1929</t>
  </si>
  <si>
    <t>Johnson's standard first aid manual : suggestions for prompt aid to the injured in accidents and emergencies / ed. by Fred B. Kilmer, in collaboration with eminent surgeons, first aid authorities and specialists.</t>
  </si>
  <si>
    <t>New Brunswick, N.J. : Johnson &amp; Johnson, c1929.</t>
  </si>
  <si>
    <t>1929</t>
  </si>
  <si>
    <t>10th rev. ed.</t>
  </si>
  <si>
    <t>3372104603:eng</t>
  </si>
  <si>
    <t>11066702</t>
  </si>
  <si>
    <t>991000483139702656</t>
  </si>
  <si>
    <t>2258440990002656</t>
  </si>
  <si>
    <t>32285003084349</t>
  </si>
  <si>
    <t>893896910</t>
  </si>
  <si>
    <t>RC87.1 .H43 1983</t>
  </si>
  <si>
    <t>0                      RC 0087100H  43          1983</t>
  </si>
  <si>
    <t>Heat stroke and temperature regulation / edited by M. Khogali, J.R.S. Hales,</t>
  </si>
  <si>
    <t>Sydney ; New York : Academic Press, 1983.</t>
  </si>
  <si>
    <t>2000-11-21</t>
  </si>
  <si>
    <t>5668586:eng</t>
  </si>
  <si>
    <t>13123261</t>
  </si>
  <si>
    <t>991000405759702656</t>
  </si>
  <si>
    <t>2267007420002656</t>
  </si>
  <si>
    <t>9780124061804</t>
  </si>
  <si>
    <t>32285001588903</t>
  </si>
  <si>
    <t>893237280</t>
  </si>
  <si>
    <t>RC87.1 .W67 1987</t>
  </si>
  <si>
    <t>0                      RC 0087100W  67          1987</t>
  </si>
  <si>
    <t>Heat stress : physical exertion and environment : proceedings of the 1st World Conference on Heat Stress, Physical Exertion and Environment, held in Sydney, Australia, 27 April-1 May 1987 / editors, J.R.S. Hales and D.A.B. Richards.</t>
  </si>
  <si>
    <t>World Conference on Heat Stress: Physical Exertion and Environment (1st : 1987 : Sydney, N.S.W.)</t>
  </si>
  <si>
    <t>Amsterdam ; New York : Excerpta Medica ; New York, NY, USA : Sole distributors for the USA and Canada, Elsevier Science Pub. Co., 1987.</t>
  </si>
  <si>
    <t>International congress series ; 773</t>
  </si>
  <si>
    <t>13464322:eng</t>
  </si>
  <si>
    <t>16716257</t>
  </si>
  <si>
    <t>991001136809702656</t>
  </si>
  <si>
    <t>2257131750002656</t>
  </si>
  <si>
    <t>9780444809322</t>
  </si>
  <si>
    <t>32285001588911</t>
  </si>
  <si>
    <t>893413985</t>
  </si>
  <si>
    <t>RC87.9 .A44 1988</t>
  </si>
  <si>
    <t>0                      RC 0087900A  44          1988</t>
  </si>
  <si>
    <t>American Red Cross community CPR : workbook.</t>
  </si>
  <si>
    <t>[Washington, D.C.] : American Red Cross, c1988.</t>
  </si>
  <si>
    <t>1999-02-07</t>
  </si>
  <si>
    <t>1998-12-17</t>
  </si>
  <si>
    <t>3372496474:eng</t>
  </si>
  <si>
    <t>18497852</t>
  </si>
  <si>
    <t>991001358209702656</t>
  </si>
  <si>
    <t>2271633640002656</t>
  </si>
  <si>
    <t>9780865360839</t>
  </si>
  <si>
    <t>32285003507612</t>
  </si>
  <si>
    <t>893256197</t>
  </si>
  <si>
    <t>RC88.9.T47 F75 2002</t>
  </si>
  <si>
    <t>0                      RC 0088900T  47                 F  75          2002</t>
  </si>
  <si>
    <t>When every moment counts : what you need to know about bioterrorism from the Senate's only doctor / Bill Frist.</t>
  </si>
  <si>
    <t>Frist, William H.</t>
  </si>
  <si>
    <t>Lanham : Rowman &amp; Littlefield Publishers, c2002.</t>
  </si>
  <si>
    <t>2002-11-22</t>
  </si>
  <si>
    <t>37964089:eng</t>
  </si>
  <si>
    <t>48767654</t>
  </si>
  <si>
    <t>991003769499702656</t>
  </si>
  <si>
    <t>2256743040002656</t>
  </si>
  <si>
    <t>9780742522459</t>
  </si>
  <si>
    <t>32285004477757</t>
  </si>
  <si>
    <t>893787753</t>
  </si>
  <si>
    <t>RC889 .I564 1984</t>
  </si>
  <si>
    <t>0                      RC 0889000I  564         1984</t>
  </si>
  <si>
    <t>Infertility--medical, emotional, and social considerations / edited by Miriam D. Mazor, Harriet F. Simons.</t>
  </si>
  <si>
    <t>New York, N.Y. : Human Sciences Press, c1984.</t>
  </si>
  <si>
    <t>2001-02-08</t>
  </si>
  <si>
    <t>43579436:eng</t>
  </si>
  <si>
    <t>9731525</t>
  </si>
  <si>
    <t>991000247869702656</t>
  </si>
  <si>
    <t>2272457110002656</t>
  </si>
  <si>
    <t>9780898851403</t>
  </si>
  <si>
    <t>32285001351872</t>
  </si>
  <si>
    <t>893261412</t>
  </si>
  <si>
    <t>RC889 .L54 1987</t>
  </si>
  <si>
    <t>0                      RC 0889000L  54          1987</t>
  </si>
  <si>
    <t>In pursuit of pregnancy : how couples discover, cope with, and resolve their fertility problems / Joan Liebmann-Smith.</t>
  </si>
  <si>
    <t>Liebmann-Smith, Joan.</t>
  </si>
  <si>
    <t>New York : Newmarket Press, c1987.</t>
  </si>
  <si>
    <t>8173562:eng</t>
  </si>
  <si>
    <t>14904199</t>
  </si>
  <si>
    <t>991000964069702656</t>
  </si>
  <si>
    <t>2266825840002656</t>
  </si>
  <si>
    <t>9780937858882</t>
  </si>
  <si>
    <t>32285001622959</t>
  </si>
  <si>
    <t>893891185</t>
  </si>
  <si>
    <t>RC889 .M345 2007</t>
  </si>
  <si>
    <t>0                      RC 0889000M  345         2007</t>
  </si>
  <si>
    <t>Impotence : a cultural history / Angus McLaren.</t>
  </si>
  <si>
    <t>McLaren, Angus.</t>
  </si>
  <si>
    <t>Chicago : University of Chicago Press, 2007.</t>
  </si>
  <si>
    <t>796261580:eng</t>
  </si>
  <si>
    <t>70218064</t>
  </si>
  <si>
    <t>991005220199702656</t>
  </si>
  <si>
    <t>2256486500002656</t>
  </si>
  <si>
    <t>9780226500768</t>
  </si>
  <si>
    <t>32285005442735</t>
  </si>
  <si>
    <t>893613325</t>
  </si>
  <si>
    <t>RC889 .S25 1986</t>
  </si>
  <si>
    <t>0                      RC 0889000S  25          1986</t>
  </si>
  <si>
    <t>Infertility : how couples can cope / Linda P. Salzer.</t>
  </si>
  <si>
    <t>Salzer, Linda P.</t>
  </si>
  <si>
    <t>Boston, Mass. : G.K. Hall, c1986.</t>
  </si>
  <si>
    <t>5682611:eng</t>
  </si>
  <si>
    <t>12978570</t>
  </si>
  <si>
    <t>991000764419702656</t>
  </si>
  <si>
    <t>2258269420002656</t>
  </si>
  <si>
    <t>9780816187980</t>
  </si>
  <si>
    <t>32285001608032</t>
  </si>
  <si>
    <t>893496537</t>
  </si>
  <si>
    <t>RC889 .S726 1987</t>
  </si>
  <si>
    <t>0                      RC 0889000S  726         1987</t>
  </si>
  <si>
    <t>Give us a child : coping with the personal crisis of infertility / Lynda Rutledge Stephenson.</t>
  </si>
  <si>
    <t>Rutledge, Lynda, 1950-</t>
  </si>
  <si>
    <t>San Francisco : Harper &amp; Row, c1987.</t>
  </si>
  <si>
    <t>8520982:eng</t>
  </si>
  <si>
    <t>14717593</t>
  </si>
  <si>
    <t>991000955619702656</t>
  </si>
  <si>
    <t>2256766340002656</t>
  </si>
  <si>
    <t>9780060675912</t>
  </si>
  <si>
    <t>32285001608040</t>
  </si>
  <si>
    <t>893708867</t>
  </si>
  <si>
    <t>RC889 .Z65 1993</t>
  </si>
  <si>
    <t>0                      RC 0889000Z  65          1993</t>
  </si>
  <si>
    <t>Men, women, and infertility : intervention and treatment strategies / Aline P. Zoldbrod.</t>
  </si>
  <si>
    <t>Zoldbrod, Aline P.</t>
  </si>
  <si>
    <t>New York : Lexington Books ; Toronto : Maxwell MacMillan Canada ; New York : Maxwell MacMillan International, c1993.</t>
  </si>
  <si>
    <t>2000-11-04</t>
  </si>
  <si>
    <t>28609224:eng</t>
  </si>
  <si>
    <t>26502499</t>
  </si>
  <si>
    <t>991002068149702656</t>
  </si>
  <si>
    <t>2257000190002656</t>
  </si>
  <si>
    <t>9780669272703</t>
  </si>
  <si>
    <t>32285002053014</t>
  </si>
  <si>
    <t>893256828</t>
  </si>
  <si>
    <t>RC901.7.H45 I57 1978</t>
  </si>
  <si>
    <t>0                      RC 0901700H  45                 I  57          1978</t>
  </si>
  <si>
    <t>Psychonephrology 1 : psychological factors in hemodialysis and transplantation / editor, Norman B. Levy.</t>
  </si>
  <si>
    <t>International Conference on Psychological Factors in Hemodialysis and Transplantation (1st : 1978 : Downstate Medical Center, N.Y.)</t>
  </si>
  <si>
    <t>New York : Plenum Medical Book Co., 1981.</t>
  </si>
  <si>
    <t>1994-08-22</t>
  </si>
  <si>
    <t>891738100:eng</t>
  </si>
  <si>
    <t>6625696</t>
  </si>
  <si>
    <t>991005017109702656</t>
  </si>
  <si>
    <t>2255186670002656</t>
  </si>
  <si>
    <t>9780306405860</t>
  </si>
  <si>
    <t>32285001608057</t>
  </si>
  <si>
    <t>893628465</t>
  </si>
  <si>
    <t>RC924 .C65 1979</t>
  </si>
  <si>
    <t>0                      RC 0924000C  65          1979</t>
  </si>
  <si>
    <t>Anatomy of an illness as perceived by the patient : reflections on healing and regeneration / by Norman Cousins ; introd. by René Dubos.</t>
  </si>
  <si>
    <t>1995-09-18</t>
  </si>
  <si>
    <t>507176704:eng</t>
  </si>
  <si>
    <t>4804279</t>
  </si>
  <si>
    <t>991004720559702656</t>
  </si>
  <si>
    <t>2270351110002656</t>
  </si>
  <si>
    <t>9780393012521</t>
  </si>
  <si>
    <t>32285002023736</t>
  </si>
  <si>
    <t>893901676</t>
  </si>
  <si>
    <t>RC925.5 .E39 1995</t>
  </si>
  <si>
    <t>0                      RC 0925500E  39          1995</t>
  </si>
  <si>
    <t>Musculoskeletal disorders : common problems / Barbara M. Edwardson.</t>
  </si>
  <si>
    <t>Edwardson, Barbara M., 1929-</t>
  </si>
  <si>
    <t>San Diego, Calif. : Singular Pub. Group, c1995.</t>
  </si>
  <si>
    <t>1996-03-26</t>
  </si>
  <si>
    <t>32798414:eng</t>
  </si>
  <si>
    <t>30914590</t>
  </si>
  <si>
    <t>991001803669702656</t>
  </si>
  <si>
    <t>2272398810002656</t>
  </si>
  <si>
    <t>9781565931701</t>
  </si>
  <si>
    <t>32285002147048</t>
  </si>
  <si>
    <t>893797842</t>
  </si>
  <si>
    <t>RC925.7 .D36 1986</t>
  </si>
  <si>
    <t>0                      RC 0925700D  36          1986</t>
  </si>
  <si>
    <t>Muscle testing : techniques of manual examination / Lucille Daniels, Catherine Worthingham.</t>
  </si>
  <si>
    <t>Daniels, Lucille.</t>
  </si>
  <si>
    <t>3755593713:eng</t>
  </si>
  <si>
    <t>12583105</t>
  </si>
  <si>
    <t>991000710939702656</t>
  </si>
  <si>
    <t>2272412390002656</t>
  </si>
  <si>
    <t>9780721618548</t>
  </si>
  <si>
    <t>32285001608073</t>
  </si>
  <si>
    <t>893771903</t>
  </si>
  <si>
    <t>RC930 .B43</t>
  </si>
  <si>
    <t>0                      RC 0930000B  43</t>
  </si>
  <si>
    <t>Inherited disorders of the skeleton / Peter Beighton.</t>
  </si>
  <si>
    <t>Beighton, Peter.</t>
  </si>
  <si>
    <t>Edinburgh : Churchill Livingstone, 1978.</t>
  </si>
  <si>
    <t>stk</t>
  </si>
  <si>
    <t>10829972:eng</t>
  </si>
  <si>
    <t>3447138</t>
  </si>
  <si>
    <t>991004437219702656</t>
  </si>
  <si>
    <t>2268682760002656</t>
  </si>
  <si>
    <t>9780443017247</t>
  </si>
  <si>
    <t>32285001608081</t>
  </si>
  <si>
    <t>893331585</t>
  </si>
  <si>
    <t>RC931.O73 A43 1989</t>
  </si>
  <si>
    <t>0                      RC 0931000O  73                 A  43          1989</t>
  </si>
  <si>
    <t>Osteoporosis : a guide to prevention &amp; treatment / John F. Aloia.</t>
  </si>
  <si>
    <t>Aloia, John F.</t>
  </si>
  <si>
    <t>Champaign, IL : Leisure Press, c1989.</t>
  </si>
  <si>
    <t>196545930:eng</t>
  </si>
  <si>
    <t>18837342</t>
  </si>
  <si>
    <t>991001406399702656</t>
  </si>
  <si>
    <t>2254795600002656</t>
  </si>
  <si>
    <t>9780880113540</t>
  </si>
  <si>
    <t>32285000191642</t>
  </si>
  <si>
    <t>893696725</t>
  </si>
  <si>
    <t>RC931.O73 H43 1988</t>
  </si>
  <si>
    <t>0                      RC 0931000O  73                 H  43          1988</t>
  </si>
  <si>
    <t>Calcium and common sense / Robert P. Heaney and M. Janet Barger-Lux.</t>
  </si>
  <si>
    <t>Heaney, Robert P. (Robert Proulx), 1927-2016.</t>
  </si>
  <si>
    <t>Garden City, N.Y. : Doubleday, c1988.</t>
  </si>
  <si>
    <t>11944005:eng</t>
  </si>
  <si>
    <t>16404879</t>
  </si>
  <si>
    <t>991001789569702656</t>
  </si>
  <si>
    <t>2263142080002656</t>
  </si>
  <si>
    <t>9780385242196</t>
  </si>
  <si>
    <t>32285000993740</t>
  </si>
  <si>
    <t>893779083</t>
  </si>
  <si>
    <t>RC952 .A673 1981</t>
  </si>
  <si>
    <t>0                      RC 0952000A  673         1981</t>
  </si>
  <si>
    <t>Essentials of geriatric medicine / George F. Adams.</t>
  </si>
  <si>
    <t>Adams, G. F. (George Fowler), 1916-</t>
  </si>
  <si>
    <t>Oxford [Eng.] ; New York : Oxford University Press, 1981.</t>
  </si>
  <si>
    <t>375118862:eng</t>
  </si>
  <si>
    <t>8453232</t>
  </si>
  <si>
    <t>991005218129702656</t>
  </si>
  <si>
    <t>2268920240002656</t>
  </si>
  <si>
    <t>9780192613523</t>
  </si>
  <si>
    <t>32285001608115</t>
  </si>
  <si>
    <t>893889879</t>
  </si>
  <si>
    <t>RC952 .E46</t>
  </si>
  <si>
    <t>0                      RC 0952000E  46</t>
  </si>
  <si>
    <t>Eldercare, a practical guide to clinical geriatrics / editors, Mary O'Hara-Devereaux, Len Hughes Andrus, Cynthia D. Scott ; technical editor, Mary I. Gary.</t>
  </si>
  <si>
    <t>1991-12-12</t>
  </si>
  <si>
    <t>465740:eng</t>
  </si>
  <si>
    <t>7179451</t>
  </si>
  <si>
    <t>991005084569702656</t>
  </si>
  <si>
    <t>2267201620002656</t>
  </si>
  <si>
    <t>9780808912859</t>
  </si>
  <si>
    <t>32285000887462</t>
  </si>
  <si>
    <t>893338480</t>
  </si>
  <si>
    <t>RC952 .G446 1997</t>
  </si>
  <si>
    <t>0                      RC 0952000G  446         1997</t>
  </si>
  <si>
    <t>Gerontology for health professionals : a practice guide / edited by Florence Safford, George I. Krell.</t>
  </si>
  <si>
    <t>Washington, DC : National Association of Social Workers, c1997.</t>
  </si>
  <si>
    <t>2002-09-13</t>
  </si>
  <si>
    <t>435075068:eng</t>
  </si>
  <si>
    <t>37553672</t>
  </si>
  <si>
    <t>991003888679702656</t>
  </si>
  <si>
    <t>2258773090002656</t>
  </si>
  <si>
    <t>9780871012838</t>
  </si>
  <si>
    <t>32285004648746</t>
  </si>
  <si>
    <t>893410833</t>
  </si>
  <si>
    <t>RC952 .G5</t>
  </si>
  <si>
    <t>0                      RC 0952000G  5</t>
  </si>
  <si>
    <t>The paraprofessional and the elderly / by Jeanne G. Gilbert.</t>
  </si>
  <si>
    <t>Gilbert, Jeanne G. (Jeanne Gifford), 1905-</t>
  </si>
  <si>
    <t>Greenvale, N.Y. : Panel Publishers, c1977.</t>
  </si>
  <si>
    <t>23450790:eng</t>
  </si>
  <si>
    <t>6648185</t>
  </si>
  <si>
    <t>991004448609702656</t>
  </si>
  <si>
    <t>2265542420002656</t>
  </si>
  <si>
    <t>9780916592226</t>
  </si>
  <si>
    <t>32285001608123</t>
  </si>
  <si>
    <t>893331590</t>
  </si>
  <si>
    <t>RC952 .H4</t>
  </si>
  <si>
    <t>0                      RC 0952000H  4</t>
  </si>
  <si>
    <t>Health care of the elderly : strategies for prevention and intervention / edited by Gari Lesnoff-Caravaglia.</t>
  </si>
  <si>
    <t>New York : Human Sciences Press, c1980.</t>
  </si>
  <si>
    <t>Frontiers in aging series ; v. 1</t>
  </si>
  <si>
    <t>2003-02-17</t>
  </si>
  <si>
    <t>894526529:eng</t>
  </si>
  <si>
    <t>5286026</t>
  </si>
  <si>
    <t>991004812119702656</t>
  </si>
  <si>
    <t>2271788360002656</t>
  </si>
  <si>
    <t>9780877054177</t>
  </si>
  <si>
    <t>32285001413243</t>
  </si>
  <si>
    <t>893688193</t>
  </si>
  <si>
    <t>RC952 .K37 1988</t>
  </si>
  <si>
    <t>0                      RC 0952000K  37          1988</t>
  </si>
  <si>
    <t>Aging, health, and society / Cary S. Kart, Eileen K. Metress, Seamus P. Metress.</t>
  </si>
  <si>
    <t>Kart, Cary S. (Cary Steven), 1946-</t>
  </si>
  <si>
    <t>Boston : Jones and Bartlett Publishers, c1988.</t>
  </si>
  <si>
    <t>13211307:eng</t>
  </si>
  <si>
    <t>17107012</t>
  </si>
  <si>
    <t>991001179829702656</t>
  </si>
  <si>
    <t>2257654390002656</t>
  </si>
  <si>
    <t>9780867204063</t>
  </si>
  <si>
    <t>32285001608131</t>
  </si>
  <si>
    <t>893797366</t>
  </si>
  <si>
    <t>RC952 .R34 1980</t>
  </si>
  <si>
    <t>0                      RC 0952000R  34          1980</t>
  </si>
  <si>
    <t>Databook on geriatrics / G. S. Rai, V. Pearce.</t>
  </si>
  <si>
    <t>Rai, G. S. (Gurcharan Singh)</t>
  </si>
  <si>
    <t>Baltimore : University Park Press, 1980.</t>
  </si>
  <si>
    <t>21813242:eng</t>
  </si>
  <si>
    <t>6290723</t>
  </si>
  <si>
    <t>991004958039702656</t>
  </si>
  <si>
    <t>2272598910002656</t>
  </si>
  <si>
    <t>9780839141099</t>
  </si>
  <si>
    <t>32285001608149</t>
  </si>
  <si>
    <t>893776627</t>
  </si>
  <si>
    <t>RC952.5 .C37 1976</t>
  </si>
  <si>
    <t>0                      RC 0952500C  37          1976</t>
  </si>
  <si>
    <t>Care of the elderly : meeting the challenge of dependency : proceedings of a conference sponsored jointly by the Institute of Medicine, National Academy of Medicine [i.e. Sciences], Washington, DC, the Royal Society of Medicine and the Royal Society of Medicine Foundation, Inc., held at the National Academy of Sciences, Washington, DC, USA, 17-19 May 1976 / edited by A. N. Exton-Smith and J. Grimley Evans.</t>
  </si>
  <si>
    <t>London : Academic Press ; New York : Grune &amp; Stratton, 1977.</t>
  </si>
  <si>
    <t>19766682:eng</t>
  </si>
  <si>
    <t>3248320</t>
  </si>
  <si>
    <t>991005264819702656</t>
  </si>
  <si>
    <t>2269457550002656</t>
  </si>
  <si>
    <t>9780012244951</t>
  </si>
  <si>
    <t>32285000887470</t>
  </si>
  <si>
    <t>893326489</t>
  </si>
  <si>
    <t>RC952.5 .C63</t>
  </si>
  <si>
    <t>0                      RC 0952500C  63</t>
  </si>
  <si>
    <t>Communication disorders of the aged : a guide for health professionals / by Ronald L. Schow ... [et al.].</t>
  </si>
  <si>
    <t>Baltimore : University Park Press, c1978.</t>
  </si>
  <si>
    <t>894521636:eng</t>
  </si>
  <si>
    <t>3728845</t>
  </si>
  <si>
    <t>991004502699702656</t>
  </si>
  <si>
    <t>2260824330002656</t>
  </si>
  <si>
    <t>9780839112372</t>
  </si>
  <si>
    <t>32285000887488</t>
  </si>
  <si>
    <t>893259791</t>
  </si>
  <si>
    <t>RC952.5 .G43</t>
  </si>
  <si>
    <t>0                      RC 0952500G  43</t>
  </si>
  <si>
    <t>Geriatric education / edited by Knight Steel.</t>
  </si>
  <si>
    <t>Lexington, Mass. : Collamore Press, 1981.</t>
  </si>
  <si>
    <t>26076699:eng</t>
  </si>
  <si>
    <t>7174764</t>
  </si>
  <si>
    <t>991005082599702656</t>
  </si>
  <si>
    <t>2269652130002656</t>
  </si>
  <si>
    <t>9780669038095</t>
  </si>
  <si>
    <t>32285000191659</t>
  </si>
  <si>
    <t>893260517</t>
  </si>
  <si>
    <t>RC952.5 .S77 1992</t>
  </si>
  <si>
    <t>0                      RC 0952500S  77          1992</t>
  </si>
  <si>
    <t>Stress and health among the elderly / May L. Wykle, Eva Kahana, and Jerome Kowal, editors.</t>
  </si>
  <si>
    <t>New York : Springer Pub. Co., c1992.</t>
  </si>
  <si>
    <t>1994-10-17</t>
  </si>
  <si>
    <t>1994-06-27</t>
  </si>
  <si>
    <t>356231681:eng</t>
  </si>
  <si>
    <t>23941693</t>
  </si>
  <si>
    <t>991001895769702656</t>
  </si>
  <si>
    <t>2270407740002656</t>
  </si>
  <si>
    <t>9780826173201</t>
  </si>
  <si>
    <t>32285001924264</t>
  </si>
  <si>
    <t>893334690</t>
  </si>
  <si>
    <t>RC953.8.E93 B377 2003</t>
  </si>
  <si>
    <t>0                      RC 0953800E  93                 B  377         2003</t>
  </si>
  <si>
    <t>Exercise for frail elders / Elizabeth Best-Martini, Kim A. Botenhagen-DiGenova.</t>
  </si>
  <si>
    <t>Best-Martini, Elizabeth, 1948-</t>
  </si>
  <si>
    <t>Champaign, Ill. : Human Kinetics, c2003.</t>
  </si>
  <si>
    <t>2010-03-01</t>
  </si>
  <si>
    <t>733481:eng</t>
  </si>
  <si>
    <t>50774316</t>
  </si>
  <si>
    <t>991005365719702656</t>
  </si>
  <si>
    <t>2263640880002656</t>
  </si>
  <si>
    <t>9780736036870</t>
  </si>
  <si>
    <t>32285005575757</t>
  </si>
  <si>
    <t>893263796</t>
  </si>
  <si>
    <t>RC953.8.E93 E94 1996</t>
  </si>
  <si>
    <t>0                      RC 0953800E  93                 E  94          1996</t>
  </si>
  <si>
    <t>Exercise programming for older adults / Janie Clark, editor.</t>
  </si>
  <si>
    <t>2001-10-01</t>
  </si>
  <si>
    <t>1996-08-05</t>
  </si>
  <si>
    <t>4233289665:eng</t>
  </si>
  <si>
    <t>34547205</t>
  </si>
  <si>
    <t>991002637649702656</t>
  </si>
  <si>
    <t>2263214360002656</t>
  </si>
  <si>
    <t>9781560248057</t>
  </si>
  <si>
    <t>32285002270626</t>
  </si>
  <si>
    <t>893899013</t>
  </si>
  <si>
    <t>RC954 .F66</t>
  </si>
  <si>
    <t>0                      RC 0954000F  66</t>
  </si>
  <si>
    <t>The older adult : a process for wellness / Elizabeth Jane Forbes, Virginia Macken Fitzsimons.</t>
  </si>
  <si>
    <t>Forbes, Elizabeth Jane, 1934-</t>
  </si>
  <si>
    <t>St. Louis : C. V. Mosby Co., 1981.</t>
  </si>
  <si>
    <t>1995-09-15</t>
  </si>
  <si>
    <t>894343882:eng</t>
  </si>
  <si>
    <t>7179018</t>
  </si>
  <si>
    <t>991001772049702656</t>
  </si>
  <si>
    <t>2267077400002656</t>
  </si>
  <si>
    <t>9780801616310</t>
  </si>
  <si>
    <t>32285001608172</t>
  </si>
  <si>
    <t>893721144</t>
  </si>
  <si>
    <t>RC954 .W39 1987</t>
  </si>
  <si>
    <t>0                      RC 0954000W  39          1987</t>
  </si>
  <si>
    <t>Working with the aged : practical approaches in the institution and community / Marcella Bakur Weiner, Albert J. Brok, Alvin M. Snadowsky.</t>
  </si>
  <si>
    <t>Weiner, Marcella Bakur, 1925-</t>
  </si>
  <si>
    <t>Norwalk, Conn. : Appleton-Century-Crofts, c1987.</t>
  </si>
  <si>
    <t>8254598:eng</t>
  </si>
  <si>
    <t>14214870</t>
  </si>
  <si>
    <t>991000923309702656</t>
  </si>
  <si>
    <t>2267382310002656</t>
  </si>
  <si>
    <t>9780838598337</t>
  </si>
  <si>
    <t>32285001023364</t>
  </si>
  <si>
    <t>893432434</t>
  </si>
  <si>
    <t>RC954.3 .K36</t>
  </si>
  <si>
    <t>0                      RC 0954300K  36</t>
  </si>
  <si>
    <t>Assessing the elderly : a practical guide to measurement / Rosalie A. Kane, Robert L. Kane.</t>
  </si>
  <si>
    <t>Kane, Rosalie A.</t>
  </si>
  <si>
    <t>Lexington, Mass. : LexingtonBooks, c1981.</t>
  </si>
  <si>
    <t>2004-02-11</t>
  </si>
  <si>
    <t>20924285:eng</t>
  </si>
  <si>
    <t>7277660</t>
  </si>
  <si>
    <t>991001782719702656</t>
  </si>
  <si>
    <t>2263854840002656</t>
  </si>
  <si>
    <t>9780669045512</t>
  </si>
  <si>
    <t>32285000843515</t>
  </si>
  <si>
    <t>893721150</t>
  </si>
  <si>
    <t>RC954.3 .O43</t>
  </si>
  <si>
    <t>0                      RC 0954300O  43</t>
  </si>
  <si>
    <t>Old, sick, and helpless : where therapy begins / Robert Kastenbaum ... [et al.].</t>
  </si>
  <si>
    <t>Cambridge, Mass. : Ballinger Pub. Co., 1981.</t>
  </si>
  <si>
    <t>4202559252:eng</t>
  </si>
  <si>
    <t>7552957</t>
  </si>
  <si>
    <t>991005125129702656</t>
  </si>
  <si>
    <t>2265575710002656</t>
  </si>
  <si>
    <t>9780884107170</t>
  </si>
  <si>
    <t>32285001025849</t>
  </si>
  <si>
    <t>893514081</t>
  </si>
  <si>
    <t>RC963.3 .W33 1987</t>
  </si>
  <si>
    <t>0                      RC 0963300W  33          1987</t>
  </si>
  <si>
    <t>Corporate physicians : between medicine and management / Diana Chapman Walsh.</t>
  </si>
  <si>
    <t>Walsh, Diana Chapman.</t>
  </si>
  <si>
    <t>1992-05-20</t>
  </si>
  <si>
    <t>475562554:eng</t>
  </si>
  <si>
    <t>15283654</t>
  </si>
  <si>
    <t>991001011159702656</t>
  </si>
  <si>
    <t>2264393090002656</t>
  </si>
  <si>
    <t>9780300039023</t>
  </si>
  <si>
    <t>32285001098119</t>
  </si>
  <si>
    <t>893243786</t>
  </si>
  <si>
    <t>RC963.5.S54 M66 1992</t>
  </si>
  <si>
    <t>0                      RC 0963500S  54                 M  66          1992</t>
  </si>
  <si>
    <t>Making shift work tolerable / Timothy H. Monk, Simon Folkard.</t>
  </si>
  <si>
    <t>Monk, Timothy H.</t>
  </si>
  <si>
    <t>London : Taylor &amp; Francis, 1992.</t>
  </si>
  <si>
    <t>2000-10-24</t>
  </si>
  <si>
    <t>30332132:eng</t>
  </si>
  <si>
    <t>28067617</t>
  </si>
  <si>
    <t>991002181199702656</t>
  </si>
  <si>
    <t>2259359860002656</t>
  </si>
  <si>
    <t>9780850668223</t>
  </si>
  <si>
    <t>32285002151974</t>
  </si>
  <si>
    <t>893691300</t>
  </si>
  <si>
    <t>RC965.V53 H37 1992</t>
  </si>
  <si>
    <t>0                      RC 0965000V  53                 H  37          1992</t>
  </si>
  <si>
    <t>Healthy computing : risks and remedies every computer-user needs to know / Ronald Harwin, Colin Haynes.</t>
  </si>
  <si>
    <t>Harwin, Ronald.</t>
  </si>
  <si>
    <t>New York, N.Y. : American Management Association, 1992.</t>
  </si>
  <si>
    <t>196513669:eng</t>
  </si>
  <si>
    <t>23976942</t>
  </si>
  <si>
    <t>991001898889702656</t>
  </si>
  <si>
    <t>2270078870002656</t>
  </si>
  <si>
    <t>9780814477663</t>
  </si>
  <si>
    <t>32285000834407</t>
  </si>
  <si>
    <t>893602966</t>
  </si>
  <si>
    <t>RC966 .L3</t>
  </si>
  <si>
    <t>0                      RC 0966000L  3</t>
  </si>
  <si>
    <t>New goals for old age / edited by George Lawton.</t>
  </si>
  <si>
    <t>Lawton, George, 1900-1957.</t>
  </si>
  <si>
    <t>New York : Columbia University Press, c1943.</t>
  </si>
  <si>
    <t>1994-12-08</t>
  </si>
  <si>
    <t>1916186:eng</t>
  </si>
  <si>
    <t>899393</t>
  </si>
  <si>
    <t>991003363279702656</t>
  </si>
  <si>
    <t>2257657270002656</t>
  </si>
  <si>
    <t>32285001980522</t>
  </si>
  <si>
    <t>893524744</t>
  </si>
  <si>
    <t>RC967 .A75</t>
  </si>
  <si>
    <t>0                      RC 0967000A  75</t>
  </si>
  <si>
    <t>Occupational health and safety concepts : chemical and processing hazards / Gordon R. C. Atherley. --</t>
  </si>
  <si>
    <t>Atherley, Gordon R. C.</t>
  </si>
  <si>
    <t>London : Applied Science Publishers, 1978.</t>
  </si>
  <si>
    <t>374696216:eng</t>
  </si>
  <si>
    <t>4399239</t>
  </si>
  <si>
    <t>991004634569702656</t>
  </si>
  <si>
    <t>2262177390002656</t>
  </si>
  <si>
    <t>9780853347422</t>
  </si>
  <si>
    <t>32285001608214</t>
  </si>
  <si>
    <t>893876350</t>
  </si>
  <si>
    <t>RC967 .C44 1987</t>
  </si>
  <si>
    <t>0                      RC 0967000C  44          1987</t>
  </si>
  <si>
    <t>Planning health promotion at the worksite / David H. Chenoweth.</t>
  </si>
  <si>
    <t>Chenoweth, David H., 1952-</t>
  </si>
  <si>
    <t>Indianapolis : Benchmark Press, 1987.</t>
  </si>
  <si>
    <t>2000-02-20</t>
  </si>
  <si>
    <t>9982649:eng</t>
  </si>
  <si>
    <t>15560597</t>
  </si>
  <si>
    <t>991001039139702656</t>
  </si>
  <si>
    <t>2257059710002656</t>
  </si>
  <si>
    <t>9780936157160</t>
  </si>
  <si>
    <t>32285000106533</t>
  </si>
  <si>
    <t>893231648</t>
  </si>
  <si>
    <t>RC967 .O28 1985</t>
  </si>
  <si>
    <t>0                      RC 0967000O  28          1985</t>
  </si>
  <si>
    <t>Occupational health promotion : health behavior in the workplace / George S. Everly, Jr., Robert H.L. Feldman, and associates ; with a foreword by Stephen M. Weiss.</t>
  </si>
  <si>
    <t>3827073:eng</t>
  </si>
  <si>
    <t>11211422</t>
  </si>
  <si>
    <t>991000506489702656</t>
  </si>
  <si>
    <t>2255436680002656</t>
  </si>
  <si>
    <t>9780471895336</t>
  </si>
  <si>
    <t>32285001059608</t>
  </si>
  <si>
    <t>893255483</t>
  </si>
  <si>
    <t>RC967.5 .B76</t>
  </si>
  <si>
    <t>0                      RC 0967500B  76</t>
  </si>
  <si>
    <t>The harassed worker / Carroll M. Brodsky. --</t>
  </si>
  <si>
    <t>Brodsky, Carroll M.</t>
  </si>
  <si>
    <t>Lexington, Mass. : Lexington Books, c1976.</t>
  </si>
  <si>
    <t>1992-05-28</t>
  </si>
  <si>
    <t>5629253:eng</t>
  </si>
  <si>
    <t>2542428</t>
  </si>
  <si>
    <t>991004157429702656</t>
  </si>
  <si>
    <t>2272130770002656</t>
  </si>
  <si>
    <t>9780669010411</t>
  </si>
  <si>
    <t>32285001113249</t>
  </si>
  <si>
    <t>893605695</t>
  </si>
  <si>
    <t>RC967.5 .L68 1993</t>
  </si>
  <si>
    <t>0                      RC 0967500L  68          1993</t>
  </si>
  <si>
    <t>Counseling and psychotherapy of work dysfunctions / Rodney L. Lowman.</t>
  </si>
  <si>
    <t>Lowman, Rodney L.</t>
  </si>
  <si>
    <t>1993-12-10</t>
  </si>
  <si>
    <t>387096:eng</t>
  </si>
  <si>
    <t>27812757</t>
  </si>
  <si>
    <t>991002159739702656</t>
  </si>
  <si>
    <t>2258128230002656</t>
  </si>
  <si>
    <t>9781557982049</t>
  </si>
  <si>
    <t>32285001815124</t>
  </si>
  <si>
    <t>893347178</t>
  </si>
  <si>
    <t>RC967.5 .W67 1992</t>
  </si>
  <si>
    <t>0                      RC 0967500W  67          1992</t>
  </si>
  <si>
    <t>Work and well-being : an agenda for the 1990s / edited by Gwendolyn Puryear Keita and Steven L. Sauter.</t>
  </si>
  <si>
    <t>Washington, DC : American Psychological Association, c1992.</t>
  </si>
  <si>
    <t>933425026:eng</t>
  </si>
  <si>
    <t>24912969</t>
  </si>
  <si>
    <t>991001966619702656</t>
  </si>
  <si>
    <t>2265061610002656</t>
  </si>
  <si>
    <t>9781557981530</t>
  </si>
  <si>
    <t>32285001318798</t>
  </si>
  <si>
    <t>893433332</t>
  </si>
  <si>
    <t>RC967.5 .W68 1992</t>
  </si>
  <si>
    <t>0                      RC 0967500W  68          1992</t>
  </si>
  <si>
    <t>Stress &amp; well-being at work : assessments and interventions for occupational mental health / edited by James Campbell Quick, Lawrence R. Murphy, Joseph J. Hurrell, Jr.</t>
  </si>
  <si>
    <t>1078121381:eng</t>
  </si>
  <si>
    <t>25546212</t>
  </si>
  <si>
    <t>991002008549702656</t>
  </si>
  <si>
    <t>2260998160002656</t>
  </si>
  <si>
    <t>9781557981752</t>
  </si>
  <si>
    <t>32285001318707</t>
  </si>
  <si>
    <t>893798052</t>
  </si>
  <si>
    <t>RC968 .H43 1986</t>
  </si>
  <si>
    <t>0                      RC 0968000H  43          1986</t>
  </si>
  <si>
    <t>Health and industry : a behavioral medicine perspective / edited by Michael F. Cataldo, Thomas J. Coates.</t>
  </si>
  <si>
    <t>836726653:eng</t>
  </si>
  <si>
    <t>12422136</t>
  </si>
  <si>
    <t>991000688039702656</t>
  </si>
  <si>
    <t>2255951720002656</t>
  </si>
  <si>
    <t>9780471809210</t>
  </si>
  <si>
    <t>32285001045029</t>
  </si>
  <si>
    <t>893865586</t>
  </si>
  <si>
    <t>RC968 .K58 1987</t>
  </si>
  <si>
    <t>0                      RC 0968000K  58          1987</t>
  </si>
  <si>
    <t>The healthy workplace : a blueprint for corporate action / William M. Kizer.</t>
  </si>
  <si>
    <t>Kizer, William M.</t>
  </si>
  <si>
    <t>836664617:eng</t>
  </si>
  <si>
    <t>14098310</t>
  </si>
  <si>
    <t>991000905849702656</t>
  </si>
  <si>
    <t>2264878750002656</t>
  </si>
  <si>
    <t>9780471845317</t>
  </si>
  <si>
    <t>32285001045037</t>
  </si>
  <si>
    <t>893522118</t>
  </si>
  <si>
    <t>RC968 .W67 1982</t>
  </si>
  <si>
    <t>0                      RC 0968000W  67          1982</t>
  </si>
  <si>
    <t>Worksite health promotion : a special issue of Health education quarterly / Andrew J.J. Brennan, guest editor.</t>
  </si>
  <si>
    <t>New York : Human Sciences Press, 1982.</t>
  </si>
  <si>
    <t>1994-11-03</t>
  </si>
  <si>
    <t>9593987561:eng</t>
  </si>
  <si>
    <t>9104377</t>
  </si>
  <si>
    <t>991000128689702656</t>
  </si>
  <si>
    <t>2262277870002656</t>
  </si>
  <si>
    <t>32285001045045</t>
  </si>
  <si>
    <t>893790264</t>
  </si>
  <si>
    <t>RC969.H43 A825 2003</t>
  </si>
  <si>
    <t>0                      RC 0969000H  43                 A  825         2003</t>
  </si>
  <si>
    <t>ACSM's worksite health promotion manual : a guide to building and sustaining healthy worksites / American College of Sports Medicine ; [Carolyn Cox, editor].</t>
  </si>
  <si>
    <t>2004-01-20</t>
  </si>
  <si>
    <t>2004-06-06</t>
  </si>
  <si>
    <t>838127308:eng</t>
  </si>
  <si>
    <t>50510840</t>
  </si>
  <si>
    <t>991001724599702656</t>
  </si>
  <si>
    <t>2259411340002656</t>
  </si>
  <si>
    <t>9780736046572</t>
  </si>
  <si>
    <t>32285004635396</t>
  </si>
  <si>
    <t>893866424</t>
  </si>
  <si>
    <t>RC969.H43 C75 1995</t>
  </si>
  <si>
    <t>0                      RC 0969000H  43                 C  75          1995</t>
  </si>
  <si>
    <t>Critical issues in worksite health promotion / [edited by] David M. DeJoy, Mark G. Wilson.</t>
  </si>
  <si>
    <t>Boston : Allyn and Bacon, c1995.</t>
  </si>
  <si>
    <t>31376685:eng</t>
  </si>
  <si>
    <t>29564830</t>
  </si>
  <si>
    <t>991002280219702656</t>
  </si>
  <si>
    <t>2257198350002656</t>
  </si>
  <si>
    <t>9780023282928</t>
  </si>
  <si>
    <t>32285002035375</t>
  </si>
  <si>
    <t>893316616</t>
  </si>
  <si>
    <t>RC969.H43 G85 1992</t>
  </si>
  <si>
    <t>0                      RC 0969000H  43                 G  85          1992</t>
  </si>
  <si>
    <t>Guidelines for employee health promotion programs / Association for Fitness in Business.</t>
  </si>
  <si>
    <t>Champaign, IL : Human Kinetics Books, c1992.</t>
  </si>
  <si>
    <t>26062293:eng</t>
  </si>
  <si>
    <t>24212935</t>
  </si>
  <si>
    <t>991001916839702656</t>
  </si>
  <si>
    <t>2254840570002656</t>
  </si>
  <si>
    <t>9780873223515</t>
  </si>
  <si>
    <t>32285001035798</t>
  </si>
  <si>
    <t>893872888</t>
  </si>
  <si>
    <t>RC969.H43 H433 1991</t>
  </si>
  <si>
    <t>0                      RC 0969000H  43                 H  433         1991</t>
  </si>
  <si>
    <t>Health at work / edited by Stephen M. Weiss, Jonathan E. Fielding, Andrew Baum.</t>
  </si>
  <si>
    <t>Hillsdale, N.J. : Lawrence Erlbaum Associates, c1991.</t>
  </si>
  <si>
    <t>Perspectives in behavioral medicine</t>
  </si>
  <si>
    <t>353763152:eng</t>
  </si>
  <si>
    <t>22273890</t>
  </si>
  <si>
    <t>991001760849702656</t>
  </si>
  <si>
    <t>2264436890002656</t>
  </si>
  <si>
    <t>9780805807707</t>
  </si>
  <si>
    <t>32285001195725</t>
  </si>
  <si>
    <t>893715695</t>
  </si>
  <si>
    <t>RC969.H43 W67 1996</t>
  </si>
  <si>
    <t>0                      RC 0969000H  43                 W  67          1996</t>
  </si>
  <si>
    <t>Workplace health, employee fitness and exercise / edited by John Kerr, Amanda Griffiths and Tom Cox.</t>
  </si>
  <si>
    <t>London : Taylor and Francis, 1996.</t>
  </si>
  <si>
    <t>Issues in occupational health</t>
  </si>
  <si>
    <t>1999-09-13</t>
  </si>
  <si>
    <t>1997-01-23</t>
  </si>
  <si>
    <t>896045:eng</t>
  </si>
  <si>
    <t>36622037</t>
  </si>
  <si>
    <t>991002750339702656</t>
  </si>
  <si>
    <t>2262597230002656</t>
  </si>
  <si>
    <t>9780748401420</t>
  </si>
  <si>
    <t>32285002347028</t>
  </si>
  <si>
    <t>893880353</t>
  </si>
  <si>
    <t>RC971 .C87 1998</t>
  </si>
  <si>
    <t>0                      RC 0971000C  87          1998</t>
  </si>
  <si>
    <t>Disease and empire : the health of European troops in the conquest of Africa / Philip D. Curtin.</t>
  </si>
  <si>
    <t>Curtin, Philip D.</t>
  </si>
  <si>
    <t>Cambridge, U.K. ; New York : Cambridge University Press, 1998.</t>
  </si>
  <si>
    <t>2002-02-05</t>
  </si>
  <si>
    <t>836933407:eng</t>
  </si>
  <si>
    <t>39169947</t>
  </si>
  <si>
    <t>991003697309702656</t>
  </si>
  <si>
    <t>2265999100002656</t>
  </si>
  <si>
    <t>9780521591690</t>
  </si>
  <si>
    <t>32285004451927</t>
  </si>
  <si>
    <t>893525118</t>
  </si>
  <si>
    <t>Keep in Collection? (Yes/No)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</si>
</sst>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color theme="1"/>
      <name val="Calibri"/>
      <family val="2"/>
      <scheme val="minor"/>
    </font>
    <font>
      <u/>
      <sz val="11"/>
      <color rgb="FF0000FF"/>
      <name val="Calibri"/>
      <family val="2"/>
      <scheme val="minor"/>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horizontal="center" vertical="center" wrapText="1"/>
    </xf>
    <xf numFmtId="0" fontId="0" fillId="0" borderId="0" xfId="0" applyAlignment="1">
      <alignment vertical="center" wrapText="1"/>
    </xf>
    <xf numFmtId="49" fontId="0" fillId="0" borderId="0" xfId="0" applyNumberFormat="1"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0" fontId="2" fillId="0" borderId="0" xfId="0" applyFont="1" applyAlignment="1">
      <alignment horizontal="center" vertical="center" wrapText="1"/>
    </xf>
    <xf numFmtId="0" fontId="0" fillId="0" borderId="0" xfId="0" applyProtection="1">
      <protection locked="0"/>
    </xf>
    <xf numFmtId="0" fontId="1" fillId="2" borderId="0" xfId="0" applyFont="1" applyFill="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DA0C2-F2FA-4301-A498-5DDA33923E80}">
  <dimension ref="A1:BD1630"/>
  <sheetViews>
    <sheetView tabSelected="1" workbookViewId="0">
      <pane ySplit="1" topLeftCell="A2" activePane="bottomLeft" state="frozen"/>
      <selection pane="bottomLeft" sqref="A1:XFD1048576"/>
    </sheetView>
  </sheetViews>
  <sheetFormatPr defaultRowHeight="42.75" customHeight="1" x14ac:dyDescent="0.25"/>
  <cols>
    <col min="1" max="1" width="13.5703125" customWidth="1"/>
    <col min="2" max="2" width="19.28515625" customWidth="1"/>
    <col min="3" max="3" width="0" hidden="1" customWidth="1"/>
    <col min="4" max="4" width="58.85546875" customWidth="1"/>
    <col min="6" max="10" width="0" hidden="1" customWidth="1"/>
    <col min="11" max="11" width="18.7109375" customWidth="1"/>
    <col min="12" max="12" width="16" customWidth="1"/>
    <col min="14" max="17" width="0" hidden="1" customWidth="1"/>
    <col min="20" max="26" width="0" hidden="1" customWidth="1"/>
    <col min="28" max="28" width="0" hidden="1" customWidth="1"/>
    <col min="30" max="30" width="0" hidden="1" customWidth="1"/>
    <col min="31" max="31" width="16" customWidth="1"/>
    <col min="32" max="41" width="0" hidden="1" customWidth="1"/>
    <col min="42" max="44" width="11" customWidth="1"/>
    <col min="47" max="56" width="0" hidden="1" customWidth="1"/>
  </cols>
  <sheetData>
    <row r="1" spans="1:56" ht="42.75" customHeight="1" x14ac:dyDescent="0.25">
      <c r="A1" s="8" t="s">
        <v>20763</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row>
    <row r="2" spans="1:56" ht="42.75" customHeight="1" x14ac:dyDescent="0.25">
      <c r="A2" s="7" t="s">
        <v>58</v>
      </c>
      <c r="B2" s="2" t="s">
        <v>55</v>
      </c>
      <c r="C2" s="2" t="s">
        <v>56</v>
      </c>
      <c r="D2" s="2" t="s">
        <v>57</v>
      </c>
      <c r="F2" s="3" t="s">
        <v>58</v>
      </c>
      <c r="G2" s="3" t="s">
        <v>59</v>
      </c>
      <c r="H2" s="3" t="s">
        <v>58</v>
      </c>
      <c r="I2" s="3" t="s">
        <v>58</v>
      </c>
      <c r="J2" s="3" t="s">
        <v>60</v>
      </c>
      <c r="K2" s="2" t="s">
        <v>61</v>
      </c>
      <c r="L2" s="2" t="s">
        <v>62</v>
      </c>
      <c r="M2" s="3" t="s">
        <v>63</v>
      </c>
      <c r="O2" s="3" t="s">
        <v>64</v>
      </c>
      <c r="P2" s="3" t="s">
        <v>65</v>
      </c>
      <c r="Q2" s="2" t="s">
        <v>66</v>
      </c>
      <c r="R2" s="3" t="s">
        <v>67</v>
      </c>
      <c r="S2" s="4">
        <v>6</v>
      </c>
      <c r="T2" s="4">
        <v>6</v>
      </c>
      <c r="U2" s="5" t="s">
        <v>68</v>
      </c>
      <c r="V2" s="5" t="s">
        <v>68</v>
      </c>
      <c r="W2" s="5" t="s">
        <v>69</v>
      </c>
      <c r="X2" s="5" t="s">
        <v>69</v>
      </c>
      <c r="Y2" s="4">
        <v>261</v>
      </c>
      <c r="Z2" s="4">
        <v>175</v>
      </c>
      <c r="AA2" s="4">
        <v>185</v>
      </c>
      <c r="AB2" s="4">
        <v>1</v>
      </c>
      <c r="AC2" s="4">
        <v>1</v>
      </c>
      <c r="AD2" s="4">
        <v>4</v>
      </c>
      <c r="AE2" s="4">
        <v>4</v>
      </c>
      <c r="AF2" s="4">
        <v>1</v>
      </c>
      <c r="AG2" s="4">
        <v>1</v>
      </c>
      <c r="AH2" s="4">
        <v>1</v>
      </c>
      <c r="AI2" s="4">
        <v>1</v>
      </c>
      <c r="AJ2" s="4">
        <v>4</v>
      </c>
      <c r="AK2" s="4">
        <v>4</v>
      </c>
      <c r="AL2" s="4">
        <v>0</v>
      </c>
      <c r="AM2" s="4">
        <v>0</v>
      </c>
      <c r="AN2" s="4">
        <v>0</v>
      </c>
      <c r="AO2" s="4">
        <v>0</v>
      </c>
      <c r="AP2" s="3" t="s">
        <v>58</v>
      </c>
      <c r="AQ2" s="3" t="s">
        <v>58</v>
      </c>
      <c r="AS2" s="6" t="str">
        <f>HYPERLINK("https://creighton-primo.hosted.exlibrisgroup.com/primo-explore/search?tab=default_tab&amp;search_scope=EVERYTHING&amp;vid=01CRU&amp;lang=en_US&amp;offset=0&amp;query=any,contains,991000112819702656","Catalog Record")</f>
        <v>Catalog Record</v>
      </c>
      <c r="AT2" s="6" t="str">
        <f>HYPERLINK("http://www.worldcat.org/oclc/9018209","WorldCat Record")</f>
        <v>WorldCat Record</v>
      </c>
      <c r="AU2" s="3" t="s">
        <v>70</v>
      </c>
      <c r="AV2" s="3" t="s">
        <v>71</v>
      </c>
      <c r="AW2" s="3" t="s">
        <v>72</v>
      </c>
      <c r="AX2" s="3" t="s">
        <v>72</v>
      </c>
      <c r="AY2" s="3" t="s">
        <v>73</v>
      </c>
      <c r="AZ2" s="3" t="s">
        <v>74</v>
      </c>
      <c r="BB2" s="3" t="s">
        <v>75</v>
      </c>
      <c r="BC2" s="3" t="s">
        <v>76</v>
      </c>
      <c r="BD2" s="3" t="s">
        <v>77</v>
      </c>
    </row>
    <row r="3" spans="1:56" ht="42.75" customHeight="1" x14ac:dyDescent="0.25">
      <c r="A3" s="7" t="s">
        <v>58</v>
      </c>
      <c r="B3" s="2" t="s">
        <v>78</v>
      </c>
      <c r="C3" s="2" t="s">
        <v>79</v>
      </c>
      <c r="D3" s="2" t="s">
        <v>80</v>
      </c>
      <c r="F3" s="3" t="s">
        <v>58</v>
      </c>
      <c r="G3" s="3" t="s">
        <v>59</v>
      </c>
      <c r="H3" s="3" t="s">
        <v>58</v>
      </c>
      <c r="I3" s="3" t="s">
        <v>58</v>
      </c>
      <c r="J3" s="3" t="s">
        <v>60</v>
      </c>
      <c r="L3" s="2" t="s">
        <v>81</v>
      </c>
      <c r="M3" s="3" t="s">
        <v>82</v>
      </c>
      <c r="O3" s="3" t="s">
        <v>64</v>
      </c>
      <c r="P3" s="3" t="s">
        <v>83</v>
      </c>
      <c r="Q3" s="2" t="s">
        <v>84</v>
      </c>
      <c r="R3" s="3" t="s">
        <v>67</v>
      </c>
      <c r="S3" s="4">
        <v>6</v>
      </c>
      <c r="T3" s="4">
        <v>6</v>
      </c>
      <c r="U3" s="5" t="s">
        <v>68</v>
      </c>
      <c r="V3" s="5" t="s">
        <v>68</v>
      </c>
      <c r="W3" s="5" t="s">
        <v>85</v>
      </c>
      <c r="X3" s="5" t="s">
        <v>85</v>
      </c>
      <c r="Y3" s="4">
        <v>77</v>
      </c>
      <c r="Z3" s="4">
        <v>60</v>
      </c>
      <c r="AA3" s="4">
        <v>61</v>
      </c>
      <c r="AB3" s="4">
        <v>1</v>
      </c>
      <c r="AC3" s="4">
        <v>1</v>
      </c>
      <c r="AD3" s="4">
        <v>0</v>
      </c>
      <c r="AE3" s="4">
        <v>0</v>
      </c>
      <c r="AF3" s="4">
        <v>0</v>
      </c>
      <c r="AG3" s="4">
        <v>0</v>
      </c>
      <c r="AH3" s="4">
        <v>0</v>
      </c>
      <c r="AI3" s="4">
        <v>0</v>
      </c>
      <c r="AJ3" s="4">
        <v>0</v>
      </c>
      <c r="AK3" s="4">
        <v>0</v>
      </c>
      <c r="AL3" s="4">
        <v>0</v>
      </c>
      <c r="AM3" s="4">
        <v>0</v>
      </c>
      <c r="AN3" s="4">
        <v>0</v>
      </c>
      <c r="AO3" s="4">
        <v>0</v>
      </c>
      <c r="AP3" s="3" t="s">
        <v>58</v>
      </c>
      <c r="AQ3" s="3" t="s">
        <v>86</v>
      </c>
      <c r="AR3" s="6" t="str">
        <f>HYPERLINK("http://catalog.hathitrust.org/Record/008331410","HathiTrust Record")</f>
        <v>HathiTrust Record</v>
      </c>
      <c r="AS3" s="6" t="str">
        <f>HYPERLINK("https://creighton-primo.hosted.exlibrisgroup.com/primo-explore/search?tab=default_tab&amp;search_scope=EVERYTHING&amp;vid=01CRU&amp;lang=en_US&amp;offset=0&amp;query=any,contains,991001035779702656","Catalog Record")</f>
        <v>Catalog Record</v>
      </c>
      <c r="AT3" s="6" t="str">
        <f>HYPERLINK("http://www.worldcat.org/oclc/15548987","WorldCat Record")</f>
        <v>WorldCat Record</v>
      </c>
      <c r="AU3" s="3" t="s">
        <v>87</v>
      </c>
      <c r="AV3" s="3" t="s">
        <v>88</v>
      </c>
      <c r="AW3" s="3" t="s">
        <v>89</v>
      </c>
      <c r="AX3" s="3" t="s">
        <v>89</v>
      </c>
      <c r="AY3" s="3" t="s">
        <v>90</v>
      </c>
      <c r="AZ3" s="3" t="s">
        <v>74</v>
      </c>
      <c r="BB3" s="3" t="s">
        <v>91</v>
      </c>
      <c r="BC3" s="3" t="s">
        <v>92</v>
      </c>
      <c r="BD3" s="3" t="s">
        <v>93</v>
      </c>
    </row>
    <row r="4" spans="1:56" ht="42.75" customHeight="1" x14ac:dyDescent="0.25">
      <c r="A4" s="7" t="s">
        <v>58</v>
      </c>
      <c r="B4" s="2" t="s">
        <v>94</v>
      </c>
      <c r="C4" s="2" t="s">
        <v>95</v>
      </c>
      <c r="D4" s="2" t="s">
        <v>96</v>
      </c>
      <c r="F4" s="3" t="s">
        <v>58</v>
      </c>
      <c r="G4" s="3" t="s">
        <v>59</v>
      </c>
      <c r="H4" s="3" t="s">
        <v>58</v>
      </c>
      <c r="I4" s="3" t="s">
        <v>58</v>
      </c>
      <c r="J4" s="3" t="s">
        <v>60</v>
      </c>
      <c r="L4" s="2" t="s">
        <v>97</v>
      </c>
      <c r="M4" s="3" t="s">
        <v>98</v>
      </c>
      <c r="O4" s="3" t="s">
        <v>64</v>
      </c>
      <c r="P4" s="3" t="s">
        <v>99</v>
      </c>
      <c r="Q4" s="2" t="s">
        <v>100</v>
      </c>
      <c r="R4" s="3" t="s">
        <v>67</v>
      </c>
      <c r="S4" s="4">
        <v>29</v>
      </c>
      <c r="T4" s="4">
        <v>29</v>
      </c>
      <c r="U4" s="5" t="s">
        <v>101</v>
      </c>
      <c r="V4" s="5" t="s">
        <v>101</v>
      </c>
      <c r="W4" s="5" t="s">
        <v>102</v>
      </c>
      <c r="X4" s="5" t="s">
        <v>102</v>
      </c>
      <c r="Y4" s="4">
        <v>295</v>
      </c>
      <c r="Z4" s="4">
        <v>224</v>
      </c>
      <c r="AA4" s="4">
        <v>225</v>
      </c>
      <c r="AB4" s="4">
        <v>3</v>
      </c>
      <c r="AC4" s="4">
        <v>3</v>
      </c>
      <c r="AD4" s="4">
        <v>13</v>
      </c>
      <c r="AE4" s="4">
        <v>13</v>
      </c>
      <c r="AF4" s="4">
        <v>4</v>
      </c>
      <c r="AG4" s="4">
        <v>4</v>
      </c>
      <c r="AH4" s="4">
        <v>3</v>
      </c>
      <c r="AI4" s="4">
        <v>3</v>
      </c>
      <c r="AJ4" s="4">
        <v>7</v>
      </c>
      <c r="AK4" s="4">
        <v>7</v>
      </c>
      <c r="AL4" s="4">
        <v>2</v>
      </c>
      <c r="AM4" s="4">
        <v>2</v>
      </c>
      <c r="AN4" s="4">
        <v>0</v>
      </c>
      <c r="AO4" s="4">
        <v>0</v>
      </c>
      <c r="AP4" s="3" t="s">
        <v>58</v>
      </c>
      <c r="AQ4" s="3" t="s">
        <v>58</v>
      </c>
      <c r="AS4" s="6" t="str">
        <f>HYPERLINK("https://creighton-primo.hosted.exlibrisgroup.com/primo-explore/search?tab=default_tab&amp;search_scope=EVERYTHING&amp;vid=01CRU&amp;lang=en_US&amp;offset=0&amp;query=any,contains,991001481499702656","Catalog Record")</f>
        <v>Catalog Record</v>
      </c>
      <c r="AT4" s="6" t="str">
        <f>HYPERLINK("http://www.worldcat.org/oclc/19626492","WorldCat Record")</f>
        <v>WorldCat Record</v>
      </c>
      <c r="AU4" s="3" t="s">
        <v>103</v>
      </c>
      <c r="AV4" s="3" t="s">
        <v>104</v>
      </c>
      <c r="AW4" s="3" t="s">
        <v>105</v>
      </c>
      <c r="AX4" s="3" t="s">
        <v>105</v>
      </c>
      <c r="AY4" s="3" t="s">
        <v>106</v>
      </c>
      <c r="AZ4" s="3" t="s">
        <v>74</v>
      </c>
      <c r="BB4" s="3" t="s">
        <v>107</v>
      </c>
      <c r="BC4" s="3" t="s">
        <v>108</v>
      </c>
      <c r="BD4" s="3" t="s">
        <v>109</v>
      </c>
    </row>
    <row r="5" spans="1:56" ht="42.75" customHeight="1" x14ac:dyDescent="0.25">
      <c r="A5" s="7" t="s">
        <v>58</v>
      </c>
      <c r="B5" s="2" t="s">
        <v>110</v>
      </c>
      <c r="C5" s="2" t="s">
        <v>111</v>
      </c>
      <c r="D5" s="2" t="s">
        <v>112</v>
      </c>
      <c r="F5" s="3" t="s">
        <v>58</v>
      </c>
      <c r="G5" s="3" t="s">
        <v>59</v>
      </c>
      <c r="H5" s="3" t="s">
        <v>86</v>
      </c>
      <c r="I5" s="3" t="s">
        <v>58</v>
      </c>
      <c r="J5" s="3" t="s">
        <v>60</v>
      </c>
      <c r="L5" s="2" t="s">
        <v>113</v>
      </c>
      <c r="M5" s="3" t="s">
        <v>114</v>
      </c>
      <c r="O5" s="3" t="s">
        <v>64</v>
      </c>
      <c r="P5" s="3" t="s">
        <v>115</v>
      </c>
      <c r="Q5" s="2" t="s">
        <v>116</v>
      </c>
      <c r="R5" s="3" t="s">
        <v>67</v>
      </c>
      <c r="S5" s="4">
        <v>13</v>
      </c>
      <c r="T5" s="4">
        <v>13</v>
      </c>
      <c r="U5" s="5" t="s">
        <v>101</v>
      </c>
      <c r="V5" s="5" t="s">
        <v>101</v>
      </c>
      <c r="W5" s="5" t="s">
        <v>117</v>
      </c>
      <c r="X5" s="5" t="s">
        <v>117</v>
      </c>
      <c r="Y5" s="4">
        <v>468</v>
      </c>
      <c r="Z5" s="4">
        <v>404</v>
      </c>
      <c r="AA5" s="4">
        <v>411</v>
      </c>
      <c r="AB5" s="4">
        <v>4</v>
      </c>
      <c r="AC5" s="4">
        <v>4</v>
      </c>
      <c r="AD5" s="4">
        <v>17</v>
      </c>
      <c r="AE5" s="4">
        <v>17</v>
      </c>
      <c r="AF5" s="4">
        <v>5</v>
      </c>
      <c r="AG5" s="4">
        <v>5</v>
      </c>
      <c r="AH5" s="4">
        <v>3</v>
      </c>
      <c r="AI5" s="4">
        <v>3</v>
      </c>
      <c r="AJ5" s="4">
        <v>12</v>
      </c>
      <c r="AK5" s="4">
        <v>12</v>
      </c>
      <c r="AL5" s="4">
        <v>2</v>
      </c>
      <c r="AM5" s="4">
        <v>2</v>
      </c>
      <c r="AN5" s="4">
        <v>0</v>
      </c>
      <c r="AO5" s="4">
        <v>0</v>
      </c>
      <c r="AP5" s="3" t="s">
        <v>58</v>
      </c>
      <c r="AQ5" s="3" t="s">
        <v>86</v>
      </c>
      <c r="AR5" s="6" t="str">
        <f>HYPERLINK("http://catalog.hathitrust.org/Record/000166285","HathiTrust Record")</f>
        <v>HathiTrust Record</v>
      </c>
      <c r="AS5" s="6" t="str">
        <f>HYPERLINK("https://creighton-primo.hosted.exlibrisgroup.com/primo-explore/search?tab=default_tab&amp;search_scope=EVERYTHING&amp;vid=01CRU&amp;lang=en_US&amp;offset=0&amp;query=any,contains,991000322839702656","Catalog Record")</f>
        <v>Catalog Record</v>
      </c>
      <c r="AT5" s="6" t="str">
        <f>HYPERLINK("http://www.worldcat.org/oclc/10161487","WorldCat Record")</f>
        <v>WorldCat Record</v>
      </c>
      <c r="AU5" s="3" t="s">
        <v>118</v>
      </c>
      <c r="AV5" s="3" t="s">
        <v>119</v>
      </c>
      <c r="AW5" s="3" t="s">
        <v>120</v>
      </c>
      <c r="AX5" s="3" t="s">
        <v>120</v>
      </c>
      <c r="AY5" s="3" t="s">
        <v>121</v>
      </c>
      <c r="AZ5" s="3" t="s">
        <v>74</v>
      </c>
      <c r="BB5" s="3" t="s">
        <v>122</v>
      </c>
      <c r="BC5" s="3" t="s">
        <v>123</v>
      </c>
      <c r="BD5" s="3" t="s">
        <v>124</v>
      </c>
    </row>
    <row r="6" spans="1:56" ht="42.75" customHeight="1" x14ac:dyDescent="0.25">
      <c r="A6" s="7" t="s">
        <v>58</v>
      </c>
      <c r="B6" s="2" t="s">
        <v>125</v>
      </c>
      <c r="C6" s="2" t="s">
        <v>126</v>
      </c>
      <c r="D6" s="2" t="s">
        <v>127</v>
      </c>
      <c r="F6" s="3" t="s">
        <v>58</v>
      </c>
      <c r="G6" s="3" t="s">
        <v>59</v>
      </c>
      <c r="H6" s="3" t="s">
        <v>58</v>
      </c>
      <c r="I6" s="3" t="s">
        <v>58</v>
      </c>
      <c r="J6" s="3" t="s">
        <v>60</v>
      </c>
      <c r="L6" s="2" t="s">
        <v>128</v>
      </c>
      <c r="M6" s="3" t="s">
        <v>98</v>
      </c>
      <c r="O6" s="3" t="s">
        <v>64</v>
      </c>
      <c r="P6" s="3" t="s">
        <v>83</v>
      </c>
      <c r="Q6" s="2" t="s">
        <v>129</v>
      </c>
      <c r="R6" s="3" t="s">
        <v>67</v>
      </c>
      <c r="S6" s="4">
        <v>6</v>
      </c>
      <c r="T6" s="4">
        <v>6</v>
      </c>
      <c r="U6" s="5" t="s">
        <v>130</v>
      </c>
      <c r="V6" s="5" t="s">
        <v>130</v>
      </c>
      <c r="W6" s="5" t="s">
        <v>131</v>
      </c>
      <c r="X6" s="5" t="s">
        <v>131</v>
      </c>
      <c r="Y6" s="4">
        <v>195</v>
      </c>
      <c r="Z6" s="4">
        <v>144</v>
      </c>
      <c r="AA6" s="4">
        <v>146</v>
      </c>
      <c r="AB6" s="4">
        <v>1</v>
      </c>
      <c r="AC6" s="4">
        <v>1</v>
      </c>
      <c r="AD6" s="4">
        <v>2</v>
      </c>
      <c r="AE6" s="4">
        <v>2</v>
      </c>
      <c r="AF6" s="4">
        <v>0</v>
      </c>
      <c r="AG6" s="4">
        <v>0</v>
      </c>
      <c r="AH6" s="4">
        <v>1</v>
      </c>
      <c r="AI6" s="4">
        <v>1</v>
      </c>
      <c r="AJ6" s="4">
        <v>1</v>
      </c>
      <c r="AK6" s="4">
        <v>1</v>
      </c>
      <c r="AL6" s="4">
        <v>0</v>
      </c>
      <c r="AM6" s="4">
        <v>0</v>
      </c>
      <c r="AN6" s="4">
        <v>0</v>
      </c>
      <c r="AO6" s="4">
        <v>0</v>
      </c>
      <c r="AP6" s="3" t="s">
        <v>58</v>
      </c>
      <c r="AQ6" s="3" t="s">
        <v>86</v>
      </c>
      <c r="AR6" s="6" t="str">
        <f>HYPERLINK("http://catalog.hathitrust.org/Record/004409227","HathiTrust Record")</f>
        <v>HathiTrust Record</v>
      </c>
      <c r="AS6" s="6" t="str">
        <f>HYPERLINK("https://creighton-primo.hosted.exlibrisgroup.com/primo-explore/search?tab=default_tab&amp;search_scope=EVERYTHING&amp;vid=01CRU&amp;lang=en_US&amp;offset=0&amp;query=any,contains,991001135449702656","Catalog Record")</f>
        <v>Catalog Record</v>
      </c>
      <c r="AT6" s="6" t="str">
        <f>HYPERLINK("http://www.worldcat.org/oclc/16709566","WorldCat Record")</f>
        <v>WorldCat Record</v>
      </c>
      <c r="AU6" s="3" t="s">
        <v>132</v>
      </c>
      <c r="AV6" s="3" t="s">
        <v>133</v>
      </c>
      <c r="AW6" s="3" t="s">
        <v>134</v>
      </c>
      <c r="AX6" s="3" t="s">
        <v>134</v>
      </c>
      <c r="AY6" s="3" t="s">
        <v>135</v>
      </c>
      <c r="AZ6" s="3" t="s">
        <v>74</v>
      </c>
      <c r="BB6" s="3" t="s">
        <v>136</v>
      </c>
      <c r="BC6" s="3" t="s">
        <v>137</v>
      </c>
      <c r="BD6" s="3" t="s">
        <v>138</v>
      </c>
    </row>
    <row r="7" spans="1:56" ht="42.75" customHeight="1" x14ac:dyDescent="0.25">
      <c r="A7" s="7" t="s">
        <v>58</v>
      </c>
      <c r="B7" s="2" t="s">
        <v>139</v>
      </c>
      <c r="C7" s="2" t="s">
        <v>140</v>
      </c>
      <c r="D7" s="2" t="s">
        <v>141</v>
      </c>
      <c r="F7" s="3" t="s">
        <v>58</v>
      </c>
      <c r="G7" s="3" t="s">
        <v>59</v>
      </c>
      <c r="H7" s="3" t="s">
        <v>86</v>
      </c>
      <c r="I7" s="3" t="s">
        <v>58</v>
      </c>
      <c r="J7" s="3" t="s">
        <v>60</v>
      </c>
      <c r="K7" s="2" t="s">
        <v>142</v>
      </c>
      <c r="L7" s="2" t="s">
        <v>143</v>
      </c>
      <c r="M7" s="3" t="s">
        <v>144</v>
      </c>
      <c r="O7" s="3" t="s">
        <v>64</v>
      </c>
      <c r="P7" s="3" t="s">
        <v>145</v>
      </c>
      <c r="Q7" s="2" t="s">
        <v>146</v>
      </c>
      <c r="R7" s="3" t="s">
        <v>67</v>
      </c>
      <c r="S7" s="4">
        <v>2</v>
      </c>
      <c r="T7" s="4">
        <v>2</v>
      </c>
      <c r="U7" s="5" t="s">
        <v>147</v>
      </c>
      <c r="V7" s="5" t="s">
        <v>148</v>
      </c>
      <c r="W7" s="5" t="s">
        <v>149</v>
      </c>
      <c r="X7" s="5" t="s">
        <v>150</v>
      </c>
      <c r="Y7" s="4">
        <v>413</v>
      </c>
      <c r="Z7" s="4">
        <v>350</v>
      </c>
      <c r="AA7" s="4">
        <v>433</v>
      </c>
      <c r="AB7" s="4">
        <v>1</v>
      </c>
      <c r="AC7" s="4">
        <v>2</v>
      </c>
      <c r="AD7" s="4">
        <v>19</v>
      </c>
      <c r="AE7" s="4">
        <v>22</v>
      </c>
      <c r="AF7" s="4">
        <v>9</v>
      </c>
      <c r="AG7" s="4">
        <v>11</v>
      </c>
      <c r="AH7" s="4">
        <v>3</v>
      </c>
      <c r="AI7" s="4">
        <v>3</v>
      </c>
      <c r="AJ7" s="4">
        <v>13</v>
      </c>
      <c r="AK7" s="4">
        <v>13</v>
      </c>
      <c r="AL7" s="4">
        <v>0</v>
      </c>
      <c r="AM7" s="4">
        <v>1</v>
      </c>
      <c r="AN7" s="4">
        <v>0</v>
      </c>
      <c r="AO7" s="4">
        <v>0</v>
      </c>
      <c r="AP7" s="3" t="s">
        <v>58</v>
      </c>
      <c r="AQ7" s="3" t="s">
        <v>86</v>
      </c>
      <c r="AR7" s="6" t="str">
        <f>HYPERLINK("http://catalog.hathitrust.org/Record/003124748","HathiTrust Record")</f>
        <v>HathiTrust Record</v>
      </c>
      <c r="AS7" s="6" t="str">
        <f>HYPERLINK("https://creighton-primo.hosted.exlibrisgroup.com/primo-explore/search?tab=default_tab&amp;search_scope=EVERYTHING&amp;vid=01CRU&amp;lang=en_US&amp;offset=0&amp;query=any,contains,991001691349702656","Catalog Record")</f>
        <v>Catalog Record</v>
      </c>
      <c r="AT7" s="6" t="str">
        <f>HYPERLINK("http://www.worldcat.org/oclc/35235774","WorldCat Record")</f>
        <v>WorldCat Record</v>
      </c>
      <c r="AU7" s="3" t="s">
        <v>151</v>
      </c>
      <c r="AV7" s="3" t="s">
        <v>152</v>
      </c>
      <c r="AW7" s="3" t="s">
        <v>153</v>
      </c>
      <c r="AX7" s="3" t="s">
        <v>153</v>
      </c>
      <c r="AY7" s="3" t="s">
        <v>154</v>
      </c>
      <c r="AZ7" s="3" t="s">
        <v>74</v>
      </c>
      <c r="BB7" s="3" t="s">
        <v>155</v>
      </c>
      <c r="BC7" s="3" t="s">
        <v>156</v>
      </c>
      <c r="BD7" s="3" t="s">
        <v>157</v>
      </c>
    </row>
    <row r="8" spans="1:56" ht="42.75" customHeight="1" x14ac:dyDescent="0.25">
      <c r="A8" s="7" t="s">
        <v>58</v>
      </c>
      <c r="B8" s="2" t="s">
        <v>158</v>
      </c>
      <c r="C8" s="2" t="s">
        <v>159</v>
      </c>
      <c r="D8" s="2" t="s">
        <v>160</v>
      </c>
      <c r="F8" s="3" t="s">
        <v>58</v>
      </c>
      <c r="G8" s="3" t="s">
        <v>59</v>
      </c>
      <c r="H8" s="3" t="s">
        <v>58</v>
      </c>
      <c r="I8" s="3" t="s">
        <v>58</v>
      </c>
      <c r="J8" s="3" t="s">
        <v>60</v>
      </c>
      <c r="K8" s="2" t="s">
        <v>161</v>
      </c>
      <c r="L8" s="2" t="s">
        <v>162</v>
      </c>
      <c r="M8" s="3" t="s">
        <v>163</v>
      </c>
      <c r="O8" s="3" t="s">
        <v>64</v>
      </c>
      <c r="P8" s="3" t="s">
        <v>115</v>
      </c>
      <c r="R8" s="3" t="s">
        <v>67</v>
      </c>
      <c r="S8" s="4">
        <v>2</v>
      </c>
      <c r="T8" s="4">
        <v>2</v>
      </c>
      <c r="U8" s="5" t="s">
        <v>164</v>
      </c>
      <c r="V8" s="5" t="s">
        <v>164</v>
      </c>
      <c r="W8" s="5" t="s">
        <v>165</v>
      </c>
      <c r="X8" s="5" t="s">
        <v>165</v>
      </c>
      <c r="Y8" s="4">
        <v>148</v>
      </c>
      <c r="Z8" s="4">
        <v>137</v>
      </c>
      <c r="AA8" s="4">
        <v>146</v>
      </c>
      <c r="AB8" s="4">
        <v>2</v>
      </c>
      <c r="AC8" s="4">
        <v>2</v>
      </c>
      <c r="AD8" s="4">
        <v>0</v>
      </c>
      <c r="AE8" s="4">
        <v>0</v>
      </c>
      <c r="AF8" s="4">
        <v>0</v>
      </c>
      <c r="AG8" s="4">
        <v>0</v>
      </c>
      <c r="AH8" s="4">
        <v>0</v>
      </c>
      <c r="AI8" s="4">
        <v>0</v>
      </c>
      <c r="AJ8" s="4">
        <v>0</v>
      </c>
      <c r="AK8" s="4">
        <v>0</v>
      </c>
      <c r="AL8" s="4">
        <v>0</v>
      </c>
      <c r="AM8" s="4">
        <v>0</v>
      </c>
      <c r="AN8" s="4">
        <v>0</v>
      </c>
      <c r="AO8" s="4">
        <v>0</v>
      </c>
      <c r="AP8" s="3" t="s">
        <v>58</v>
      </c>
      <c r="AQ8" s="3" t="s">
        <v>58</v>
      </c>
      <c r="AS8" s="6" t="str">
        <f>HYPERLINK("https://creighton-primo.hosted.exlibrisgroup.com/primo-explore/search?tab=default_tab&amp;search_scope=EVERYTHING&amp;vid=01CRU&amp;lang=en_US&amp;offset=0&amp;query=any,contains,991001274639702656","Catalog Record")</f>
        <v>Catalog Record</v>
      </c>
      <c r="AT8" s="6" t="str">
        <f>HYPERLINK("http://www.worldcat.org/oclc/213934","WorldCat Record")</f>
        <v>WorldCat Record</v>
      </c>
      <c r="AU8" s="3" t="s">
        <v>166</v>
      </c>
      <c r="AV8" s="3" t="s">
        <v>167</v>
      </c>
      <c r="AW8" s="3" t="s">
        <v>168</v>
      </c>
      <c r="AX8" s="3" t="s">
        <v>168</v>
      </c>
      <c r="AY8" s="3" t="s">
        <v>169</v>
      </c>
      <c r="AZ8" s="3" t="s">
        <v>74</v>
      </c>
      <c r="BC8" s="3" t="s">
        <v>170</v>
      </c>
      <c r="BD8" s="3" t="s">
        <v>171</v>
      </c>
    </row>
    <row r="9" spans="1:56" ht="42.75" customHeight="1" x14ac:dyDescent="0.25">
      <c r="A9" s="7" t="s">
        <v>58</v>
      </c>
      <c r="B9" s="2" t="s">
        <v>172</v>
      </c>
      <c r="C9" s="2" t="s">
        <v>173</v>
      </c>
      <c r="D9" s="2" t="s">
        <v>174</v>
      </c>
      <c r="F9" s="3" t="s">
        <v>58</v>
      </c>
      <c r="G9" s="3" t="s">
        <v>59</v>
      </c>
      <c r="H9" s="3" t="s">
        <v>86</v>
      </c>
      <c r="I9" s="3" t="s">
        <v>58</v>
      </c>
      <c r="J9" s="3" t="s">
        <v>60</v>
      </c>
      <c r="K9" s="2" t="s">
        <v>175</v>
      </c>
      <c r="L9" s="2" t="s">
        <v>176</v>
      </c>
      <c r="M9" s="3" t="s">
        <v>177</v>
      </c>
      <c r="O9" s="3" t="s">
        <v>64</v>
      </c>
      <c r="P9" s="3" t="s">
        <v>178</v>
      </c>
      <c r="R9" s="3" t="s">
        <v>67</v>
      </c>
      <c r="S9" s="4">
        <v>2</v>
      </c>
      <c r="T9" s="4">
        <v>11</v>
      </c>
      <c r="U9" s="5" t="s">
        <v>179</v>
      </c>
      <c r="V9" s="5" t="s">
        <v>179</v>
      </c>
      <c r="W9" s="5" t="s">
        <v>180</v>
      </c>
      <c r="X9" s="5" t="s">
        <v>180</v>
      </c>
      <c r="Y9" s="4">
        <v>260</v>
      </c>
      <c r="Z9" s="4">
        <v>211</v>
      </c>
      <c r="AA9" s="4">
        <v>218</v>
      </c>
      <c r="AB9" s="4">
        <v>2</v>
      </c>
      <c r="AC9" s="4">
        <v>2</v>
      </c>
      <c r="AD9" s="4">
        <v>7</v>
      </c>
      <c r="AE9" s="4">
        <v>7</v>
      </c>
      <c r="AF9" s="4">
        <v>4</v>
      </c>
      <c r="AG9" s="4">
        <v>4</v>
      </c>
      <c r="AH9" s="4">
        <v>2</v>
      </c>
      <c r="AI9" s="4">
        <v>2</v>
      </c>
      <c r="AJ9" s="4">
        <v>4</v>
      </c>
      <c r="AK9" s="4">
        <v>4</v>
      </c>
      <c r="AL9" s="4">
        <v>0</v>
      </c>
      <c r="AM9" s="4">
        <v>0</v>
      </c>
      <c r="AN9" s="4">
        <v>0</v>
      </c>
      <c r="AO9" s="4">
        <v>0</v>
      </c>
      <c r="AP9" s="3" t="s">
        <v>58</v>
      </c>
      <c r="AQ9" s="3" t="s">
        <v>86</v>
      </c>
      <c r="AR9" s="6" t="str">
        <f>HYPERLINK("http://catalog.hathitrust.org/Record/002785249","HathiTrust Record")</f>
        <v>HathiTrust Record</v>
      </c>
      <c r="AS9" s="6" t="str">
        <f>HYPERLINK("https://creighton-primo.hosted.exlibrisgroup.com/primo-explore/search?tab=default_tab&amp;search_scope=EVERYTHING&amp;vid=01CRU&amp;lang=en_US&amp;offset=0&amp;query=any,contains,991001778679702656","Catalog Record")</f>
        <v>Catalog Record</v>
      </c>
      <c r="AT9" s="6" t="str">
        <f>HYPERLINK("http://www.worldcat.org/oclc/730550","WorldCat Record")</f>
        <v>WorldCat Record</v>
      </c>
      <c r="AU9" s="3" t="s">
        <v>181</v>
      </c>
      <c r="AV9" s="3" t="s">
        <v>182</v>
      </c>
      <c r="AW9" s="3" t="s">
        <v>183</v>
      </c>
      <c r="AX9" s="3" t="s">
        <v>183</v>
      </c>
      <c r="AY9" s="3" t="s">
        <v>184</v>
      </c>
      <c r="AZ9" s="3" t="s">
        <v>74</v>
      </c>
      <c r="BC9" s="3" t="s">
        <v>185</v>
      </c>
      <c r="BD9" s="3" t="s">
        <v>186</v>
      </c>
    </row>
    <row r="10" spans="1:56" ht="42.75" customHeight="1" x14ac:dyDescent="0.25">
      <c r="A10" s="7" t="s">
        <v>58</v>
      </c>
      <c r="B10" s="2" t="s">
        <v>187</v>
      </c>
      <c r="C10" s="2" t="s">
        <v>188</v>
      </c>
      <c r="D10" s="2" t="s">
        <v>189</v>
      </c>
      <c r="F10" s="3" t="s">
        <v>58</v>
      </c>
      <c r="G10" s="3" t="s">
        <v>59</v>
      </c>
      <c r="H10" s="3" t="s">
        <v>58</v>
      </c>
      <c r="I10" s="3" t="s">
        <v>58</v>
      </c>
      <c r="J10" s="3" t="s">
        <v>60</v>
      </c>
      <c r="K10" s="2" t="s">
        <v>190</v>
      </c>
      <c r="L10" s="2" t="s">
        <v>191</v>
      </c>
      <c r="M10" s="3" t="s">
        <v>192</v>
      </c>
      <c r="O10" s="3" t="s">
        <v>64</v>
      </c>
      <c r="P10" s="3" t="s">
        <v>65</v>
      </c>
      <c r="R10" s="3" t="s">
        <v>67</v>
      </c>
      <c r="S10" s="4">
        <v>2</v>
      </c>
      <c r="T10" s="4">
        <v>2</v>
      </c>
      <c r="U10" s="5" t="s">
        <v>193</v>
      </c>
      <c r="V10" s="5" t="s">
        <v>193</v>
      </c>
      <c r="W10" s="5" t="s">
        <v>194</v>
      </c>
      <c r="X10" s="5" t="s">
        <v>194</v>
      </c>
      <c r="Y10" s="4">
        <v>683</v>
      </c>
      <c r="Z10" s="4">
        <v>599</v>
      </c>
      <c r="AA10" s="4">
        <v>666</v>
      </c>
      <c r="AB10" s="4">
        <v>6</v>
      </c>
      <c r="AC10" s="4">
        <v>7</v>
      </c>
      <c r="AD10" s="4">
        <v>10</v>
      </c>
      <c r="AE10" s="4">
        <v>13</v>
      </c>
      <c r="AF10" s="4">
        <v>2</v>
      </c>
      <c r="AG10" s="4">
        <v>4</v>
      </c>
      <c r="AH10" s="4">
        <v>2</v>
      </c>
      <c r="AI10" s="4">
        <v>3</v>
      </c>
      <c r="AJ10" s="4">
        <v>4</v>
      </c>
      <c r="AK10" s="4">
        <v>5</v>
      </c>
      <c r="AL10" s="4">
        <v>4</v>
      </c>
      <c r="AM10" s="4">
        <v>5</v>
      </c>
      <c r="AN10" s="4">
        <v>0</v>
      </c>
      <c r="AO10" s="4">
        <v>0</v>
      </c>
      <c r="AP10" s="3" t="s">
        <v>58</v>
      </c>
      <c r="AQ10" s="3" t="s">
        <v>58</v>
      </c>
      <c r="AS10" s="6" t="str">
        <f>HYPERLINK("https://creighton-primo.hosted.exlibrisgroup.com/primo-explore/search?tab=default_tab&amp;search_scope=EVERYTHING&amp;vid=01CRU&amp;lang=en_US&amp;offset=0&amp;query=any,contains,991004839899702656","Catalog Record")</f>
        <v>Catalog Record</v>
      </c>
      <c r="AT10" s="6" t="str">
        <f>HYPERLINK("http://www.worldcat.org/oclc/62804701","WorldCat Record")</f>
        <v>WorldCat Record</v>
      </c>
      <c r="AU10" s="3" t="s">
        <v>195</v>
      </c>
      <c r="AV10" s="3" t="s">
        <v>196</v>
      </c>
      <c r="AW10" s="3" t="s">
        <v>197</v>
      </c>
      <c r="AX10" s="3" t="s">
        <v>197</v>
      </c>
      <c r="AY10" s="3" t="s">
        <v>198</v>
      </c>
      <c r="AZ10" s="3" t="s">
        <v>74</v>
      </c>
      <c r="BB10" s="3" t="s">
        <v>199</v>
      </c>
      <c r="BC10" s="3" t="s">
        <v>200</v>
      </c>
      <c r="BD10" s="3" t="s">
        <v>201</v>
      </c>
    </row>
    <row r="11" spans="1:56" ht="42.75" customHeight="1" x14ac:dyDescent="0.25">
      <c r="A11" s="7" t="s">
        <v>58</v>
      </c>
      <c r="B11" s="2" t="s">
        <v>202</v>
      </c>
      <c r="C11" s="2" t="s">
        <v>203</v>
      </c>
      <c r="D11" s="2" t="s">
        <v>204</v>
      </c>
      <c r="F11" s="3" t="s">
        <v>58</v>
      </c>
      <c r="G11" s="3" t="s">
        <v>59</v>
      </c>
      <c r="H11" s="3" t="s">
        <v>58</v>
      </c>
      <c r="I11" s="3" t="s">
        <v>58</v>
      </c>
      <c r="J11" s="3" t="s">
        <v>60</v>
      </c>
      <c r="K11" s="2" t="s">
        <v>205</v>
      </c>
      <c r="L11" s="2" t="s">
        <v>206</v>
      </c>
      <c r="M11" s="3" t="s">
        <v>207</v>
      </c>
      <c r="O11" s="3" t="s">
        <v>64</v>
      </c>
      <c r="P11" s="3" t="s">
        <v>208</v>
      </c>
      <c r="R11" s="3" t="s">
        <v>67</v>
      </c>
      <c r="S11" s="4">
        <v>2</v>
      </c>
      <c r="T11" s="4">
        <v>2</v>
      </c>
      <c r="U11" s="5" t="s">
        <v>209</v>
      </c>
      <c r="V11" s="5" t="s">
        <v>209</v>
      </c>
      <c r="W11" s="5" t="s">
        <v>210</v>
      </c>
      <c r="X11" s="5" t="s">
        <v>210</v>
      </c>
      <c r="Y11" s="4">
        <v>205</v>
      </c>
      <c r="Z11" s="4">
        <v>152</v>
      </c>
      <c r="AA11" s="4">
        <v>153</v>
      </c>
      <c r="AB11" s="4">
        <v>2</v>
      </c>
      <c r="AC11" s="4">
        <v>2</v>
      </c>
      <c r="AD11" s="4">
        <v>4</v>
      </c>
      <c r="AE11" s="4">
        <v>4</v>
      </c>
      <c r="AF11" s="4">
        <v>0</v>
      </c>
      <c r="AG11" s="4">
        <v>0</v>
      </c>
      <c r="AH11" s="4">
        <v>3</v>
      </c>
      <c r="AI11" s="4">
        <v>3</v>
      </c>
      <c r="AJ11" s="4">
        <v>1</v>
      </c>
      <c r="AK11" s="4">
        <v>1</v>
      </c>
      <c r="AL11" s="4">
        <v>1</v>
      </c>
      <c r="AM11" s="4">
        <v>1</v>
      </c>
      <c r="AN11" s="4">
        <v>0</v>
      </c>
      <c r="AO11" s="4">
        <v>0</v>
      </c>
      <c r="AP11" s="3" t="s">
        <v>58</v>
      </c>
      <c r="AQ11" s="3" t="s">
        <v>86</v>
      </c>
      <c r="AR11" s="6" t="str">
        <f>HYPERLINK("http://catalog.hathitrust.org/Record/000325631","HathiTrust Record")</f>
        <v>HathiTrust Record</v>
      </c>
      <c r="AS11" s="6" t="str">
        <f>HYPERLINK("https://creighton-primo.hosted.exlibrisgroup.com/primo-explore/search?tab=default_tab&amp;search_scope=EVERYTHING&amp;vid=01CRU&amp;lang=en_US&amp;offset=0&amp;query=any,contains,991005201189702656","Catalog Record")</f>
        <v>Catalog Record</v>
      </c>
      <c r="AT11" s="6" t="str">
        <f>HYPERLINK("http://www.worldcat.org/oclc/8082823","WorldCat Record")</f>
        <v>WorldCat Record</v>
      </c>
      <c r="AU11" s="3" t="s">
        <v>211</v>
      </c>
      <c r="AV11" s="3" t="s">
        <v>212</v>
      </c>
      <c r="AW11" s="3" t="s">
        <v>213</v>
      </c>
      <c r="AX11" s="3" t="s">
        <v>213</v>
      </c>
      <c r="AY11" s="3" t="s">
        <v>214</v>
      </c>
      <c r="AZ11" s="3" t="s">
        <v>74</v>
      </c>
      <c r="BB11" s="3" t="s">
        <v>215</v>
      </c>
      <c r="BC11" s="3" t="s">
        <v>216</v>
      </c>
      <c r="BD11" s="3" t="s">
        <v>217</v>
      </c>
    </row>
    <row r="12" spans="1:56" ht="42.75" customHeight="1" x14ac:dyDescent="0.25">
      <c r="A12" s="7" t="s">
        <v>58</v>
      </c>
      <c r="B12" s="2" t="s">
        <v>218</v>
      </c>
      <c r="C12" s="2" t="s">
        <v>219</v>
      </c>
      <c r="D12" s="2" t="s">
        <v>220</v>
      </c>
      <c r="F12" s="3" t="s">
        <v>58</v>
      </c>
      <c r="G12" s="3" t="s">
        <v>59</v>
      </c>
      <c r="H12" s="3" t="s">
        <v>58</v>
      </c>
      <c r="I12" s="3" t="s">
        <v>58</v>
      </c>
      <c r="J12" s="3" t="s">
        <v>60</v>
      </c>
      <c r="K12" s="2" t="s">
        <v>221</v>
      </c>
      <c r="L12" s="2" t="s">
        <v>222</v>
      </c>
      <c r="M12" s="3" t="s">
        <v>223</v>
      </c>
      <c r="O12" s="3" t="s">
        <v>64</v>
      </c>
      <c r="P12" s="3" t="s">
        <v>224</v>
      </c>
      <c r="R12" s="3" t="s">
        <v>67</v>
      </c>
      <c r="S12" s="4">
        <v>9</v>
      </c>
      <c r="T12" s="4">
        <v>9</v>
      </c>
      <c r="U12" s="5" t="s">
        <v>225</v>
      </c>
      <c r="V12" s="5" t="s">
        <v>225</v>
      </c>
      <c r="W12" s="5" t="s">
        <v>226</v>
      </c>
      <c r="X12" s="5" t="s">
        <v>226</v>
      </c>
      <c r="Y12" s="4">
        <v>292</v>
      </c>
      <c r="Z12" s="4">
        <v>245</v>
      </c>
      <c r="AA12" s="4">
        <v>736</v>
      </c>
      <c r="AB12" s="4">
        <v>2</v>
      </c>
      <c r="AC12" s="4">
        <v>6</v>
      </c>
      <c r="AD12" s="4">
        <v>8</v>
      </c>
      <c r="AE12" s="4">
        <v>34</v>
      </c>
      <c r="AF12" s="4">
        <v>1</v>
      </c>
      <c r="AG12" s="4">
        <v>12</v>
      </c>
      <c r="AH12" s="4">
        <v>4</v>
      </c>
      <c r="AI12" s="4">
        <v>10</v>
      </c>
      <c r="AJ12" s="4">
        <v>3</v>
      </c>
      <c r="AK12" s="4">
        <v>13</v>
      </c>
      <c r="AL12" s="4">
        <v>1</v>
      </c>
      <c r="AM12" s="4">
        <v>5</v>
      </c>
      <c r="AN12" s="4">
        <v>0</v>
      </c>
      <c r="AO12" s="4">
        <v>1</v>
      </c>
      <c r="AP12" s="3" t="s">
        <v>58</v>
      </c>
      <c r="AQ12" s="3" t="s">
        <v>58</v>
      </c>
      <c r="AS12" s="6" t="str">
        <f>HYPERLINK("https://creighton-primo.hosted.exlibrisgroup.com/primo-explore/search?tab=default_tab&amp;search_scope=EVERYTHING&amp;vid=01CRU&amp;lang=en_US&amp;offset=0&amp;query=any,contains,991004662339702656","Catalog Record")</f>
        <v>Catalog Record</v>
      </c>
      <c r="AT12" s="6" t="str">
        <f>HYPERLINK("http://www.worldcat.org/oclc/4497688","WorldCat Record")</f>
        <v>WorldCat Record</v>
      </c>
      <c r="AU12" s="3" t="s">
        <v>227</v>
      </c>
      <c r="AV12" s="3" t="s">
        <v>228</v>
      </c>
      <c r="AW12" s="3" t="s">
        <v>229</v>
      </c>
      <c r="AX12" s="3" t="s">
        <v>229</v>
      </c>
      <c r="AY12" s="3" t="s">
        <v>230</v>
      </c>
      <c r="AZ12" s="3" t="s">
        <v>74</v>
      </c>
      <c r="BB12" s="3" t="s">
        <v>231</v>
      </c>
      <c r="BC12" s="3" t="s">
        <v>232</v>
      </c>
      <c r="BD12" s="3" t="s">
        <v>233</v>
      </c>
    </row>
    <row r="13" spans="1:56" ht="42.75" customHeight="1" x14ac:dyDescent="0.25">
      <c r="A13" s="7" t="s">
        <v>58</v>
      </c>
      <c r="B13" s="2" t="s">
        <v>234</v>
      </c>
      <c r="C13" s="2" t="s">
        <v>235</v>
      </c>
      <c r="D13" s="2" t="s">
        <v>236</v>
      </c>
      <c r="F13" s="3" t="s">
        <v>58</v>
      </c>
      <c r="G13" s="3" t="s">
        <v>59</v>
      </c>
      <c r="H13" s="3" t="s">
        <v>58</v>
      </c>
      <c r="I13" s="3" t="s">
        <v>58</v>
      </c>
      <c r="J13" s="3" t="s">
        <v>60</v>
      </c>
      <c r="L13" s="2" t="s">
        <v>237</v>
      </c>
      <c r="M13" s="3" t="s">
        <v>238</v>
      </c>
      <c r="O13" s="3" t="s">
        <v>64</v>
      </c>
      <c r="P13" s="3" t="s">
        <v>239</v>
      </c>
      <c r="Q13" s="2" t="s">
        <v>240</v>
      </c>
      <c r="R13" s="3" t="s">
        <v>67</v>
      </c>
      <c r="S13" s="4">
        <v>1</v>
      </c>
      <c r="T13" s="4">
        <v>1</v>
      </c>
      <c r="U13" s="5" t="s">
        <v>241</v>
      </c>
      <c r="V13" s="5" t="s">
        <v>241</v>
      </c>
      <c r="W13" s="5" t="s">
        <v>210</v>
      </c>
      <c r="X13" s="5" t="s">
        <v>210</v>
      </c>
      <c r="Y13" s="4">
        <v>87</v>
      </c>
      <c r="Z13" s="4">
        <v>43</v>
      </c>
      <c r="AA13" s="4">
        <v>68</v>
      </c>
      <c r="AB13" s="4">
        <v>2</v>
      </c>
      <c r="AC13" s="4">
        <v>2</v>
      </c>
      <c r="AD13" s="4">
        <v>1</v>
      </c>
      <c r="AE13" s="4">
        <v>2</v>
      </c>
      <c r="AF13" s="4">
        <v>0</v>
      </c>
      <c r="AG13" s="4">
        <v>1</v>
      </c>
      <c r="AH13" s="4">
        <v>0</v>
      </c>
      <c r="AI13" s="4">
        <v>0</v>
      </c>
      <c r="AJ13" s="4">
        <v>0</v>
      </c>
      <c r="AK13" s="4">
        <v>1</v>
      </c>
      <c r="AL13" s="4">
        <v>1</v>
      </c>
      <c r="AM13" s="4">
        <v>1</v>
      </c>
      <c r="AN13" s="4">
        <v>0</v>
      </c>
      <c r="AO13" s="4">
        <v>0</v>
      </c>
      <c r="AP13" s="3" t="s">
        <v>58</v>
      </c>
      <c r="AQ13" s="3" t="s">
        <v>86</v>
      </c>
      <c r="AR13" s="6" t="str">
        <f>HYPERLINK("http://catalog.hathitrust.org/Record/010071673","HathiTrust Record")</f>
        <v>HathiTrust Record</v>
      </c>
      <c r="AS13" s="6" t="str">
        <f>HYPERLINK("https://creighton-primo.hosted.exlibrisgroup.com/primo-explore/search?tab=default_tab&amp;search_scope=EVERYTHING&amp;vid=01CRU&amp;lang=en_US&amp;offset=0&amp;query=any,contains,991004858369702656","Catalog Record")</f>
        <v>Catalog Record</v>
      </c>
      <c r="AT13" s="6" t="str">
        <f>HYPERLINK("http://www.worldcat.org/oclc/5677171","WorldCat Record")</f>
        <v>WorldCat Record</v>
      </c>
      <c r="AU13" s="3" t="s">
        <v>242</v>
      </c>
      <c r="AV13" s="3" t="s">
        <v>243</v>
      </c>
      <c r="AW13" s="3" t="s">
        <v>244</v>
      </c>
      <c r="AX13" s="3" t="s">
        <v>244</v>
      </c>
      <c r="AY13" s="3" t="s">
        <v>245</v>
      </c>
      <c r="AZ13" s="3" t="s">
        <v>74</v>
      </c>
      <c r="BB13" s="3" t="s">
        <v>246</v>
      </c>
      <c r="BC13" s="3" t="s">
        <v>247</v>
      </c>
      <c r="BD13" s="3" t="s">
        <v>248</v>
      </c>
    </row>
    <row r="14" spans="1:56" ht="42.75" customHeight="1" x14ac:dyDescent="0.25">
      <c r="A14" s="7" t="s">
        <v>58</v>
      </c>
      <c r="B14" s="2" t="s">
        <v>249</v>
      </c>
      <c r="C14" s="2" t="s">
        <v>250</v>
      </c>
      <c r="D14" s="2" t="s">
        <v>251</v>
      </c>
      <c r="E14" s="3" t="s">
        <v>252</v>
      </c>
      <c r="F14" s="3" t="s">
        <v>58</v>
      </c>
      <c r="G14" s="3" t="s">
        <v>59</v>
      </c>
      <c r="H14" s="3" t="s">
        <v>58</v>
      </c>
      <c r="I14" s="3" t="s">
        <v>58</v>
      </c>
      <c r="J14" s="3" t="s">
        <v>60</v>
      </c>
      <c r="L14" s="2" t="s">
        <v>253</v>
      </c>
      <c r="M14" s="3" t="s">
        <v>238</v>
      </c>
      <c r="O14" s="3" t="s">
        <v>64</v>
      </c>
      <c r="P14" s="3" t="s">
        <v>254</v>
      </c>
      <c r="Q14" s="2" t="s">
        <v>255</v>
      </c>
      <c r="R14" s="3" t="s">
        <v>67</v>
      </c>
      <c r="S14" s="4">
        <v>3</v>
      </c>
      <c r="T14" s="4">
        <v>3</v>
      </c>
      <c r="U14" s="5" t="s">
        <v>256</v>
      </c>
      <c r="V14" s="5" t="s">
        <v>256</v>
      </c>
      <c r="W14" s="5" t="s">
        <v>210</v>
      </c>
      <c r="X14" s="5" t="s">
        <v>210</v>
      </c>
      <c r="Y14" s="4">
        <v>145</v>
      </c>
      <c r="Z14" s="4">
        <v>112</v>
      </c>
      <c r="AA14" s="4">
        <v>113</v>
      </c>
      <c r="AB14" s="4">
        <v>1</v>
      </c>
      <c r="AC14" s="4">
        <v>1</v>
      </c>
      <c r="AD14" s="4">
        <v>0</v>
      </c>
      <c r="AE14" s="4">
        <v>0</v>
      </c>
      <c r="AF14" s="4">
        <v>0</v>
      </c>
      <c r="AG14" s="4">
        <v>0</v>
      </c>
      <c r="AH14" s="4">
        <v>0</v>
      </c>
      <c r="AI14" s="4">
        <v>0</v>
      </c>
      <c r="AJ14" s="4">
        <v>0</v>
      </c>
      <c r="AK14" s="4">
        <v>0</v>
      </c>
      <c r="AL14" s="4">
        <v>0</v>
      </c>
      <c r="AM14" s="4">
        <v>0</v>
      </c>
      <c r="AN14" s="4">
        <v>0</v>
      </c>
      <c r="AO14" s="4">
        <v>0</v>
      </c>
      <c r="AP14" s="3" t="s">
        <v>58</v>
      </c>
      <c r="AQ14" s="3" t="s">
        <v>86</v>
      </c>
      <c r="AR14" s="6" t="str">
        <f>HYPERLINK("http://catalog.hathitrust.org/Record/010376719","HathiTrust Record")</f>
        <v>HathiTrust Record</v>
      </c>
      <c r="AS14" s="6" t="str">
        <f>HYPERLINK("https://creighton-primo.hosted.exlibrisgroup.com/primo-explore/search?tab=default_tab&amp;search_scope=EVERYTHING&amp;vid=01CRU&amp;lang=en_US&amp;offset=0&amp;query=any,contains,991004967339702656","Catalog Record")</f>
        <v>Catalog Record</v>
      </c>
      <c r="AT14" s="6" t="str">
        <f>HYPERLINK("http://www.worldcat.org/oclc/6344693","WorldCat Record")</f>
        <v>WorldCat Record</v>
      </c>
      <c r="AU14" s="3" t="s">
        <v>257</v>
      </c>
      <c r="AV14" s="3" t="s">
        <v>258</v>
      </c>
      <c r="AW14" s="3" t="s">
        <v>259</v>
      </c>
      <c r="AX14" s="3" t="s">
        <v>259</v>
      </c>
      <c r="AY14" s="3" t="s">
        <v>260</v>
      </c>
      <c r="AZ14" s="3" t="s">
        <v>74</v>
      </c>
      <c r="BB14" s="3" t="s">
        <v>261</v>
      </c>
      <c r="BC14" s="3" t="s">
        <v>262</v>
      </c>
      <c r="BD14" s="3" t="s">
        <v>263</v>
      </c>
    </row>
    <row r="15" spans="1:56" ht="42.75" customHeight="1" x14ac:dyDescent="0.25">
      <c r="A15" s="7" t="s">
        <v>58</v>
      </c>
      <c r="B15" s="2" t="s">
        <v>264</v>
      </c>
      <c r="C15" s="2" t="s">
        <v>265</v>
      </c>
      <c r="D15" s="2" t="s">
        <v>266</v>
      </c>
      <c r="F15" s="3" t="s">
        <v>58</v>
      </c>
      <c r="G15" s="3" t="s">
        <v>59</v>
      </c>
      <c r="H15" s="3" t="s">
        <v>58</v>
      </c>
      <c r="I15" s="3" t="s">
        <v>58</v>
      </c>
      <c r="J15" s="3" t="s">
        <v>60</v>
      </c>
      <c r="K15" s="2" t="s">
        <v>267</v>
      </c>
      <c r="L15" s="2" t="s">
        <v>268</v>
      </c>
      <c r="M15" s="3" t="s">
        <v>269</v>
      </c>
      <c r="O15" s="3" t="s">
        <v>64</v>
      </c>
      <c r="P15" s="3" t="s">
        <v>65</v>
      </c>
      <c r="Q15" s="2" t="s">
        <v>270</v>
      </c>
      <c r="R15" s="3" t="s">
        <v>67</v>
      </c>
      <c r="S15" s="4">
        <v>2</v>
      </c>
      <c r="T15" s="4">
        <v>2</v>
      </c>
      <c r="U15" s="5" t="s">
        <v>271</v>
      </c>
      <c r="V15" s="5" t="s">
        <v>271</v>
      </c>
      <c r="W15" s="5" t="s">
        <v>272</v>
      </c>
      <c r="X15" s="5" t="s">
        <v>272</v>
      </c>
      <c r="Y15" s="4">
        <v>286</v>
      </c>
      <c r="Z15" s="4">
        <v>169</v>
      </c>
      <c r="AA15" s="4">
        <v>178</v>
      </c>
      <c r="AB15" s="4">
        <v>2</v>
      </c>
      <c r="AC15" s="4">
        <v>2</v>
      </c>
      <c r="AD15" s="4">
        <v>1</v>
      </c>
      <c r="AE15" s="4">
        <v>1</v>
      </c>
      <c r="AF15" s="4">
        <v>0</v>
      </c>
      <c r="AG15" s="4">
        <v>0</v>
      </c>
      <c r="AH15" s="4">
        <v>0</v>
      </c>
      <c r="AI15" s="4">
        <v>0</v>
      </c>
      <c r="AJ15" s="4">
        <v>0</v>
      </c>
      <c r="AK15" s="4">
        <v>0</v>
      </c>
      <c r="AL15" s="4">
        <v>1</v>
      </c>
      <c r="AM15" s="4">
        <v>1</v>
      </c>
      <c r="AN15" s="4">
        <v>0</v>
      </c>
      <c r="AO15" s="4">
        <v>0</v>
      </c>
      <c r="AP15" s="3" t="s">
        <v>58</v>
      </c>
      <c r="AQ15" s="3" t="s">
        <v>86</v>
      </c>
      <c r="AR15" s="6" t="str">
        <f>HYPERLINK("http://catalog.hathitrust.org/Record/006182720","HathiTrust Record")</f>
        <v>HathiTrust Record</v>
      </c>
      <c r="AS15" s="6" t="str">
        <f>HYPERLINK("https://creighton-primo.hosted.exlibrisgroup.com/primo-explore/search?tab=default_tab&amp;search_scope=EVERYTHING&amp;vid=01CRU&amp;lang=en_US&amp;offset=0&amp;query=any,contains,991000188309702656","Catalog Record")</f>
        <v>Catalog Record</v>
      </c>
      <c r="AT15" s="6" t="str">
        <f>HYPERLINK("http://www.worldcat.org/oclc/63116","WorldCat Record")</f>
        <v>WorldCat Record</v>
      </c>
      <c r="AU15" s="3" t="s">
        <v>273</v>
      </c>
      <c r="AV15" s="3" t="s">
        <v>274</v>
      </c>
      <c r="AW15" s="3" t="s">
        <v>275</v>
      </c>
      <c r="AX15" s="3" t="s">
        <v>275</v>
      </c>
      <c r="AY15" s="3" t="s">
        <v>276</v>
      </c>
      <c r="AZ15" s="3" t="s">
        <v>74</v>
      </c>
      <c r="BB15" s="3" t="s">
        <v>277</v>
      </c>
      <c r="BC15" s="3" t="s">
        <v>278</v>
      </c>
      <c r="BD15" s="3" t="s">
        <v>279</v>
      </c>
    </row>
    <row r="16" spans="1:56" ht="42.75" customHeight="1" x14ac:dyDescent="0.25">
      <c r="A16" s="7" t="s">
        <v>58</v>
      </c>
      <c r="B16" s="2" t="s">
        <v>280</v>
      </c>
      <c r="C16" s="2" t="s">
        <v>281</v>
      </c>
      <c r="D16" s="2" t="s">
        <v>282</v>
      </c>
      <c r="F16" s="3" t="s">
        <v>58</v>
      </c>
      <c r="G16" s="3" t="s">
        <v>59</v>
      </c>
      <c r="H16" s="3" t="s">
        <v>58</v>
      </c>
      <c r="I16" s="3" t="s">
        <v>86</v>
      </c>
      <c r="J16" s="3" t="s">
        <v>60</v>
      </c>
      <c r="K16" s="2" t="s">
        <v>283</v>
      </c>
      <c r="L16" s="2" t="s">
        <v>284</v>
      </c>
      <c r="M16" s="3" t="s">
        <v>285</v>
      </c>
      <c r="O16" s="3" t="s">
        <v>64</v>
      </c>
      <c r="P16" s="3" t="s">
        <v>115</v>
      </c>
      <c r="R16" s="3" t="s">
        <v>67</v>
      </c>
      <c r="S16" s="4">
        <v>2</v>
      </c>
      <c r="T16" s="4">
        <v>2</v>
      </c>
      <c r="U16" s="5" t="s">
        <v>286</v>
      </c>
      <c r="V16" s="5" t="s">
        <v>286</v>
      </c>
      <c r="W16" s="5" t="s">
        <v>287</v>
      </c>
      <c r="X16" s="5" t="s">
        <v>287</v>
      </c>
      <c r="Y16" s="4">
        <v>106</v>
      </c>
      <c r="Z16" s="4">
        <v>88</v>
      </c>
      <c r="AA16" s="4">
        <v>529</v>
      </c>
      <c r="AB16" s="4">
        <v>2</v>
      </c>
      <c r="AC16" s="4">
        <v>5</v>
      </c>
      <c r="AD16" s="4">
        <v>4</v>
      </c>
      <c r="AE16" s="4">
        <v>15</v>
      </c>
      <c r="AF16" s="4">
        <v>2</v>
      </c>
      <c r="AG16" s="4">
        <v>5</v>
      </c>
      <c r="AH16" s="4">
        <v>0</v>
      </c>
      <c r="AI16" s="4">
        <v>3</v>
      </c>
      <c r="AJ16" s="4">
        <v>2</v>
      </c>
      <c r="AK16" s="4">
        <v>9</v>
      </c>
      <c r="AL16" s="4">
        <v>1</v>
      </c>
      <c r="AM16" s="4">
        <v>2</v>
      </c>
      <c r="AN16" s="4">
        <v>0</v>
      </c>
      <c r="AO16" s="4">
        <v>0</v>
      </c>
      <c r="AP16" s="3" t="s">
        <v>58</v>
      </c>
      <c r="AQ16" s="3" t="s">
        <v>86</v>
      </c>
      <c r="AR16" s="6" t="str">
        <f>HYPERLINK("http://catalog.hathitrust.org/Record/001562026","HathiTrust Record")</f>
        <v>HathiTrust Record</v>
      </c>
      <c r="AS16" s="6" t="str">
        <f>HYPERLINK("https://creighton-primo.hosted.exlibrisgroup.com/primo-explore/search?tab=default_tab&amp;search_scope=EVERYTHING&amp;vid=01CRU&amp;lang=en_US&amp;offset=0&amp;query=any,contains,991002390009702656","Catalog Record")</f>
        <v>Catalog Record</v>
      </c>
      <c r="AT16" s="6" t="str">
        <f>HYPERLINK("http://www.worldcat.org/oclc/331902","WorldCat Record")</f>
        <v>WorldCat Record</v>
      </c>
      <c r="AU16" s="3" t="s">
        <v>288</v>
      </c>
      <c r="AV16" s="3" t="s">
        <v>289</v>
      </c>
      <c r="AW16" s="3" t="s">
        <v>290</v>
      </c>
      <c r="AX16" s="3" t="s">
        <v>290</v>
      </c>
      <c r="AY16" s="3" t="s">
        <v>291</v>
      </c>
      <c r="AZ16" s="3" t="s">
        <v>74</v>
      </c>
      <c r="BC16" s="3" t="s">
        <v>292</v>
      </c>
      <c r="BD16" s="3" t="s">
        <v>293</v>
      </c>
    </row>
    <row r="17" spans="1:56" ht="42.75" customHeight="1" x14ac:dyDescent="0.25">
      <c r="A17" s="7" t="s">
        <v>58</v>
      </c>
      <c r="B17" s="2" t="s">
        <v>294</v>
      </c>
      <c r="C17" s="2" t="s">
        <v>295</v>
      </c>
      <c r="D17" s="2" t="s">
        <v>296</v>
      </c>
      <c r="F17" s="3" t="s">
        <v>58</v>
      </c>
      <c r="G17" s="3" t="s">
        <v>59</v>
      </c>
      <c r="H17" s="3" t="s">
        <v>58</v>
      </c>
      <c r="I17" s="3" t="s">
        <v>58</v>
      </c>
      <c r="J17" s="3" t="s">
        <v>60</v>
      </c>
      <c r="K17" s="2" t="s">
        <v>297</v>
      </c>
      <c r="L17" s="2" t="s">
        <v>298</v>
      </c>
      <c r="M17" s="3" t="s">
        <v>299</v>
      </c>
      <c r="N17" s="2" t="s">
        <v>300</v>
      </c>
      <c r="O17" s="3" t="s">
        <v>64</v>
      </c>
      <c r="P17" s="3" t="s">
        <v>115</v>
      </c>
      <c r="R17" s="3" t="s">
        <v>67</v>
      </c>
      <c r="S17" s="4">
        <v>2</v>
      </c>
      <c r="T17" s="4">
        <v>2</v>
      </c>
      <c r="U17" s="5" t="s">
        <v>301</v>
      </c>
      <c r="V17" s="5" t="s">
        <v>301</v>
      </c>
      <c r="W17" s="5" t="s">
        <v>302</v>
      </c>
      <c r="X17" s="5" t="s">
        <v>302</v>
      </c>
      <c r="Y17" s="4">
        <v>585</v>
      </c>
      <c r="Z17" s="4">
        <v>417</v>
      </c>
      <c r="AA17" s="4">
        <v>565</v>
      </c>
      <c r="AB17" s="4">
        <v>2</v>
      </c>
      <c r="AC17" s="4">
        <v>3</v>
      </c>
      <c r="AD17" s="4">
        <v>14</v>
      </c>
      <c r="AE17" s="4">
        <v>19</v>
      </c>
      <c r="AF17" s="4">
        <v>5</v>
      </c>
      <c r="AG17" s="4">
        <v>6</v>
      </c>
      <c r="AH17" s="4">
        <v>3</v>
      </c>
      <c r="AI17" s="4">
        <v>4</v>
      </c>
      <c r="AJ17" s="4">
        <v>8</v>
      </c>
      <c r="AK17" s="4">
        <v>11</v>
      </c>
      <c r="AL17" s="4">
        <v>1</v>
      </c>
      <c r="AM17" s="4">
        <v>2</v>
      </c>
      <c r="AN17" s="4">
        <v>0</v>
      </c>
      <c r="AO17" s="4">
        <v>0</v>
      </c>
      <c r="AP17" s="3" t="s">
        <v>58</v>
      </c>
      <c r="AQ17" s="3" t="s">
        <v>86</v>
      </c>
      <c r="AR17" s="6" t="str">
        <f>HYPERLINK("http://catalog.hathitrust.org/Record/001577863","HathiTrust Record")</f>
        <v>HathiTrust Record</v>
      </c>
      <c r="AS17" s="6" t="str">
        <f>HYPERLINK("https://creighton-primo.hosted.exlibrisgroup.com/primo-explore/search?tab=default_tab&amp;search_scope=EVERYTHING&amp;vid=01CRU&amp;lang=en_US&amp;offset=0&amp;query=any,contains,991005264319702656","Catalog Record")</f>
        <v>Catalog Record</v>
      </c>
      <c r="AT17" s="6" t="str">
        <f>HYPERLINK("http://www.worldcat.org/oclc/907772","WorldCat Record")</f>
        <v>WorldCat Record</v>
      </c>
      <c r="AU17" s="3" t="s">
        <v>303</v>
      </c>
      <c r="AV17" s="3" t="s">
        <v>304</v>
      </c>
      <c r="AW17" s="3" t="s">
        <v>305</v>
      </c>
      <c r="AX17" s="3" t="s">
        <v>305</v>
      </c>
      <c r="AY17" s="3" t="s">
        <v>306</v>
      </c>
      <c r="AZ17" s="3" t="s">
        <v>74</v>
      </c>
      <c r="BC17" s="3" t="s">
        <v>307</v>
      </c>
      <c r="BD17" s="3" t="s">
        <v>308</v>
      </c>
    </row>
    <row r="18" spans="1:56" ht="42.75" customHeight="1" x14ac:dyDescent="0.25">
      <c r="A18" s="7" t="s">
        <v>58</v>
      </c>
      <c r="B18" s="2" t="s">
        <v>309</v>
      </c>
      <c r="C18" s="2" t="s">
        <v>310</v>
      </c>
      <c r="D18" s="2" t="s">
        <v>311</v>
      </c>
      <c r="F18" s="3" t="s">
        <v>58</v>
      </c>
      <c r="G18" s="3" t="s">
        <v>59</v>
      </c>
      <c r="H18" s="3" t="s">
        <v>58</v>
      </c>
      <c r="I18" s="3" t="s">
        <v>58</v>
      </c>
      <c r="J18" s="3" t="s">
        <v>60</v>
      </c>
      <c r="K18" s="2" t="s">
        <v>312</v>
      </c>
      <c r="L18" s="2" t="s">
        <v>313</v>
      </c>
      <c r="M18" s="3" t="s">
        <v>314</v>
      </c>
      <c r="N18" s="2" t="s">
        <v>315</v>
      </c>
      <c r="O18" s="3" t="s">
        <v>64</v>
      </c>
      <c r="P18" s="3" t="s">
        <v>316</v>
      </c>
      <c r="R18" s="3" t="s">
        <v>67</v>
      </c>
      <c r="S18" s="4">
        <v>2</v>
      </c>
      <c r="T18" s="4">
        <v>2</v>
      </c>
      <c r="U18" s="5" t="s">
        <v>317</v>
      </c>
      <c r="V18" s="5" t="s">
        <v>317</v>
      </c>
      <c r="W18" s="5" t="s">
        <v>272</v>
      </c>
      <c r="X18" s="5" t="s">
        <v>272</v>
      </c>
      <c r="Y18" s="4">
        <v>288</v>
      </c>
      <c r="Z18" s="4">
        <v>243</v>
      </c>
      <c r="AA18" s="4">
        <v>661</v>
      </c>
      <c r="AB18" s="4">
        <v>4</v>
      </c>
      <c r="AC18" s="4">
        <v>5</v>
      </c>
      <c r="AD18" s="4">
        <v>7</v>
      </c>
      <c r="AE18" s="4">
        <v>24</v>
      </c>
      <c r="AF18" s="4">
        <v>1</v>
      </c>
      <c r="AG18" s="4">
        <v>8</v>
      </c>
      <c r="AH18" s="4">
        <v>1</v>
      </c>
      <c r="AI18" s="4">
        <v>5</v>
      </c>
      <c r="AJ18" s="4">
        <v>4</v>
      </c>
      <c r="AK18" s="4">
        <v>15</v>
      </c>
      <c r="AL18" s="4">
        <v>3</v>
      </c>
      <c r="AM18" s="4">
        <v>4</v>
      </c>
      <c r="AN18" s="4">
        <v>0</v>
      </c>
      <c r="AO18" s="4">
        <v>0</v>
      </c>
      <c r="AP18" s="3" t="s">
        <v>58</v>
      </c>
      <c r="AQ18" s="3" t="s">
        <v>86</v>
      </c>
      <c r="AR18" s="6" t="str">
        <f>HYPERLINK("http://catalog.hathitrust.org/Record/001562041","HathiTrust Record")</f>
        <v>HathiTrust Record</v>
      </c>
      <c r="AS18" s="6" t="str">
        <f>HYPERLINK("https://creighton-primo.hosted.exlibrisgroup.com/primo-explore/search?tab=default_tab&amp;search_scope=EVERYTHING&amp;vid=01CRU&amp;lang=en_US&amp;offset=0&amp;query=any,contains,991002339069702656","Catalog Record")</f>
        <v>Catalog Record</v>
      </c>
      <c r="AT18" s="6" t="str">
        <f>HYPERLINK("http://www.worldcat.org/oclc/323412","WorldCat Record")</f>
        <v>WorldCat Record</v>
      </c>
      <c r="AU18" s="3" t="s">
        <v>318</v>
      </c>
      <c r="AV18" s="3" t="s">
        <v>319</v>
      </c>
      <c r="AW18" s="3" t="s">
        <v>320</v>
      </c>
      <c r="AX18" s="3" t="s">
        <v>320</v>
      </c>
      <c r="AY18" s="3" t="s">
        <v>321</v>
      </c>
      <c r="AZ18" s="3" t="s">
        <v>74</v>
      </c>
      <c r="BC18" s="3" t="s">
        <v>322</v>
      </c>
      <c r="BD18" s="3" t="s">
        <v>323</v>
      </c>
    </row>
    <row r="19" spans="1:56" ht="42.75" customHeight="1" x14ac:dyDescent="0.25">
      <c r="A19" s="7" t="s">
        <v>58</v>
      </c>
      <c r="B19" s="2" t="s">
        <v>324</v>
      </c>
      <c r="C19" s="2" t="s">
        <v>325</v>
      </c>
      <c r="D19" s="2" t="s">
        <v>326</v>
      </c>
      <c r="F19" s="3" t="s">
        <v>58</v>
      </c>
      <c r="G19" s="3" t="s">
        <v>59</v>
      </c>
      <c r="H19" s="3" t="s">
        <v>58</v>
      </c>
      <c r="I19" s="3" t="s">
        <v>58</v>
      </c>
      <c r="J19" s="3" t="s">
        <v>60</v>
      </c>
      <c r="K19" s="2" t="s">
        <v>327</v>
      </c>
      <c r="L19" s="2" t="s">
        <v>328</v>
      </c>
      <c r="M19" s="3" t="s">
        <v>329</v>
      </c>
      <c r="N19" s="2" t="s">
        <v>330</v>
      </c>
      <c r="O19" s="3" t="s">
        <v>64</v>
      </c>
      <c r="P19" s="3" t="s">
        <v>65</v>
      </c>
      <c r="R19" s="3" t="s">
        <v>67</v>
      </c>
      <c r="S19" s="4">
        <v>1</v>
      </c>
      <c r="T19" s="4">
        <v>1</v>
      </c>
      <c r="U19" s="5" t="s">
        <v>331</v>
      </c>
      <c r="V19" s="5" t="s">
        <v>331</v>
      </c>
      <c r="W19" s="5" t="s">
        <v>272</v>
      </c>
      <c r="X19" s="5" t="s">
        <v>272</v>
      </c>
      <c r="Y19" s="4">
        <v>149</v>
      </c>
      <c r="Z19" s="4">
        <v>132</v>
      </c>
      <c r="AA19" s="4">
        <v>142</v>
      </c>
      <c r="AB19" s="4">
        <v>2</v>
      </c>
      <c r="AC19" s="4">
        <v>2</v>
      </c>
      <c r="AD19" s="4">
        <v>6</v>
      </c>
      <c r="AE19" s="4">
        <v>6</v>
      </c>
      <c r="AF19" s="4">
        <v>3</v>
      </c>
      <c r="AG19" s="4">
        <v>3</v>
      </c>
      <c r="AH19" s="4">
        <v>2</v>
      </c>
      <c r="AI19" s="4">
        <v>2</v>
      </c>
      <c r="AJ19" s="4">
        <v>2</v>
      </c>
      <c r="AK19" s="4">
        <v>2</v>
      </c>
      <c r="AL19" s="4">
        <v>1</v>
      </c>
      <c r="AM19" s="4">
        <v>1</v>
      </c>
      <c r="AN19" s="4">
        <v>0</v>
      </c>
      <c r="AO19" s="4">
        <v>0</v>
      </c>
      <c r="AP19" s="3" t="s">
        <v>58</v>
      </c>
      <c r="AQ19" s="3" t="s">
        <v>86</v>
      </c>
      <c r="AR19" s="6" t="str">
        <f>HYPERLINK("http://catalog.hathitrust.org/Record/001562102","HathiTrust Record")</f>
        <v>HathiTrust Record</v>
      </c>
      <c r="AS19" s="6" t="str">
        <f>HYPERLINK("https://creighton-primo.hosted.exlibrisgroup.com/primo-explore/search?tab=default_tab&amp;search_scope=EVERYTHING&amp;vid=01CRU&amp;lang=en_US&amp;offset=0&amp;query=any,contains,991003377099702656","Catalog Record")</f>
        <v>Catalog Record</v>
      </c>
      <c r="AT19" s="6" t="str">
        <f>HYPERLINK("http://www.worldcat.org/oclc/914137","WorldCat Record")</f>
        <v>WorldCat Record</v>
      </c>
      <c r="AU19" s="3" t="s">
        <v>332</v>
      </c>
      <c r="AV19" s="3" t="s">
        <v>333</v>
      </c>
      <c r="AW19" s="3" t="s">
        <v>334</v>
      </c>
      <c r="AX19" s="3" t="s">
        <v>334</v>
      </c>
      <c r="AY19" s="3" t="s">
        <v>335</v>
      </c>
      <c r="AZ19" s="3" t="s">
        <v>74</v>
      </c>
      <c r="BC19" s="3" t="s">
        <v>336</v>
      </c>
      <c r="BD19" s="3" t="s">
        <v>337</v>
      </c>
    </row>
    <row r="20" spans="1:56" ht="42.75" customHeight="1" x14ac:dyDescent="0.25">
      <c r="A20" s="7" t="s">
        <v>58</v>
      </c>
      <c r="B20" s="2" t="s">
        <v>338</v>
      </c>
      <c r="C20" s="2" t="s">
        <v>339</v>
      </c>
      <c r="D20" s="2" t="s">
        <v>340</v>
      </c>
      <c r="E20" s="3" t="s">
        <v>341</v>
      </c>
      <c r="F20" s="3" t="s">
        <v>86</v>
      </c>
      <c r="G20" s="3" t="s">
        <v>59</v>
      </c>
      <c r="H20" s="3" t="s">
        <v>58</v>
      </c>
      <c r="I20" s="3" t="s">
        <v>58</v>
      </c>
      <c r="J20" s="3" t="s">
        <v>60</v>
      </c>
      <c r="K20" s="2" t="s">
        <v>342</v>
      </c>
      <c r="L20" s="2" t="s">
        <v>343</v>
      </c>
      <c r="M20" s="3" t="s">
        <v>344</v>
      </c>
      <c r="O20" s="3" t="s">
        <v>64</v>
      </c>
      <c r="P20" s="3" t="s">
        <v>254</v>
      </c>
      <c r="R20" s="3" t="s">
        <v>67</v>
      </c>
      <c r="S20" s="4">
        <v>3</v>
      </c>
      <c r="T20" s="4">
        <v>6</v>
      </c>
      <c r="U20" s="5" t="s">
        <v>286</v>
      </c>
      <c r="V20" s="5" t="s">
        <v>345</v>
      </c>
      <c r="W20" s="5" t="s">
        <v>210</v>
      </c>
      <c r="X20" s="5" t="s">
        <v>210</v>
      </c>
      <c r="Y20" s="4">
        <v>219</v>
      </c>
      <c r="Z20" s="4">
        <v>158</v>
      </c>
      <c r="AA20" s="4">
        <v>158</v>
      </c>
      <c r="AB20" s="4">
        <v>2</v>
      </c>
      <c r="AC20" s="4">
        <v>2</v>
      </c>
      <c r="AD20" s="4">
        <v>3</v>
      </c>
      <c r="AE20" s="4">
        <v>3</v>
      </c>
      <c r="AF20" s="4">
        <v>1</v>
      </c>
      <c r="AG20" s="4">
        <v>1</v>
      </c>
      <c r="AH20" s="4">
        <v>2</v>
      </c>
      <c r="AI20" s="4">
        <v>2</v>
      </c>
      <c r="AJ20" s="4">
        <v>0</v>
      </c>
      <c r="AK20" s="4">
        <v>0</v>
      </c>
      <c r="AL20" s="4">
        <v>1</v>
      </c>
      <c r="AM20" s="4">
        <v>1</v>
      </c>
      <c r="AN20" s="4">
        <v>0</v>
      </c>
      <c r="AO20" s="4">
        <v>0</v>
      </c>
      <c r="AP20" s="3" t="s">
        <v>58</v>
      </c>
      <c r="AQ20" s="3" t="s">
        <v>58</v>
      </c>
      <c r="AS20" s="6" t="str">
        <f>HYPERLINK("https://creighton-primo.hosted.exlibrisgroup.com/primo-explore/search?tab=default_tab&amp;search_scope=EVERYTHING&amp;vid=01CRU&amp;lang=en_US&amp;offset=0&amp;query=any,contains,991004766159702656","Catalog Record")</f>
        <v>Catalog Record</v>
      </c>
      <c r="AT20" s="6" t="str">
        <f>HYPERLINK("http://www.worldcat.org/oclc/5029368","WorldCat Record")</f>
        <v>WorldCat Record</v>
      </c>
      <c r="AU20" s="3" t="s">
        <v>346</v>
      </c>
      <c r="AV20" s="3" t="s">
        <v>347</v>
      </c>
      <c r="AW20" s="3" t="s">
        <v>348</v>
      </c>
      <c r="AX20" s="3" t="s">
        <v>348</v>
      </c>
      <c r="AY20" s="3" t="s">
        <v>349</v>
      </c>
      <c r="AZ20" s="3" t="s">
        <v>74</v>
      </c>
      <c r="BB20" s="3" t="s">
        <v>350</v>
      </c>
      <c r="BC20" s="3" t="s">
        <v>351</v>
      </c>
      <c r="BD20" s="3" t="s">
        <v>352</v>
      </c>
    </row>
    <row r="21" spans="1:56" ht="42.75" customHeight="1" x14ac:dyDescent="0.25">
      <c r="A21" s="7" t="s">
        <v>58</v>
      </c>
      <c r="B21" s="2" t="s">
        <v>338</v>
      </c>
      <c r="C21" s="2" t="s">
        <v>339</v>
      </c>
      <c r="D21" s="2" t="s">
        <v>340</v>
      </c>
      <c r="E21" s="3" t="s">
        <v>252</v>
      </c>
      <c r="F21" s="3" t="s">
        <v>86</v>
      </c>
      <c r="G21" s="3" t="s">
        <v>59</v>
      </c>
      <c r="H21" s="3" t="s">
        <v>58</v>
      </c>
      <c r="I21" s="3" t="s">
        <v>58</v>
      </c>
      <c r="J21" s="3" t="s">
        <v>60</v>
      </c>
      <c r="K21" s="2" t="s">
        <v>342</v>
      </c>
      <c r="L21" s="2" t="s">
        <v>343</v>
      </c>
      <c r="M21" s="3" t="s">
        <v>344</v>
      </c>
      <c r="O21" s="3" t="s">
        <v>64</v>
      </c>
      <c r="P21" s="3" t="s">
        <v>254</v>
      </c>
      <c r="R21" s="3" t="s">
        <v>67</v>
      </c>
      <c r="S21" s="4">
        <v>3</v>
      </c>
      <c r="T21" s="4">
        <v>6</v>
      </c>
      <c r="U21" s="5" t="s">
        <v>345</v>
      </c>
      <c r="V21" s="5" t="s">
        <v>345</v>
      </c>
      <c r="W21" s="5" t="s">
        <v>210</v>
      </c>
      <c r="X21" s="5" t="s">
        <v>210</v>
      </c>
      <c r="Y21" s="4">
        <v>219</v>
      </c>
      <c r="Z21" s="4">
        <v>158</v>
      </c>
      <c r="AA21" s="4">
        <v>158</v>
      </c>
      <c r="AB21" s="4">
        <v>2</v>
      </c>
      <c r="AC21" s="4">
        <v>2</v>
      </c>
      <c r="AD21" s="4">
        <v>3</v>
      </c>
      <c r="AE21" s="4">
        <v>3</v>
      </c>
      <c r="AF21" s="4">
        <v>1</v>
      </c>
      <c r="AG21" s="4">
        <v>1</v>
      </c>
      <c r="AH21" s="4">
        <v>2</v>
      </c>
      <c r="AI21" s="4">
        <v>2</v>
      </c>
      <c r="AJ21" s="4">
        <v>0</v>
      </c>
      <c r="AK21" s="4">
        <v>0</v>
      </c>
      <c r="AL21" s="4">
        <v>1</v>
      </c>
      <c r="AM21" s="4">
        <v>1</v>
      </c>
      <c r="AN21" s="4">
        <v>0</v>
      </c>
      <c r="AO21" s="4">
        <v>0</v>
      </c>
      <c r="AP21" s="3" t="s">
        <v>58</v>
      </c>
      <c r="AQ21" s="3" t="s">
        <v>58</v>
      </c>
      <c r="AS21" s="6" t="str">
        <f>HYPERLINK("https://creighton-primo.hosted.exlibrisgroup.com/primo-explore/search?tab=default_tab&amp;search_scope=EVERYTHING&amp;vid=01CRU&amp;lang=en_US&amp;offset=0&amp;query=any,contains,991004766159702656","Catalog Record")</f>
        <v>Catalog Record</v>
      </c>
      <c r="AT21" s="6" t="str">
        <f>HYPERLINK("http://www.worldcat.org/oclc/5029368","WorldCat Record")</f>
        <v>WorldCat Record</v>
      </c>
      <c r="AU21" s="3" t="s">
        <v>346</v>
      </c>
      <c r="AV21" s="3" t="s">
        <v>347</v>
      </c>
      <c r="AW21" s="3" t="s">
        <v>348</v>
      </c>
      <c r="AX21" s="3" t="s">
        <v>348</v>
      </c>
      <c r="AY21" s="3" t="s">
        <v>349</v>
      </c>
      <c r="AZ21" s="3" t="s">
        <v>74</v>
      </c>
      <c r="BB21" s="3" t="s">
        <v>350</v>
      </c>
      <c r="BC21" s="3" t="s">
        <v>353</v>
      </c>
      <c r="BD21" s="3" t="s">
        <v>354</v>
      </c>
    </row>
    <row r="22" spans="1:56" ht="42.75" customHeight="1" x14ac:dyDescent="0.25">
      <c r="A22" s="7" t="s">
        <v>58</v>
      </c>
      <c r="B22" s="2" t="s">
        <v>355</v>
      </c>
      <c r="C22" s="2" t="s">
        <v>356</v>
      </c>
      <c r="D22" s="2" t="s">
        <v>357</v>
      </c>
      <c r="F22" s="3" t="s">
        <v>58</v>
      </c>
      <c r="G22" s="3" t="s">
        <v>59</v>
      </c>
      <c r="H22" s="3" t="s">
        <v>58</v>
      </c>
      <c r="I22" s="3" t="s">
        <v>58</v>
      </c>
      <c r="J22" s="3" t="s">
        <v>60</v>
      </c>
      <c r="L22" s="2" t="s">
        <v>358</v>
      </c>
      <c r="M22" s="3" t="s">
        <v>238</v>
      </c>
      <c r="O22" s="3" t="s">
        <v>64</v>
      </c>
      <c r="P22" s="3" t="s">
        <v>359</v>
      </c>
      <c r="R22" s="3" t="s">
        <v>67</v>
      </c>
      <c r="S22" s="4">
        <v>6</v>
      </c>
      <c r="T22" s="4">
        <v>6</v>
      </c>
      <c r="U22" s="5" t="s">
        <v>331</v>
      </c>
      <c r="V22" s="5" t="s">
        <v>331</v>
      </c>
      <c r="W22" s="5" t="s">
        <v>210</v>
      </c>
      <c r="X22" s="5" t="s">
        <v>210</v>
      </c>
      <c r="Y22" s="4">
        <v>261</v>
      </c>
      <c r="Z22" s="4">
        <v>239</v>
      </c>
      <c r="AA22" s="4">
        <v>271</v>
      </c>
      <c r="AB22" s="4">
        <v>3</v>
      </c>
      <c r="AC22" s="4">
        <v>3</v>
      </c>
      <c r="AD22" s="4">
        <v>10</v>
      </c>
      <c r="AE22" s="4">
        <v>10</v>
      </c>
      <c r="AF22" s="4">
        <v>4</v>
      </c>
      <c r="AG22" s="4">
        <v>4</v>
      </c>
      <c r="AH22" s="4">
        <v>3</v>
      </c>
      <c r="AI22" s="4">
        <v>3</v>
      </c>
      <c r="AJ22" s="4">
        <v>5</v>
      </c>
      <c r="AK22" s="4">
        <v>5</v>
      </c>
      <c r="AL22" s="4">
        <v>2</v>
      </c>
      <c r="AM22" s="4">
        <v>2</v>
      </c>
      <c r="AN22" s="4">
        <v>0</v>
      </c>
      <c r="AO22" s="4">
        <v>0</v>
      </c>
      <c r="AP22" s="3" t="s">
        <v>58</v>
      </c>
      <c r="AQ22" s="3" t="s">
        <v>86</v>
      </c>
      <c r="AR22" s="6" t="str">
        <f>HYPERLINK("http://catalog.hathitrust.org/Record/000697717","HathiTrust Record")</f>
        <v>HathiTrust Record</v>
      </c>
      <c r="AS22" s="6" t="str">
        <f>HYPERLINK("https://creighton-primo.hosted.exlibrisgroup.com/primo-explore/search?tab=default_tab&amp;search_scope=EVERYTHING&amp;vid=01CRU&amp;lang=en_US&amp;offset=0&amp;query=any,contains,991004814949702656","Catalog Record")</f>
        <v>Catalog Record</v>
      </c>
      <c r="AT22" s="6" t="str">
        <f>HYPERLINK("http://www.worldcat.org/oclc/5303983","WorldCat Record")</f>
        <v>WorldCat Record</v>
      </c>
      <c r="AU22" s="3" t="s">
        <v>360</v>
      </c>
      <c r="AV22" s="3" t="s">
        <v>361</v>
      </c>
      <c r="AW22" s="3" t="s">
        <v>362</v>
      </c>
      <c r="AX22" s="3" t="s">
        <v>362</v>
      </c>
      <c r="AY22" s="3" t="s">
        <v>363</v>
      </c>
      <c r="AZ22" s="3" t="s">
        <v>74</v>
      </c>
      <c r="BC22" s="3" t="s">
        <v>364</v>
      </c>
      <c r="BD22" s="3" t="s">
        <v>365</v>
      </c>
    </row>
    <row r="23" spans="1:56" ht="42.75" customHeight="1" x14ac:dyDescent="0.25">
      <c r="A23" s="7" t="s">
        <v>58</v>
      </c>
      <c r="B23" s="2" t="s">
        <v>366</v>
      </c>
      <c r="C23" s="2" t="s">
        <v>367</v>
      </c>
      <c r="D23" s="2" t="s">
        <v>368</v>
      </c>
      <c r="E23" s="3" t="s">
        <v>369</v>
      </c>
      <c r="F23" s="3" t="s">
        <v>58</v>
      </c>
      <c r="G23" s="3" t="s">
        <v>59</v>
      </c>
      <c r="H23" s="3" t="s">
        <v>58</v>
      </c>
      <c r="I23" s="3" t="s">
        <v>58</v>
      </c>
      <c r="J23" s="3" t="s">
        <v>60</v>
      </c>
      <c r="L23" s="2" t="s">
        <v>370</v>
      </c>
      <c r="M23" s="3" t="s">
        <v>371</v>
      </c>
      <c r="O23" s="3" t="s">
        <v>64</v>
      </c>
      <c r="P23" s="3" t="s">
        <v>316</v>
      </c>
      <c r="Q23" s="2" t="s">
        <v>372</v>
      </c>
      <c r="R23" s="3" t="s">
        <v>67</v>
      </c>
      <c r="S23" s="4">
        <v>6</v>
      </c>
      <c r="T23" s="4">
        <v>6</v>
      </c>
      <c r="U23" s="5" t="s">
        <v>373</v>
      </c>
      <c r="V23" s="5" t="s">
        <v>373</v>
      </c>
      <c r="W23" s="5" t="s">
        <v>374</v>
      </c>
      <c r="X23" s="5" t="s">
        <v>374</v>
      </c>
      <c r="Y23" s="4">
        <v>54</v>
      </c>
      <c r="Z23" s="4">
        <v>46</v>
      </c>
      <c r="AA23" s="4">
        <v>46</v>
      </c>
      <c r="AB23" s="4">
        <v>3</v>
      </c>
      <c r="AC23" s="4">
        <v>3</v>
      </c>
      <c r="AD23" s="4">
        <v>3</v>
      </c>
      <c r="AE23" s="4">
        <v>3</v>
      </c>
      <c r="AF23" s="4">
        <v>1</v>
      </c>
      <c r="AG23" s="4">
        <v>1</v>
      </c>
      <c r="AH23" s="4">
        <v>1</v>
      </c>
      <c r="AI23" s="4">
        <v>1</v>
      </c>
      <c r="AJ23" s="4">
        <v>0</v>
      </c>
      <c r="AK23" s="4">
        <v>0</v>
      </c>
      <c r="AL23" s="4">
        <v>1</v>
      </c>
      <c r="AM23" s="4">
        <v>1</v>
      </c>
      <c r="AN23" s="4">
        <v>0</v>
      </c>
      <c r="AO23" s="4">
        <v>0</v>
      </c>
      <c r="AP23" s="3" t="s">
        <v>58</v>
      </c>
      <c r="AQ23" s="3" t="s">
        <v>58</v>
      </c>
      <c r="AS23" s="6" t="str">
        <f>HYPERLINK("https://creighton-primo.hosted.exlibrisgroup.com/primo-explore/search?tab=default_tab&amp;search_scope=EVERYTHING&amp;vid=01CRU&amp;lang=en_US&amp;offset=0&amp;query=any,contains,991000937179702656","Catalog Record")</f>
        <v>Catalog Record</v>
      </c>
      <c r="AT23" s="6" t="str">
        <f>HYPERLINK("http://www.worldcat.org/oclc/15628430","WorldCat Record")</f>
        <v>WorldCat Record</v>
      </c>
      <c r="AU23" s="3" t="s">
        <v>375</v>
      </c>
      <c r="AV23" s="3" t="s">
        <v>376</v>
      </c>
      <c r="AW23" s="3" t="s">
        <v>377</v>
      </c>
      <c r="AX23" s="3" t="s">
        <v>377</v>
      </c>
      <c r="AY23" s="3" t="s">
        <v>378</v>
      </c>
      <c r="AZ23" s="3" t="s">
        <v>74</v>
      </c>
      <c r="BC23" s="3" t="s">
        <v>379</v>
      </c>
      <c r="BD23" s="3" t="s">
        <v>380</v>
      </c>
    </row>
    <row r="24" spans="1:56" ht="42.75" customHeight="1" x14ac:dyDescent="0.25">
      <c r="A24" s="7" t="s">
        <v>58</v>
      </c>
      <c r="B24" s="2" t="s">
        <v>381</v>
      </c>
      <c r="C24" s="2" t="s">
        <v>382</v>
      </c>
      <c r="D24" s="2" t="s">
        <v>383</v>
      </c>
      <c r="E24" s="3" t="s">
        <v>384</v>
      </c>
      <c r="F24" s="3" t="s">
        <v>58</v>
      </c>
      <c r="G24" s="3" t="s">
        <v>59</v>
      </c>
      <c r="H24" s="3" t="s">
        <v>58</v>
      </c>
      <c r="I24" s="3" t="s">
        <v>58</v>
      </c>
      <c r="J24" s="3" t="s">
        <v>60</v>
      </c>
      <c r="L24" s="2" t="s">
        <v>385</v>
      </c>
      <c r="M24" s="3" t="s">
        <v>371</v>
      </c>
      <c r="O24" s="3" t="s">
        <v>64</v>
      </c>
      <c r="P24" s="3" t="s">
        <v>316</v>
      </c>
      <c r="Q24" s="2" t="s">
        <v>386</v>
      </c>
      <c r="R24" s="3" t="s">
        <v>67</v>
      </c>
      <c r="S24" s="4">
        <v>2</v>
      </c>
      <c r="T24" s="4">
        <v>2</v>
      </c>
      <c r="U24" s="5" t="s">
        <v>387</v>
      </c>
      <c r="V24" s="5" t="s">
        <v>387</v>
      </c>
      <c r="W24" s="5" t="s">
        <v>69</v>
      </c>
      <c r="X24" s="5" t="s">
        <v>69</v>
      </c>
      <c r="Y24" s="4">
        <v>55</v>
      </c>
      <c r="Z24" s="4">
        <v>47</v>
      </c>
      <c r="AA24" s="4">
        <v>47</v>
      </c>
      <c r="AB24" s="4">
        <v>3</v>
      </c>
      <c r="AC24" s="4">
        <v>3</v>
      </c>
      <c r="AD24" s="4">
        <v>2</v>
      </c>
      <c r="AE24" s="4">
        <v>2</v>
      </c>
      <c r="AF24" s="4">
        <v>0</v>
      </c>
      <c r="AG24" s="4">
        <v>0</v>
      </c>
      <c r="AH24" s="4">
        <v>1</v>
      </c>
      <c r="AI24" s="4">
        <v>1</v>
      </c>
      <c r="AJ24" s="4">
        <v>0</v>
      </c>
      <c r="AK24" s="4">
        <v>0</v>
      </c>
      <c r="AL24" s="4">
        <v>1</v>
      </c>
      <c r="AM24" s="4">
        <v>1</v>
      </c>
      <c r="AN24" s="4">
        <v>0</v>
      </c>
      <c r="AO24" s="4">
        <v>0</v>
      </c>
      <c r="AP24" s="3" t="s">
        <v>58</v>
      </c>
      <c r="AQ24" s="3" t="s">
        <v>58</v>
      </c>
      <c r="AS24" s="6" t="str">
        <f>HYPERLINK("https://creighton-primo.hosted.exlibrisgroup.com/primo-explore/search?tab=default_tab&amp;search_scope=EVERYTHING&amp;vid=01CRU&amp;lang=en_US&amp;offset=0&amp;query=any,contains,991000773079702656","Catalog Record")</f>
        <v>Catalog Record</v>
      </c>
      <c r="AT24" s="6" t="str">
        <f>HYPERLINK("http://www.worldcat.org/oclc/14905766","WorldCat Record")</f>
        <v>WorldCat Record</v>
      </c>
      <c r="AU24" s="3" t="s">
        <v>388</v>
      </c>
      <c r="AV24" s="3" t="s">
        <v>389</v>
      </c>
      <c r="AW24" s="3" t="s">
        <v>390</v>
      </c>
      <c r="AX24" s="3" t="s">
        <v>390</v>
      </c>
      <c r="AY24" s="3" t="s">
        <v>391</v>
      </c>
      <c r="AZ24" s="3" t="s">
        <v>74</v>
      </c>
      <c r="BC24" s="3" t="s">
        <v>392</v>
      </c>
      <c r="BD24" s="3" t="s">
        <v>393</v>
      </c>
    </row>
    <row r="25" spans="1:56" ht="42.75" customHeight="1" x14ac:dyDescent="0.25">
      <c r="A25" s="7" t="s">
        <v>58</v>
      </c>
      <c r="B25" s="2" t="s">
        <v>394</v>
      </c>
      <c r="C25" s="2" t="s">
        <v>395</v>
      </c>
      <c r="D25" s="2" t="s">
        <v>396</v>
      </c>
      <c r="E25" s="3" t="s">
        <v>397</v>
      </c>
      <c r="F25" s="3" t="s">
        <v>58</v>
      </c>
      <c r="G25" s="3" t="s">
        <v>59</v>
      </c>
      <c r="H25" s="3" t="s">
        <v>86</v>
      </c>
      <c r="I25" s="3" t="s">
        <v>58</v>
      </c>
      <c r="J25" s="3" t="s">
        <v>60</v>
      </c>
      <c r="L25" s="2" t="s">
        <v>398</v>
      </c>
      <c r="M25" s="3" t="s">
        <v>82</v>
      </c>
      <c r="O25" s="3" t="s">
        <v>64</v>
      </c>
      <c r="P25" s="3" t="s">
        <v>316</v>
      </c>
      <c r="Q25" s="2" t="s">
        <v>399</v>
      </c>
      <c r="R25" s="3" t="s">
        <v>67</v>
      </c>
      <c r="S25" s="4">
        <v>7</v>
      </c>
      <c r="T25" s="4">
        <v>7</v>
      </c>
      <c r="U25" s="5" t="s">
        <v>400</v>
      </c>
      <c r="V25" s="5" t="s">
        <v>400</v>
      </c>
      <c r="W25" s="5" t="s">
        <v>401</v>
      </c>
      <c r="X25" s="5" t="s">
        <v>402</v>
      </c>
      <c r="Y25" s="4">
        <v>55</v>
      </c>
      <c r="Z25" s="4">
        <v>46</v>
      </c>
      <c r="AA25" s="4">
        <v>47</v>
      </c>
      <c r="AB25" s="4">
        <v>3</v>
      </c>
      <c r="AC25" s="4">
        <v>3</v>
      </c>
      <c r="AD25" s="4">
        <v>2</v>
      </c>
      <c r="AE25" s="4">
        <v>2</v>
      </c>
      <c r="AF25" s="4">
        <v>0</v>
      </c>
      <c r="AG25" s="4">
        <v>0</v>
      </c>
      <c r="AH25" s="4">
        <v>1</v>
      </c>
      <c r="AI25" s="4">
        <v>1</v>
      </c>
      <c r="AJ25" s="4">
        <v>0</v>
      </c>
      <c r="AK25" s="4">
        <v>0</v>
      </c>
      <c r="AL25" s="4">
        <v>1</v>
      </c>
      <c r="AM25" s="4">
        <v>1</v>
      </c>
      <c r="AN25" s="4">
        <v>0</v>
      </c>
      <c r="AO25" s="4">
        <v>0</v>
      </c>
      <c r="AP25" s="3" t="s">
        <v>58</v>
      </c>
      <c r="AQ25" s="3" t="s">
        <v>58</v>
      </c>
      <c r="AS25" s="6" t="str">
        <f>HYPERLINK("https://creighton-primo.hosted.exlibrisgroup.com/primo-explore/search?tab=default_tab&amp;search_scope=EVERYTHING&amp;vid=01CRU&amp;lang=en_US&amp;offset=0&amp;query=any,contains,991001685339702656","Catalog Record")</f>
        <v>Catalog Record</v>
      </c>
      <c r="AT25" s="6" t="str">
        <f>HYPERLINK("http://www.worldcat.org/oclc/16160438","WorldCat Record")</f>
        <v>WorldCat Record</v>
      </c>
      <c r="AU25" s="3" t="s">
        <v>403</v>
      </c>
      <c r="AV25" s="3" t="s">
        <v>404</v>
      </c>
      <c r="AW25" s="3" t="s">
        <v>405</v>
      </c>
      <c r="AX25" s="3" t="s">
        <v>405</v>
      </c>
      <c r="AY25" s="3" t="s">
        <v>406</v>
      </c>
      <c r="AZ25" s="3" t="s">
        <v>74</v>
      </c>
      <c r="BC25" s="3" t="s">
        <v>407</v>
      </c>
      <c r="BD25" s="3" t="s">
        <v>408</v>
      </c>
    </row>
    <row r="26" spans="1:56" ht="42.75" customHeight="1" x14ac:dyDescent="0.25">
      <c r="A26" s="7" t="s">
        <v>58</v>
      </c>
      <c r="B26" s="2" t="s">
        <v>409</v>
      </c>
      <c r="C26" s="2" t="s">
        <v>410</v>
      </c>
      <c r="D26" s="2" t="s">
        <v>411</v>
      </c>
      <c r="E26" s="3" t="s">
        <v>412</v>
      </c>
      <c r="F26" s="3" t="s">
        <v>58</v>
      </c>
      <c r="G26" s="3" t="s">
        <v>59</v>
      </c>
      <c r="H26" s="3" t="s">
        <v>86</v>
      </c>
      <c r="I26" s="3" t="s">
        <v>58</v>
      </c>
      <c r="J26" s="3" t="s">
        <v>60</v>
      </c>
      <c r="L26" s="2" t="s">
        <v>398</v>
      </c>
      <c r="M26" s="3" t="s">
        <v>82</v>
      </c>
      <c r="O26" s="3" t="s">
        <v>64</v>
      </c>
      <c r="P26" s="3" t="s">
        <v>316</v>
      </c>
      <c r="Q26" s="2" t="s">
        <v>413</v>
      </c>
      <c r="R26" s="3" t="s">
        <v>67</v>
      </c>
      <c r="S26" s="4">
        <v>1</v>
      </c>
      <c r="T26" s="4">
        <v>1</v>
      </c>
      <c r="U26" s="5" t="s">
        <v>414</v>
      </c>
      <c r="V26" s="5" t="s">
        <v>414</v>
      </c>
      <c r="W26" s="5" t="s">
        <v>415</v>
      </c>
      <c r="X26" s="5" t="s">
        <v>402</v>
      </c>
      <c r="Y26" s="4">
        <v>52</v>
      </c>
      <c r="Z26" s="4">
        <v>42</v>
      </c>
      <c r="AA26" s="4">
        <v>42</v>
      </c>
      <c r="AB26" s="4">
        <v>3</v>
      </c>
      <c r="AC26" s="4">
        <v>3</v>
      </c>
      <c r="AD26" s="4">
        <v>2</v>
      </c>
      <c r="AE26" s="4">
        <v>2</v>
      </c>
      <c r="AF26" s="4">
        <v>0</v>
      </c>
      <c r="AG26" s="4">
        <v>0</v>
      </c>
      <c r="AH26" s="4">
        <v>1</v>
      </c>
      <c r="AI26" s="4">
        <v>1</v>
      </c>
      <c r="AJ26" s="4">
        <v>0</v>
      </c>
      <c r="AK26" s="4">
        <v>0</v>
      </c>
      <c r="AL26" s="4">
        <v>1</v>
      </c>
      <c r="AM26" s="4">
        <v>1</v>
      </c>
      <c r="AN26" s="4">
        <v>0</v>
      </c>
      <c r="AO26" s="4">
        <v>0</v>
      </c>
      <c r="AP26" s="3" t="s">
        <v>58</v>
      </c>
      <c r="AQ26" s="3" t="s">
        <v>58</v>
      </c>
      <c r="AS26" s="6" t="str">
        <f>HYPERLINK("https://creighton-primo.hosted.exlibrisgroup.com/primo-explore/search?tab=default_tab&amp;search_scope=EVERYTHING&amp;vid=01CRU&amp;lang=en_US&amp;offset=0&amp;query=any,contains,991001684879702656","Catalog Record")</f>
        <v>Catalog Record</v>
      </c>
      <c r="AT26" s="6" t="str">
        <f>HYPERLINK("http://www.worldcat.org/oclc/15072807","WorldCat Record")</f>
        <v>WorldCat Record</v>
      </c>
      <c r="AU26" s="3" t="s">
        <v>416</v>
      </c>
      <c r="AV26" s="3" t="s">
        <v>417</v>
      </c>
      <c r="AW26" s="3" t="s">
        <v>418</v>
      </c>
      <c r="AX26" s="3" t="s">
        <v>418</v>
      </c>
      <c r="AY26" s="3" t="s">
        <v>419</v>
      </c>
      <c r="AZ26" s="3" t="s">
        <v>74</v>
      </c>
      <c r="BC26" s="3" t="s">
        <v>420</v>
      </c>
      <c r="BD26" s="3" t="s">
        <v>421</v>
      </c>
    </row>
    <row r="27" spans="1:56" ht="42.75" customHeight="1" x14ac:dyDescent="0.25">
      <c r="A27" s="7" t="s">
        <v>58</v>
      </c>
      <c r="B27" s="2" t="s">
        <v>422</v>
      </c>
      <c r="C27" s="2" t="s">
        <v>423</v>
      </c>
      <c r="D27" s="2" t="s">
        <v>424</v>
      </c>
      <c r="E27" s="3" t="s">
        <v>425</v>
      </c>
      <c r="F27" s="3" t="s">
        <v>58</v>
      </c>
      <c r="G27" s="3" t="s">
        <v>59</v>
      </c>
      <c r="H27" s="3" t="s">
        <v>86</v>
      </c>
      <c r="I27" s="3" t="s">
        <v>58</v>
      </c>
      <c r="J27" s="3" t="s">
        <v>60</v>
      </c>
      <c r="L27" s="2" t="s">
        <v>426</v>
      </c>
      <c r="M27" s="3" t="s">
        <v>82</v>
      </c>
      <c r="O27" s="3" t="s">
        <v>64</v>
      </c>
      <c r="P27" s="3" t="s">
        <v>316</v>
      </c>
      <c r="Q27" s="2" t="s">
        <v>427</v>
      </c>
      <c r="R27" s="3" t="s">
        <v>67</v>
      </c>
      <c r="S27" s="4">
        <v>4</v>
      </c>
      <c r="T27" s="4">
        <v>4</v>
      </c>
      <c r="U27" s="5" t="s">
        <v>428</v>
      </c>
      <c r="V27" s="5" t="s">
        <v>428</v>
      </c>
      <c r="W27" s="5" t="s">
        <v>429</v>
      </c>
      <c r="X27" s="5" t="s">
        <v>402</v>
      </c>
      <c r="Y27" s="4">
        <v>57</v>
      </c>
      <c r="Z27" s="4">
        <v>50</v>
      </c>
      <c r="AA27" s="4">
        <v>50</v>
      </c>
      <c r="AB27" s="4">
        <v>3</v>
      </c>
      <c r="AC27" s="4">
        <v>3</v>
      </c>
      <c r="AD27" s="4">
        <v>3</v>
      </c>
      <c r="AE27" s="4">
        <v>3</v>
      </c>
      <c r="AF27" s="4">
        <v>1</v>
      </c>
      <c r="AG27" s="4">
        <v>1</v>
      </c>
      <c r="AH27" s="4">
        <v>1</v>
      </c>
      <c r="AI27" s="4">
        <v>1</v>
      </c>
      <c r="AJ27" s="4">
        <v>0</v>
      </c>
      <c r="AK27" s="4">
        <v>0</v>
      </c>
      <c r="AL27" s="4">
        <v>1</v>
      </c>
      <c r="AM27" s="4">
        <v>1</v>
      </c>
      <c r="AN27" s="4">
        <v>0</v>
      </c>
      <c r="AO27" s="4">
        <v>0</v>
      </c>
      <c r="AP27" s="3" t="s">
        <v>58</v>
      </c>
      <c r="AQ27" s="3" t="s">
        <v>58</v>
      </c>
      <c r="AS27" s="6" t="str">
        <f>HYPERLINK("https://creighton-primo.hosted.exlibrisgroup.com/primo-explore/search?tab=default_tab&amp;search_scope=EVERYTHING&amp;vid=01CRU&amp;lang=en_US&amp;offset=0&amp;query=any,contains,991001685189702656","Catalog Record")</f>
        <v>Catalog Record</v>
      </c>
      <c r="AT27" s="6" t="str">
        <f>HYPERLINK("http://www.worldcat.org/oclc/15582291","WorldCat Record")</f>
        <v>WorldCat Record</v>
      </c>
      <c r="AU27" s="3" t="s">
        <v>430</v>
      </c>
      <c r="AV27" s="3" t="s">
        <v>431</v>
      </c>
      <c r="AW27" s="3" t="s">
        <v>432</v>
      </c>
      <c r="AX27" s="3" t="s">
        <v>432</v>
      </c>
      <c r="AY27" s="3" t="s">
        <v>433</v>
      </c>
      <c r="AZ27" s="3" t="s">
        <v>74</v>
      </c>
      <c r="BC27" s="3" t="s">
        <v>434</v>
      </c>
      <c r="BD27" s="3" t="s">
        <v>435</v>
      </c>
    </row>
    <row r="28" spans="1:56" ht="42.75" customHeight="1" x14ac:dyDescent="0.25">
      <c r="A28" s="7" t="s">
        <v>58</v>
      </c>
      <c r="B28" s="2" t="s">
        <v>436</v>
      </c>
      <c r="C28" s="2" t="s">
        <v>437</v>
      </c>
      <c r="D28" s="2" t="s">
        <v>438</v>
      </c>
      <c r="E28" s="3" t="s">
        <v>439</v>
      </c>
      <c r="F28" s="3" t="s">
        <v>58</v>
      </c>
      <c r="G28" s="3" t="s">
        <v>59</v>
      </c>
      <c r="H28" s="3" t="s">
        <v>58</v>
      </c>
      <c r="I28" s="3" t="s">
        <v>58</v>
      </c>
      <c r="J28" s="3" t="s">
        <v>60</v>
      </c>
      <c r="L28" s="2" t="s">
        <v>440</v>
      </c>
      <c r="M28" s="3" t="s">
        <v>98</v>
      </c>
      <c r="O28" s="3" t="s">
        <v>64</v>
      </c>
      <c r="P28" s="3" t="s">
        <v>316</v>
      </c>
      <c r="Q28" s="2" t="s">
        <v>441</v>
      </c>
      <c r="R28" s="3" t="s">
        <v>67</v>
      </c>
      <c r="S28" s="4">
        <v>4</v>
      </c>
      <c r="T28" s="4">
        <v>4</v>
      </c>
      <c r="U28" s="5" t="s">
        <v>442</v>
      </c>
      <c r="V28" s="5" t="s">
        <v>442</v>
      </c>
      <c r="W28" s="5" t="s">
        <v>69</v>
      </c>
      <c r="X28" s="5" t="s">
        <v>69</v>
      </c>
      <c r="Y28" s="4">
        <v>66</v>
      </c>
      <c r="Z28" s="4">
        <v>53</v>
      </c>
      <c r="AA28" s="4">
        <v>53</v>
      </c>
      <c r="AB28" s="4">
        <v>2</v>
      </c>
      <c r="AC28" s="4">
        <v>2</v>
      </c>
      <c r="AD28" s="4">
        <v>2</v>
      </c>
      <c r="AE28" s="4">
        <v>2</v>
      </c>
      <c r="AF28" s="4">
        <v>0</v>
      </c>
      <c r="AG28" s="4">
        <v>0</v>
      </c>
      <c r="AH28" s="4">
        <v>1</v>
      </c>
      <c r="AI28" s="4">
        <v>1</v>
      </c>
      <c r="AJ28" s="4">
        <v>0</v>
      </c>
      <c r="AK28" s="4">
        <v>0</v>
      </c>
      <c r="AL28" s="4">
        <v>1</v>
      </c>
      <c r="AM28" s="4">
        <v>1</v>
      </c>
      <c r="AN28" s="4">
        <v>0</v>
      </c>
      <c r="AO28" s="4">
        <v>0</v>
      </c>
      <c r="AP28" s="3" t="s">
        <v>58</v>
      </c>
      <c r="AQ28" s="3" t="s">
        <v>58</v>
      </c>
      <c r="AS28" s="6" t="str">
        <f>HYPERLINK("https://creighton-primo.hosted.exlibrisgroup.com/primo-explore/search?tab=default_tab&amp;search_scope=EVERYTHING&amp;vid=01CRU&amp;lang=en_US&amp;offset=0&amp;query=any,contains,991001258249702656","Catalog Record")</f>
        <v>Catalog Record</v>
      </c>
      <c r="AT28" s="6" t="str">
        <f>HYPERLINK("http://www.worldcat.org/oclc/17746899","WorldCat Record")</f>
        <v>WorldCat Record</v>
      </c>
      <c r="AU28" s="3" t="s">
        <v>443</v>
      </c>
      <c r="AV28" s="3" t="s">
        <v>444</v>
      </c>
      <c r="AW28" s="3" t="s">
        <v>445</v>
      </c>
      <c r="AX28" s="3" t="s">
        <v>445</v>
      </c>
      <c r="AY28" s="3" t="s">
        <v>446</v>
      </c>
      <c r="AZ28" s="3" t="s">
        <v>74</v>
      </c>
      <c r="BC28" s="3" t="s">
        <v>447</v>
      </c>
      <c r="BD28" s="3" t="s">
        <v>448</v>
      </c>
    </row>
    <row r="29" spans="1:56" ht="42.75" customHeight="1" x14ac:dyDescent="0.25">
      <c r="A29" s="7" t="s">
        <v>58</v>
      </c>
      <c r="B29" s="2" t="s">
        <v>449</v>
      </c>
      <c r="C29" s="2" t="s">
        <v>450</v>
      </c>
      <c r="D29" s="2" t="s">
        <v>451</v>
      </c>
      <c r="E29" s="3" t="s">
        <v>452</v>
      </c>
      <c r="F29" s="3" t="s">
        <v>58</v>
      </c>
      <c r="G29" s="3" t="s">
        <v>59</v>
      </c>
      <c r="H29" s="3" t="s">
        <v>58</v>
      </c>
      <c r="I29" s="3" t="s">
        <v>58</v>
      </c>
      <c r="J29" s="3" t="s">
        <v>60</v>
      </c>
      <c r="L29" s="2" t="s">
        <v>453</v>
      </c>
      <c r="M29" s="3" t="s">
        <v>98</v>
      </c>
      <c r="O29" s="3" t="s">
        <v>64</v>
      </c>
      <c r="P29" s="3" t="s">
        <v>316</v>
      </c>
      <c r="Q29" s="2" t="s">
        <v>454</v>
      </c>
      <c r="R29" s="3" t="s">
        <v>67</v>
      </c>
      <c r="S29" s="4">
        <v>4</v>
      </c>
      <c r="T29" s="4">
        <v>4</v>
      </c>
      <c r="U29" s="5" t="s">
        <v>455</v>
      </c>
      <c r="V29" s="5" t="s">
        <v>455</v>
      </c>
      <c r="W29" s="5" t="s">
        <v>69</v>
      </c>
      <c r="X29" s="5" t="s">
        <v>69</v>
      </c>
      <c r="Y29" s="4">
        <v>61</v>
      </c>
      <c r="Z29" s="4">
        <v>52</v>
      </c>
      <c r="AA29" s="4">
        <v>52</v>
      </c>
      <c r="AB29" s="4">
        <v>2</v>
      </c>
      <c r="AC29" s="4">
        <v>2</v>
      </c>
      <c r="AD29" s="4">
        <v>2</v>
      </c>
      <c r="AE29" s="4">
        <v>2</v>
      </c>
      <c r="AF29" s="4">
        <v>0</v>
      </c>
      <c r="AG29" s="4">
        <v>0</v>
      </c>
      <c r="AH29" s="4">
        <v>1</v>
      </c>
      <c r="AI29" s="4">
        <v>1</v>
      </c>
      <c r="AJ29" s="4">
        <v>0</v>
      </c>
      <c r="AK29" s="4">
        <v>0</v>
      </c>
      <c r="AL29" s="4">
        <v>1</v>
      </c>
      <c r="AM29" s="4">
        <v>1</v>
      </c>
      <c r="AN29" s="4">
        <v>0</v>
      </c>
      <c r="AO29" s="4">
        <v>0</v>
      </c>
      <c r="AP29" s="3" t="s">
        <v>58</v>
      </c>
      <c r="AQ29" s="3" t="s">
        <v>58</v>
      </c>
      <c r="AS29" s="6" t="str">
        <f>HYPERLINK("https://creighton-primo.hosted.exlibrisgroup.com/primo-explore/search?tab=default_tab&amp;search_scope=EVERYTHING&amp;vid=01CRU&amp;lang=en_US&amp;offset=0&amp;query=any,contains,991001311769702656","Catalog Record")</f>
        <v>Catalog Record</v>
      </c>
      <c r="AT29" s="6" t="str">
        <f>HYPERLINK("http://www.worldcat.org/oclc/18157132","WorldCat Record")</f>
        <v>WorldCat Record</v>
      </c>
      <c r="AU29" s="3" t="s">
        <v>456</v>
      </c>
      <c r="AV29" s="3" t="s">
        <v>457</v>
      </c>
      <c r="AW29" s="3" t="s">
        <v>458</v>
      </c>
      <c r="AX29" s="3" t="s">
        <v>458</v>
      </c>
      <c r="AY29" s="3" t="s">
        <v>459</v>
      </c>
      <c r="AZ29" s="3" t="s">
        <v>74</v>
      </c>
      <c r="BC29" s="3" t="s">
        <v>460</v>
      </c>
      <c r="BD29" s="3" t="s">
        <v>461</v>
      </c>
    </row>
    <row r="30" spans="1:56" ht="42.75" customHeight="1" x14ac:dyDescent="0.25">
      <c r="A30" s="7" t="s">
        <v>58</v>
      </c>
      <c r="B30" s="2" t="s">
        <v>462</v>
      </c>
      <c r="C30" s="2" t="s">
        <v>463</v>
      </c>
      <c r="D30" s="2" t="s">
        <v>464</v>
      </c>
      <c r="E30" s="3" t="s">
        <v>465</v>
      </c>
      <c r="F30" s="3" t="s">
        <v>58</v>
      </c>
      <c r="G30" s="3" t="s">
        <v>59</v>
      </c>
      <c r="H30" s="3" t="s">
        <v>58</v>
      </c>
      <c r="I30" s="3" t="s">
        <v>58</v>
      </c>
      <c r="J30" s="3" t="s">
        <v>60</v>
      </c>
      <c r="L30" s="2" t="s">
        <v>453</v>
      </c>
      <c r="M30" s="3" t="s">
        <v>98</v>
      </c>
      <c r="O30" s="3" t="s">
        <v>64</v>
      </c>
      <c r="P30" s="3" t="s">
        <v>316</v>
      </c>
      <c r="Q30" s="2" t="s">
        <v>466</v>
      </c>
      <c r="R30" s="3" t="s">
        <v>67</v>
      </c>
      <c r="S30" s="4">
        <v>9</v>
      </c>
      <c r="T30" s="4">
        <v>9</v>
      </c>
      <c r="U30" s="5" t="s">
        <v>467</v>
      </c>
      <c r="V30" s="5" t="s">
        <v>467</v>
      </c>
      <c r="W30" s="5" t="s">
        <v>468</v>
      </c>
      <c r="X30" s="5" t="s">
        <v>468</v>
      </c>
      <c r="Y30" s="4">
        <v>58</v>
      </c>
      <c r="Z30" s="4">
        <v>48</v>
      </c>
      <c r="AA30" s="4">
        <v>48</v>
      </c>
      <c r="AB30" s="4">
        <v>2</v>
      </c>
      <c r="AC30" s="4">
        <v>2</v>
      </c>
      <c r="AD30" s="4">
        <v>2</v>
      </c>
      <c r="AE30" s="4">
        <v>2</v>
      </c>
      <c r="AF30" s="4">
        <v>0</v>
      </c>
      <c r="AG30" s="4">
        <v>0</v>
      </c>
      <c r="AH30" s="4">
        <v>1</v>
      </c>
      <c r="AI30" s="4">
        <v>1</v>
      </c>
      <c r="AJ30" s="4">
        <v>0</v>
      </c>
      <c r="AK30" s="4">
        <v>0</v>
      </c>
      <c r="AL30" s="4">
        <v>1</v>
      </c>
      <c r="AM30" s="4">
        <v>1</v>
      </c>
      <c r="AN30" s="4">
        <v>0</v>
      </c>
      <c r="AO30" s="4">
        <v>0</v>
      </c>
      <c r="AP30" s="3" t="s">
        <v>58</v>
      </c>
      <c r="AQ30" s="3" t="s">
        <v>58</v>
      </c>
      <c r="AS30" s="6" t="str">
        <f>HYPERLINK("https://creighton-primo.hosted.exlibrisgroup.com/primo-explore/search?tab=default_tab&amp;search_scope=EVERYTHING&amp;vid=01CRU&amp;lang=en_US&amp;offset=0&amp;query=any,contains,991001374929702656","Catalog Record")</f>
        <v>Catalog Record</v>
      </c>
      <c r="AT30" s="6" t="str">
        <f>HYPERLINK("http://www.worldcat.org/oclc/18595780","WorldCat Record")</f>
        <v>WorldCat Record</v>
      </c>
      <c r="AU30" s="3" t="s">
        <v>469</v>
      </c>
      <c r="AV30" s="3" t="s">
        <v>470</v>
      </c>
      <c r="AW30" s="3" t="s">
        <v>471</v>
      </c>
      <c r="AX30" s="3" t="s">
        <v>471</v>
      </c>
      <c r="AY30" s="3" t="s">
        <v>472</v>
      </c>
      <c r="AZ30" s="3" t="s">
        <v>74</v>
      </c>
      <c r="BC30" s="3" t="s">
        <v>473</v>
      </c>
      <c r="BD30" s="3" t="s">
        <v>474</v>
      </c>
    </row>
    <row r="31" spans="1:56" ht="42.75" customHeight="1" x14ac:dyDescent="0.25">
      <c r="A31" s="7" t="s">
        <v>58</v>
      </c>
      <c r="B31" s="2" t="s">
        <v>475</v>
      </c>
      <c r="C31" s="2" t="s">
        <v>476</v>
      </c>
      <c r="D31" s="2" t="s">
        <v>477</v>
      </c>
      <c r="E31" s="3" t="s">
        <v>478</v>
      </c>
      <c r="F31" s="3" t="s">
        <v>58</v>
      </c>
      <c r="G31" s="3" t="s">
        <v>59</v>
      </c>
      <c r="H31" s="3" t="s">
        <v>58</v>
      </c>
      <c r="I31" s="3" t="s">
        <v>58</v>
      </c>
      <c r="J31" s="3" t="s">
        <v>60</v>
      </c>
      <c r="L31" s="2" t="s">
        <v>479</v>
      </c>
      <c r="M31" s="3" t="s">
        <v>480</v>
      </c>
      <c r="O31" s="3" t="s">
        <v>64</v>
      </c>
      <c r="P31" s="3" t="s">
        <v>316</v>
      </c>
      <c r="Q31" s="2" t="s">
        <v>481</v>
      </c>
      <c r="R31" s="3" t="s">
        <v>67</v>
      </c>
      <c r="S31" s="4">
        <v>1</v>
      </c>
      <c r="T31" s="4">
        <v>1</v>
      </c>
      <c r="U31" s="5" t="s">
        <v>482</v>
      </c>
      <c r="V31" s="5" t="s">
        <v>482</v>
      </c>
      <c r="W31" s="5" t="s">
        <v>483</v>
      </c>
      <c r="X31" s="5" t="s">
        <v>483</v>
      </c>
      <c r="Y31" s="4">
        <v>61</v>
      </c>
      <c r="Z31" s="4">
        <v>49</v>
      </c>
      <c r="AA31" s="4">
        <v>49</v>
      </c>
      <c r="AB31" s="4">
        <v>2</v>
      </c>
      <c r="AC31" s="4">
        <v>2</v>
      </c>
      <c r="AD31" s="4">
        <v>2</v>
      </c>
      <c r="AE31" s="4">
        <v>2</v>
      </c>
      <c r="AF31" s="4">
        <v>0</v>
      </c>
      <c r="AG31" s="4">
        <v>0</v>
      </c>
      <c r="AH31" s="4">
        <v>1</v>
      </c>
      <c r="AI31" s="4">
        <v>1</v>
      </c>
      <c r="AJ31" s="4">
        <v>0</v>
      </c>
      <c r="AK31" s="4">
        <v>0</v>
      </c>
      <c r="AL31" s="4">
        <v>1</v>
      </c>
      <c r="AM31" s="4">
        <v>1</v>
      </c>
      <c r="AN31" s="4">
        <v>0</v>
      </c>
      <c r="AO31" s="4">
        <v>0</v>
      </c>
      <c r="AP31" s="3" t="s">
        <v>58</v>
      </c>
      <c r="AQ31" s="3" t="s">
        <v>58</v>
      </c>
      <c r="AS31" s="6" t="str">
        <f>HYPERLINK("https://creighton-primo.hosted.exlibrisgroup.com/primo-explore/search?tab=default_tab&amp;search_scope=EVERYTHING&amp;vid=01CRU&amp;lang=en_US&amp;offset=0&amp;query=any,contains,991001426069702656","Catalog Record")</f>
        <v>Catalog Record</v>
      </c>
      <c r="AT31" s="6" t="str">
        <f>HYPERLINK("http://www.worldcat.org/oclc/19019554","WorldCat Record")</f>
        <v>WorldCat Record</v>
      </c>
      <c r="AU31" s="3" t="s">
        <v>484</v>
      </c>
      <c r="AV31" s="3" t="s">
        <v>485</v>
      </c>
      <c r="AW31" s="3" t="s">
        <v>486</v>
      </c>
      <c r="AX31" s="3" t="s">
        <v>486</v>
      </c>
      <c r="AY31" s="3" t="s">
        <v>487</v>
      </c>
      <c r="AZ31" s="3" t="s">
        <v>74</v>
      </c>
      <c r="BC31" s="3" t="s">
        <v>488</v>
      </c>
      <c r="BD31" s="3" t="s">
        <v>489</v>
      </c>
    </row>
    <row r="32" spans="1:56" ht="42.75" customHeight="1" x14ac:dyDescent="0.25">
      <c r="A32" s="7" t="s">
        <v>58</v>
      </c>
      <c r="B32" s="2" t="s">
        <v>490</v>
      </c>
      <c r="C32" s="2" t="s">
        <v>491</v>
      </c>
      <c r="D32" s="2" t="s">
        <v>492</v>
      </c>
      <c r="E32" s="3" t="s">
        <v>493</v>
      </c>
      <c r="F32" s="3" t="s">
        <v>58</v>
      </c>
      <c r="G32" s="3" t="s">
        <v>59</v>
      </c>
      <c r="H32" s="3" t="s">
        <v>58</v>
      </c>
      <c r="I32" s="3" t="s">
        <v>58</v>
      </c>
      <c r="J32" s="3" t="s">
        <v>60</v>
      </c>
      <c r="L32" s="2" t="s">
        <v>494</v>
      </c>
      <c r="M32" s="3" t="s">
        <v>480</v>
      </c>
      <c r="O32" s="3" t="s">
        <v>64</v>
      </c>
      <c r="P32" s="3" t="s">
        <v>316</v>
      </c>
      <c r="Q32" s="2" t="s">
        <v>495</v>
      </c>
      <c r="R32" s="3" t="s">
        <v>67</v>
      </c>
      <c r="S32" s="4">
        <v>2</v>
      </c>
      <c r="T32" s="4">
        <v>2</v>
      </c>
      <c r="U32" s="5" t="s">
        <v>496</v>
      </c>
      <c r="V32" s="5" t="s">
        <v>496</v>
      </c>
      <c r="W32" s="5" t="s">
        <v>497</v>
      </c>
      <c r="X32" s="5" t="s">
        <v>497</v>
      </c>
      <c r="Y32" s="4">
        <v>62</v>
      </c>
      <c r="Z32" s="4">
        <v>50</v>
      </c>
      <c r="AA32" s="4">
        <v>50</v>
      </c>
      <c r="AB32" s="4">
        <v>2</v>
      </c>
      <c r="AC32" s="4">
        <v>2</v>
      </c>
      <c r="AD32" s="4">
        <v>2</v>
      </c>
      <c r="AE32" s="4">
        <v>2</v>
      </c>
      <c r="AF32" s="4">
        <v>0</v>
      </c>
      <c r="AG32" s="4">
        <v>0</v>
      </c>
      <c r="AH32" s="4">
        <v>1</v>
      </c>
      <c r="AI32" s="4">
        <v>1</v>
      </c>
      <c r="AJ32" s="4">
        <v>0</v>
      </c>
      <c r="AK32" s="4">
        <v>0</v>
      </c>
      <c r="AL32" s="4">
        <v>1</v>
      </c>
      <c r="AM32" s="4">
        <v>1</v>
      </c>
      <c r="AN32" s="4">
        <v>0</v>
      </c>
      <c r="AO32" s="4">
        <v>0</v>
      </c>
      <c r="AP32" s="3" t="s">
        <v>58</v>
      </c>
      <c r="AQ32" s="3" t="s">
        <v>58</v>
      </c>
      <c r="AS32" s="6" t="str">
        <f>HYPERLINK("https://creighton-primo.hosted.exlibrisgroup.com/primo-explore/search?tab=default_tab&amp;search_scope=EVERYTHING&amp;vid=01CRU&amp;lang=en_US&amp;offset=0&amp;query=any,contains,991001465279702656","Catalog Record")</f>
        <v>Catalog Record</v>
      </c>
      <c r="AT32" s="6" t="str">
        <f>HYPERLINK("http://www.worldcat.org/oclc/19509011","WorldCat Record")</f>
        <v>WorldCat Record</v>
      </c>
      <c r="AU32" s="3" t="s">
        <v>498</v>
      </c>
      <c r="AV32" s="3" t="s">
        <v>499</v>
      </c>
      <c r="AW32" s="3" t="s">
        <v>500</v>
      </c>
      <c r="AX32" s="3" t="s">
        <v>500</v>
      </c>
      <c r="AY32" s="3" t="s">
        <v>501</v>
      </c>
      <c r="AZ32" s="3" t="s">
        <v>74</v>
      </c>
      <c r="BC32" s="3" t="s">
        <v>502</v>
      </c>
      <c r="BD32" s="3" t="s">
        <v>503</v>
      </c>
    </row>
    <row r="33" spans="1:56" ht="42.75" customHeight="1" x14ac:dyDescent="0.25">
      <c r="A33" s="7" t="s">
        <v>58</v>
      </c>
      <c r="B33" s="2" t="s">
        <v>504</v>
      </c>
      <c r="C33" s="2" t="s">
        <v>505</v>
      </c>
      <c r="D33" s="2" t="s">
        <v>506</v>
      </c>
      <c r="E33" s="3" t="s">
        <v>507</v>
      </c>
      <c r="F33" s="3" t="s">
        <v>58</v>
      </c>
      <c r="G33" s="3" t="s">
        <v>59</v>
      </c>
      <c r="H33" s="3" t="s">
        <v>86</v>
      </c>
      <c r="I33" s="3" t="s">
        <v>58</v>
      </c>
      <c r="J33" s="3" t="s">
        <v>60</v>
      </c>
      <c r="L33" s="2" t="s">
        <v>508</v>
      </c>
      <c r="M33" s="3" t="s">
        <v>480</v>
      </c>
      <c r="O33" s="3" t="s">
        <v>64</v>
      </c>
      <c r="P33" s="3" t="s">
        <v>316</v>
      </c>
      <c r="Q33" s="2" t="s">
        <v>509</v>
      </c>
      <c r="R33" s="3" t="s">
        <v>67</v>
      </c>
      <c r="S33" s="4">
        <v>1</v>
      </c>
      <c r="T33" s="4">
        <v>1</v>
      </c>
      <c r="U33" s="5" t="s">
        <v>373</v>
      </c>
      <c r="V33" s="5" t="s">
        <v>373</v>
      </c>
      <c r="W33" s="5" t="s">
        <v>510</v>
      </c>
      <c r="X33" s="5" t="s">
        <v>402</v>
      </c>
      <c r="Y33" s="4">
        <v>61</v>
      </c>
      <c r="Z33" s="4">
        <v>50</v>
      </c>
      <c r="AA33" s="4">
        <v>50</v>
      </c>
      <c r="AB33" s="4">
        <v>3</v>
      </c>
      <c r="AC33" s="4">
        <v>3</v>
      </c>
      <c r="AD33" s="4">
        <v>2</v>
      </c>
      <c r="AE33" s="4">
        <v>2</v>
      </c>
      <c r="AF33" s="4">
        <v>0</v>
      </c>
      <c r="AG33" s="4">
        <v>0</v>
      </c>
      <c r="AH33" s="4">
        <v>1</v>
      </c>
      <c r="AI33" s="4">
        <v>1</v>
      </c>
      <c r="AJ33" s="4">
        <v>0</v>
      </c>
      <c r="AK33" s="4">
        <v>0</v>
      </c>
      <c r="AL33" s="4">
        <v>1</v>
      </c>
      <c r="AM33" s="4">
        <v>1</v>
      </c>
      <c r="AN33" s="4">
        <v>0</v>
      </c>
      <c r="AO33" s="4">
        <v>0</v>
      </c>
      <c r="AP33" s="3" t="s">
        <v>58</v>
      </c>
      <c r="AQ33" s="3" t="s">
        <v>58</v>
      </c>
      <c r="AS33" s="6" t="str">
        <f>HYPERLINK("https://creighton-primo.hosted.exlibrisgroup.com/primo-explore/search?tab=default_tab&amp;search_scope=EVERYTHING&amp;vid=01CRU&amp;lang=en_US&amp;offset=0&amp;query=any,contains,991001686559702656","Catalog Record")</f>
        <v>Catalog Record</v>
      </c>
      <c r="AT33" s="6" t="str">
        <f>HYPERLINK("http://www.worldcat.org/oclc/19965440","WorldCat Record")</f>
        <v>WorldCat Record</v>
      </c>
      <c r="AU33" s="3" t="s">
        <v>511</v>
      </c>
      <c r="AV33" s="3" t="s">
        <v>512</v>
      </c>
      <c r="AW33" s="3" t="s">
        <v>513</v>
      </c>
      <c r="AX33" s="3" t="s">
        <v>513</v>
      </c>
      <c r="AY33" s="3" t="s">
        <v>514</v>
      </c>
      <c r="AZ33" s="3" t="s">
        <v>74</v>
      </c>
      <c r="BC33" s="3" t="s">
        <v>515</v>
      </c>
      <c r="BD33" s="3" t="s">
        <v>516</v>
      </c>
    </row>
    <row r="34" spans="1:56" ht="42.75" customHeight="1" x14ac:dyDescent="0.25">
      <c r="A34" s="7" t="s">
        <v>58</v>
      </c>
      <c r="B34" s="2" t="s">
        <v>517</v>
      </c>
      <c r="C34" s="2" t="s">
        <v>518</v>
      </c>
      <c r="D34" s="2" t="s">
        <v>519</v>
      </c>
      <c r="E34" s="3" t="s">
        <v>520</v>
      </c>
      <c r="F34" s="3" t="s">
        <v>58</v>
      </c>
      <c r="G34" s="3" t="s">
        <v>59</v>
      </c>
      <c r="H34" s="3" t="s">
        <v>58</v>
      </c>
      <c r="I34" s="3" t="s">
        <v>58</v>
      </c>
      <c r="J34" s="3" t="s">
        <v>60</v>
      </c>
      <c r="L34" s="2" t="s">
        <v>521</v>
      </c>
      <c r="M34" s="3" t="s">
        <v>480</v>
      </c>
      <c r="O34" s="3" t="s">
        <v>64</v>
      </c>
      <c r="P34" s="3" t="s">
        <v>316</v>
      </c>
      <c r="Q34" s="2" t="s">
        <v>522</v>
      </c>
      <c r="R34" s="3" t="s">
        <v>67</v>
      </c>
      <c r="S34" s="4">
        <v>7</v>
      </c>
      <c r="T34" s="4">
        <v>7</v>
      </c>
      <c r="U34" s="5" t="s">
        <v>482</v>
      </c>
      <c r="V34" s="5" t="s">
        <v>482</v>
      </c>
      <c r="W34" s="5" t="s">
        <v>401</v>
      </c>
      <c r="X34" s="5" t="s">
        <v>401</v>
      </c>
      <c r="Y34" s="4">
        <v>57</v>
      </c>
      <c r="Z34" s="4">
        <v>48</v>
      </c>
      <c r="AA34" s="4">
        <v>48</v>
      </c>
      <c r="AB34" s="4">
        <v>2</v>
      </c>
      <c r="AC34" s="4">
        <v>2</v>
      </c>
      <c r="AD34" s="4">
        <v>2</v>
      </c>
      <c r="AE34" s="4">
        <v>2</v>
      </c>
      <c r="AF34" s="4">
        <v>0</v>
      </c>
      <c r="AG34" s="4">
        <v>0</v>
      </c>
      <c r="AH34" s="4">
        <v>1</v>
      </c>
      <c r="AI34" s="4">
        <v>1</v>
      </c>
      <c r="AJ34" s="4">
        <v>0</v>
      </c>
      <c r="AK34" s="4">
        <v>0</v>
      </c>
      <c r="AL34" s="4">
        <v>1</v>
      </c>
      <c r="AM34" s="4">
        <v>1</v>
      </c>
      <c r="AN34" s="4">
        <v>0</v>
      </c>
      <c r="AO34" s="4">
        <v>0</v>
      </c>
      <c r="AP34" s="3" t="s">
        <v>58</v>
      </c>
      <c r="AQ34" s="3" t="s">
        <v>58</v>
      </c>
      <c r="AS34" s="6" t="str">
        <f>HYPERLINK("https://creighton-primo.hosted.exlibrisgroup.com/primo-explore/search?tab=default_tab&amp;search_scope=EVERYTHING&amp;vid=01CRU&amp;lang=en_US&amp;offset=0&amp;query=any,contains,991001599649702656","Catalog Record")</f>
        <v>Catalog Record</v>
      </c>
      <c r="AT34" s="6" t="str">
        <f>HYPERLINK("http://www.worldcat.org/oclc/20644358","WorldCat Record")</f>
        <v>WorldCat Record</v>
      </c>
      <c r="AU34" s="3" t="s">
        <v>523</v>
      </c>
      <c r="AV34" s="3" t="s">
        <v>524</v>
      </c>
      <c r="AW34" s="3" t="s">
        <v>525</v>
      </c>
      <c r="AX34" s="3" t="s">
        <v>525</v>
      </c>
      <c r="AY34" s="3" t="s">
        <v>526</v>
      </c>
      <c r="AZ34" s="3" t="s">
        <v>74</v>
      </c>
      <c r="BC34" s="3" t="s">
        <v>527</v>
      </c>
      <c r="BD34" s="3" t="s">
        <v>528</v>
      </c>
    </row>
    <row r="35" spans="1:56" ht="42.75" customHeight="1" x14ac:dyDescent="0.25">
      <c r="A35" s="7" t="s">
        <v>58</v>
      </c>
      <c r="B35" s="2" t="s">
        <v>529</v>
      </c>
      <c r="C35" s="2" t="s">
        <v>530</v>
      </c>
      <c r="D35" s="2" t="s">
        <v>531</v>
      </c>
      <c r="E35" s="3" t="s">
        <v>532</v>
      </c>
      <c r="F35" s="3" t="s">
        <v>58</v>
      </c>
      <c r="G35" s="3" t="s">
        <v>59</v>
      </c>
      <c r="H35" s="3" t="s">
        <v>58</v>
      </c>
      <c r="I35" s="3" t="s">
        <v>58</v>
      </c>
      <c r="J35" s="3" t="s">
        <v>60</v>
      </c>
      <c r="L35" s="2" t="s">
        <v>533</v>
      </c>
      <c r="M35" s="3" t="s">
        <v>534</v>
      </c>
      <c r="O35" s="3" t="s">
        <v>64</v>
      </c>
      <c r="P35" s="3" t="s">
        <v>316</v>
      </c>
      <c r="Q35" s="2" t="s">
        <v>535</v>
      </c>
      <c r="R35" s="3" t="s">
        <v>67</v>
      </c>
      <c r="S35" s="4">
        <v>2</v>
      </c>
      <c r="T35" s="4">
        <v>2</v>
      </c>
      <c r="U35" s="5" t="s">
        <v>536</v>
      </c>
      <c r="V35" s="5" t="s">
        <v>536</v>
      </c>
      <c r="W35" s="5" t="s">
        <v>483</v>
      </c>
      <c r="X35" s="5" t="s">
        <v>483</v>
      </c>
      <c r="Y35" s="4">
        <v>60</v>
      </c>
      <c r="Z35" s="4">
        <v>50</v>
      </c>
      <c r="AA35" s="4">
        <v>51</v>
      </c>
      <c r="AB35" s="4">
        <v>2</v>
      </c>
      <c r="AC35" s="4">
        <v>2</v>
      </c>
      <c r="AD35" s="4">
        <v>3</v>
      </c>
      <c r="AE35" s="4">
        <v>3</v>
      </c>
      <c r="AF35" s="4">
        <v>0</v>
      </c>
      <c r="AG35" s="4">
        <v>0</v>
      </c>
      <c r="AH35" s="4">
        <v>1</v>
      </c>
      <c r="AI35" s="4">
        <v>1</v>
      </c>
      <c r="AJ35" s="4">
        <v>1</v>
      </c>
      <c r="AK35" s="4">
        <v>1</v>
      </c>
      <c r="AL35" s="4">
        <v>1</v>
      </c>
      <c r="AM35" s="4">
        <v>1</v>
      </c>
      <c r="AN35" s="4">
        <v>0</v>
      </c>
      <c r="AO35" s="4">
        <v>0</v>
      </c>
      <c r="AP35" s="3" t="s">
        <v>58</v>
      </c>
      <c r="AQ35" s="3" t="s">
        <v>58</v>
      </c>
      <c r="AS35" s="6" t="str">
        <f>HYPERLINK("https://creighton-primo.hosted.exlibrisgroup.com/primo-explore/search?tab=default_tab&amp;search_scope=EVERYTHING&amp;vid=01CRU&amp;lang=en_US&amp;offset=0&amp;query=any,contains,991001636099702656","Catalog Record")</f>
        <v>Catalog Record</v>
      </c>
      <c r="AT35" s="6" t="str">
        <f>HYPERLINK("http://www.worldcat.org/oclc/20968714","WorldCat Record")</f>
        <v>WorldCat Record</v>
      </c>
      <c r="AU35" s="3" t="s">
        <v>537</v>
      </c>
      <c r="AV35" s="3" t="s">
        <v>538</v>
      </c>
      <c r="AW35" s="3" t="s">
        <v>539</v>
      </c>
      <c r="AX35" s="3" t="s">
        <v>539</v>
      </c>
      <c r="AY35" s="3" t="s">
        <v>540</v>
      </c>
      <c r="AZ35" s="3" t="s">
        <v>74</v>
      </c>
      <c r="BC35" s="3" t="s">
        <v>541</v>
      </c>
      <c r="BD35" s="3" t="s">
        <v>542</v>
      </c>
    </row>
    <row r="36" spans="1:56" ht="42.75" customHeight="1" x14ac:dyDescent="0.25">
      <c r="A36" s="7" t="s">
        <v>58</v>
      </c>
      <c r="B36" s="2" t="s">
        <v>543</v>
      </c>
      <c r="C36" s="2" t="s">
        <v>544</v>
      </c>
      <c r="D36" s="2" t="s">
        <v>545</v>
      </c>
      <c r="E36" s="3" t="s">
        <v>546</v>
      </c>
      <c r="F36" s="3" t="s">
        <v>58</v>
      </c>
      <c r="G36" s="3" t="s">
        <v>59</v>
      </c>
      <c r="H36" s="3" t="s">
        <v>58</v>
      </c>
      <c r="I36" s="3" t="s">
        <v>58</v>
      </c>
      <c r="J36" s="3" t="s">
        <v>60</v>
      </c>
      <c r="L36" s="2" t="s">
        <v>547</v>
      </c>
      <c r="M36" s="3" t="s">
        <v>534</v>
      </c>
      <c r="O36" s="3" t="s">
        <v>64</v>
      </c>
      <c r="P36" s="3" t="s">
        <v>316</v>
      </c>
      <c r="Q36" s="2" t="s">
        <v>548</v>
      </c>
      <c r="R36" s="3" t="s">
        <v>67</v>
      </c>
      <c r="S36" s="4">
        <v>2</v>
      </c>
      <c r="T36" s="4">
        <v>2</v>
      </c>
      <c r="U36" s="5" t="s">
        <v>373</v>
      </c>
      <c r="V36" s="5" t="s">
        <v>373</v>
      </c>
      <c r="W36" s="5" t="s">
        <v>549</v>
      </c>
      <c r="X36" s="5" t="s">
        <v>549</v>
      </c>
      <c r="Y36" s="4">
        <v>61</v>
      </c>
      <c r="Z36" s="4">
        <v>51</v>
      </c>
      <c r="AA36" s="4">
        <v>51</v>
      </c>
      <c r="AB36" s="4">
        <v>2</v>
      </c>
      <c r="AC36" s="4">
        <v>2</v>
      </c>
      <c r="AD36" s="4">
        <v>3</v>
      </c>
      <c r="AE36" s="4">
        <v>3</v>
      </c>
      <c r="AF36" s="4">
        <v>0</v>
      </c>
      <c r="AG36" s="4">
        <v>0</v>
      </c>
      <c r="AH36" s="4">
        <v>1</v>
      </c>
      <c r="AI36" s="4">
        <v>1</v>
      </c>
      <c r="AJ36" s="4">
        <v>1</v>
      </c>
      <c r="AK36" s="4">
        <v>1</v>
      </c>
      <c r="AL36" s="4">
        <v>1</v>
      </c>
      <c r="AM36" s="4">
        <v>1</v>
      </c>
      <c r="AN36" s="4">
        <v>0</v>
      </c>
      <c r="AO36" s="4">
        <v>0</v>
      </c>
      <c r="AP36" s="3" t="s">
        <v>58</v>
      </c>
      <c r="AQ36" s="3" t="s">
        <v>58</v>
      </c>
      <c r="AS36" s="6" t="str">
        <f>HYPERLINK("https://creighton-primo.hosted.exlibrisgroup.com/primo-explore/search?tab=default_tab&amp;search_scope=EVERYTHING&amp;vid=01CRU&amp;lang=en_US&amp;offset=0&amp;query=any,contains,991001694579702656","Catalog Record")</f>
        <v>Catalog Record</v>
      </c>
      <c r="AT36" s="6" t="str">
        <f>HYPERLINK("http://www.worldcat.org/oclc/21478044","WorldCat Record")</f>
        <v>WorldCat Record</v>
      </c>
      <c r="AU36" s="3" t="s">
        <v>550</v>
      </c>
      <c r="AV36" s="3" t="s">
        <v>551</v>
      </c>
      <c r="AW36" s="3" t="s">
        <v>552</v>
      </c>
      <c r="AX36" s="3" t="s">
        <v>552</v>
      </c>
      <c r="AY36" s="3" t="s">
        <v>553</v>
      </c>
      <c r="AZ36" s="3" t="s">
        <v>74</v>
      </c>
      <c r="BC36" s="3" t="s">
        <v>554</v>
      </c>
      <c r="BD36" s="3" t="s">
        <v>555</v>
      </c>
    </row>
    <row r="37" spans="1:56" ht="42.75" customHeight="1" x14ac:dyDescent="0.25">
      <c r="A37" s="7" t="s">
        <v>58</v>
      </c>
      <c r="B37" s="2" t="s">
        <v>556</v>
      </c>
      <c r="C37" s="2" t="s">
        <v>557</v>
      </c>
      <c r="D37" s="2" t="s">
        <v>558</v>
      </c>
      <c r="E37" s="3" t="s">
        <v>559</v>
      </c>
      <c r="F37" s="3" t="s">
        <v>58</v>
      </c>
      <c r="G37" s="3" t="s">
        <v>59</v>
      </c>
      <c r="H37" s="3" t="s">
        <v>58</v>
      </c>
      <c r="I37" s="3" t="s">
        <v>58</v>
      </c>
      <c r="J37" s="3" t="s">
        <v>60</v>
      </c>
      <c r="L37" s="2" t="s">
        <v>560</v>
      </c>
      <c r="M37" s="3" t="s">
        <v>534</v>
      </c>
      <c r="O37" s="3" t="s">
        <v>64</v>
      </c>
      <c r="P37" s="3" t="s">
        <v>316</v>
      </c>
      <c r="Q37" s="2" t="s">
        <v>561</v>
      </c>
      <c r="R37" s="3" t="s">
        <v>67</v>
      </c>
      <c r="S37" s="4">
        <v>2</v>
      </c>
      <c r="T37" s="4">
        <v>2</v>
      </c>
      <c r="U37" s="5" t="s">
        <v>562</v>
      </c>
      <c r="V37" s="5" t="s">
        <v>562</v>
      </c>
      <c r="W37" s="5" t="s">
        <v>69</v>
      </c>
      <c r="X37" s="5" t="s">
        <v>69</v>
      </c>
      <c r="Y37" s="4">
        <v>61</v>
      </c>
      <c r="Z37" s="4">
        <v>51</v>
      </c>
      <c r="AA37" s="4">
        <v>51</v>
      </c>
      <c r="AB37" s="4">
        <v>2</v>
      </c>
      <c r="AC37" s="4">
        <v>2</v>
      </c>
      <c r="AD37" s="4">
        <v>3</v>
      </c>
      <c r="AE37" s="4">
        <v>3</v>
      </c>
      <c r="AF37" s="4">
        <v>0</v>
      </c>
      <c r="AG37" s="4">
        <v>0</v>
      </c>
      <c r="AH37" s="4">
        <v>1</v>
      </c>
      <c r="AI37" s="4">
        <v>1</v>
      </c>
      <c r="AJ37" s="4">
        <v>1</v>
      </c>
      <c r="AK37" s="4">
        <v>1</v>
      </c>
      <c r="AL37" s="4">
        <v>1</v>
      </c>
      <c r="AM37" s="4">
        <v>1</v>
      </c>
      <c r="AN37" s="4">
        <v>0</v>
      </c>
      <c r="AO37" s="4">
        <v>0</v>
      </c>
      <c r="AP37" s="3" t="s">
        <v>58</v>
      </c>
      <c r="AQ37" s="3" t="s">
        <v>58</v>
      </c>
      <c r="AS37" s="6" t="str">
        <f>HYPERLINK("https://creighton-primo.hosted.exlibrisgroup.com/primo-explore/search?tab=default_tab&amp;search_scope=EVERYTHING&amp;vid=01CRU&amp;lang=en_US&amp;offset=0&amp;query=any,contains,991001748259702656","Catalog Record")</f>
        <v>Catalog Record</v>
      </c>
      <c r="AT37" s="6" t="str">
        <f>HYPERLINK("http://www.worldcat.org/oclc/22132309","WorldCat Record")</f>
        <v>WorldCat Record</v>
      </c>
      <c r="AU37" s="3" t="s">
        <v>563</v>
      </c>
      <c r="AV37" s="3" t="s">
        <v>564</v>
      </c>
      <c r="AW37" s="3" t="s">
        <v>565</v>
      </c>
      <c r="AX37" s="3" t="s">
        <v>565</v>
      </c>
      <c r="AY37" s="3" t="s">
        <v>566</v>
      </c>
      <c r="AZ37" s="3" t="s">
        <v>74</v>
      </c>
      <c r="BC37" s="3" t="s">
        <v>567</v>
      </c>
      <c r="BD37" s="3" t="s">
        <v>568</v>
      </c>
    </row>
    <row r="38" spans="1:56" ht="42.75" customHeight="1" x14ac:dyDescent="0.25">
      <c r="A38" s="7" t="s">
        <v>58</v>
      </c>
      <c r="B38" s="2" t="s">
        <v>569</v>
      </c>
      <c r="C38" s="2" t="s">
        <v>570</v>
      </c>
      <c r="D38" s="2" t="s">
        <v>571</v>
      </c>
      <c r="E38" s="3" t="s">
        <v>572</v>
      </c>
      <c r="F38" s="3" t="s">
        <v>58</v>
      </c>
      <c r="G38" s="3" t="s">
        <v>59</v>
      </c>
      <c r="H38" s="3" t="s">
        <v>58</v>
      </c>
      <c r="I38" s="3" t="s">
        <v>58</v>
      </c>
      <c r="J38" s="3" t="s">
        <v>60</v>
      </c>
      <c r="L38" s="2" t="s">
        <v>560</v>
      </c>
      <c r="M38" s="3" t="s">
        <v>534</v>
      </c>
      <c r="O38" s="3" t="s">
        <v>64</v>
      </c>
      <c r="P38" s="3" t="s">
        <v>316</v>
      </c>
      <c r="Q38" s="2" t="s">
        <v>573</v>
      </c>
      <c r="R38" s="3" t="s">
        <v>67</v>
      </c>
      <c r="S38" s="4">
        <v>2</v>
      </c>
      <c r="T38" s="4">
        <v>2</v>
      </c>
      <c r="U38" s="5" t="s">
        <v>574</v>
      </c>
      <c r="V38" s="5" t="s">
        <v>574</v>
      </c>
      <c r="W38" s="5" t="s">
        <v>374</v>
      </c>
      <c r="X38" s="5" t="s">
        <v>374</v>
      </c>
      <c r="Y38" s="4">
        <v>59</v>
      </c>
      <c r="Z38" s="4">
        <v>49</v>
      </c>
      <c r="AA38" s="4">
        <v>49</v>
      </c>
      <c r="AB38" s="4">
        <v>2</v>
      </c>
      <c r="AC38" s="4">
        <v>2</v>
      </c>
      <c r="AD38" s="4">
        <v>3</v>
      </c>
      <c r="AE38" s="4">
        <v>3</v>
      </c>
      <c r="AF38" s="4">
        <v>0</v>
      </c>
      <c r="AG38" s="4">
        <v>0</v>
      </c>
      <c r="AH38" s="4">
        <v>1</v>
      </c>
      <c r="AI38" s="4">
        <v>1</v>
      </c>
      <c r="AJ38" s="4">
        <v>1</v>
      </c>
      <c r="AK38" s="4">
        <v>1</v>
      </c>
      <c r="AL38" s="4">
        <v>1</v>
      </c>
      <c r="AM38" s="4">
        <v>1</v>
      </c>
      <c r="AN38" s="4">
        <v>0</v>
      </c>
      <c r="AO38" s="4">
        <v>0</v>
      </c>
      <c r="AP38" s="3" t="s">
        <v>58</v>
      </c>
      <c r="AQ38" s="3" t="s">
        <v>58</v>
      </c>
      <c r="AS38" s="6" t="str">
        <f>HYPERLINK("https://creighton-primo.hosted.exlibrisgroup.com/primo-explore/search?tab=default_tab&amp;search_scope=EVERYTHING&amp;vid=01CRU&amp;lang=en_US&amp;offset=0&amp;query=any,contains,991001796839702656","Catalog Record")</f>
        <v>Catalog Record</v>
      </c>
      <c r="AT38" s="6" t="str">
        <f>HYPERLINK("http://www.worldcat.org/oclc/22610807","WorldCat Record")</f>
        <v>WorldCat Record</v>
      </c>
      <c r="AU38" s="3" t="s">
        <v>575</v>
      </c>
      <c r="AV38" s="3" t="s">
        <v>576</v>
      </c>
      <c r="AW38" s="3" t="s">
        <v>577</v>
      </c>
      <c r="AX38" s="3" t="s">
        <v>577</v>
      </c>
      <c r="AY38" s="3" t="s">
        <v>578</v>
      </c>
      <c r="AZ38" s="3" t="s">
        <v>74</v>
      </c>
      <c r="BC38" s="3" t="s">
        <v>579</v>
      </c>
      <c r="BD38" s="3" t="s">
        <v>580</v>
      </c>
    </row>
    <row r="39" spans="1:56" ht="42.75" customHeight="1" x14ac:dyDescent="0.25">
      <c r="A39" s="7" t="s">
        <v>58</v>
      </c>
      <c r="B39" s="2" t="s">
        <v>581</v>
      </c>
      <c r="C39" s="2" t="s">
        <v>582</v>
      </c>
      <c r="D39" s="2" t="s">
        <v>583</v>
      </c>
      <c r="E39" s="3" t="s">
        <v>584</v>
      </c>
      <c r="F39" s="3" t="s">
        <v>58</v>
      </c>
      <c r="G39" s="3" t="s">
        <v>59</v>
      </c>
      <c r="H39" s="3" t="s">
        <v>86</v>
      </c>
      <c r="I39" s="3" t="s">
        <v>58</v>
      </c>
      <c r="J39" s="3" t="s">
        <v>60</v>
      </c>
      <c r="L39" s="2" t="s">
        <v>585</v>
      </c>
      <c r="M39" s="3" t="s">
        <v>586</v>
      </c>
      <c r="O39" s="3" t="s">
        <v>64</v>
      </c>
      <c r="P39" s="3" t="s">
        <v>316</v>
      </c>
      <c r="Q39" s="2" t="s">
        <v>587</v>
      </c>
      <c r="R39" s="3" t="s">
        <v>67</v>
      </c>
      <c r="S39" s="4">
        <v>12</v>
      </c>
      <c r="T39" s="4">
        <v>12</v>
      </c>
      <c r="U39" s="5" t="s">
        <v>588</v>
      </c>
      <c r="V39" s="5" t="s">
        <v>588</v>
      </c>
      <c r="W39" s="5" t="s">
        <v>589</v>
      </c>
      <c r="X39" s="5" t="s">
        <v>402</v>
      </c>
      <c r="Y39" s="4">
        <v>65</v>
      </c>
      <c r="Z39" s="4">
        <v>52</v>
      </c>
      <c r="AA39" s="4">
        <v>52</v>
      </c>
      <c r="AB39" s="4">
        <v>3</v>
      </c>
      <c r="AC39" s="4">
        <v>3</v>
      </c>
      <c r="AD39" s="4">
        <v>4</v>
      </c>
      <c r="AE39" s="4">
        <v>4</v>
      </c>
      <c r="AF39" s="4">
        <v>1</v>
      </c>
      <c r="AG39" s="4">
        <v>1</v>
      </c>
      <c r="AH39" s="4">
        <v>1</v>
      </c>
      <c r="AI39" s="4">
        <v>1</v>
      </c>
      <c r="AJ39" s="4">
        <v>1</v>
      </c>
      <c r="AK39" s="4">
        <v>1</v>
      </c>
      <c r="AL39" s="4">
        <v>1</v>
      </c>
      <c r="AM39" s="4">
        <v>1</v>
      </c>
      <c r="AN39" s="4">
        <v>0</v>
      </c>
      <c r="AO39" s="4">
        <v>0</v>
      </c>
      <c r="AP39" s="3" t="s">
        <v>58</v>
      </c>
      <c r="AQ39" s="3" t="s">
        <v>58</v>
      </c>
      <c r="AS39" s="6" t="str">
        <f>HYPERLINK("https://creighton-primo.hosted.exlibrisgroup.com/primo-explore/search?tab=default_tab&amp;search_scope=EVERYTHING&amp;vid=01CRU&amp;lang=en_US&amp;offset=0&amp;query=any,contains,991001687459702656","Catalog Record")</f>
        <v>Catalog Record</v>
      </c>
      <c r="AT39" s="6" t="str">
        <f>HYPERLINK("http://www.worldcat.org/oclc/23034936","WorldCat Record")</f>
        <v>WorldCat Record</v>
      </c>
      <c r="AU39" s="3" t="s">
        <v>590</v>
      </c>
      <c r="AV39" s="3" t="s">
        <v>591</v>
      </c>
      <c r="AW39" s="3" t="s">
        <v>592</v>
      </c>
      <c r="AX39" s="3" t="s">
        <v>592</v>
      </c>
      <c r="AY39" s="3" t="s">
        <v>593</v>
      </c>
      <c r="AZ39" s="3" t="s">
        <v>74</v>
      </c>
      <c r="BC39" s="3" t="s">
        <v>594</v>
      </c>
      <c r="BD39" s="3" t="s">
        <v>595</v>
      </c>
    </row>
    <row r="40" spans="1:56" ht="42.75" customHeight="1" x14ac:dyDescent="0.25">
      <c r="A40" s="7" t="s">
        <v>58</v>
      </c>
      <c r="B40" s="2" t="s">
        <v>596</v>
      </c>
      <c r="C40" s="2" t="s">
        <v>597</v>
      </c>
      <c r="D40" s="2" t="s">
        <v>598</v>
      </c>
      <c r="E40" s="3" t="s">
        <v>599</v>
      </c>
      <c r="F40" s="3" t="s">
        <v>58</v>
      </c>
      <c r="G40" s="3" t="s">
        <v>59</v>
      </c>
      <c r="H40" s="3" t="s">
        <v>58</v>
      </c>
      <c r="I40" s="3" t="s">
        <v>58</v>
      </c>
      <c r="J40" s="3" t="s">
        <v>60</v>
      </c>
      <c r="L40" s="2" t="s">
        <v>600</v>
      </c>
      <c r="M40" s="3" t="s">
        <v>586</v>
      </c>
      <c r="O40" s="3" t="s">
        <v>64</v>
      </c>
      <c r="P40" s="3" t="s">
        <v>316</v>
      </c>
      <c r="Q40" s="2" t="s">
        <v>601</v>
      </c>
      <c r="R40" s="3" t="s">
        <v>67</v>
      </c>
      <c r="S40" s="4">
        <v>1</v>
      </c>
      <c r="T40" s="4">
        <v>1</v>
      </c>
      <c r="U40" s="5" t="s">
        <v>602</v>
      </c>
      <c r="V40" s="5" t="s">
        <v>602</v>
      </c>
      <c r="W40" s="5" t="s">
        <v>603</v>
      </c>
      <c r="X40" s="5" t="s">
        <v>603</v>
      </c>
      <c r="Y40" s="4">
        <v>60</v>
      </c>
      <c r="Z40" s="4">
        <v>48</v>
      </c>
      <c r="AA40" s="4">
        <v>48</v>
      </c>
      <c r="AB40" s="4">
        <v>2</v>
      </c>
      <c r="AC40" s="4">
        <v>2</v>
      </c>
      <c r="AD40" s="4">
        <v>4</v>
      </c>
      <c r="AE40" s="4">
        <v>4</v>
      </c>
      <c r="AF40" s="4">
        <v>1</v>
      </c>
      <c r="AG40" s="4">
        <v>1</v>
      </c>
      <c r="AH40" s="4">
        <v>1</v>
      </c>
      <c r="AI40" s="4">
        <v>1</v>
      </c>
      <c r="AJ40" s="4">
        <v>1</v>
      </c>
      <c r="AK40" s="4">
        <v>1</v>
      </c>
      <c r="AL40" s="4">
        <v>1</v>
      </c>
      <c r="AM40" s="4">
        <v>1</v>
      </c>
      <c r="AN40" s="4">
        <v>0</v>
      </c>
      <c r="AO40" s="4">
        <v>0</v>
      </c>
      <c r="AP40" s="3" t="s">
        <v>58</v>
      </c>
      <c r="AQ40" s="3" t="s">
        <v>58</v>
      </c>
      <c r="AS40" s="6" t="str">
        <f>HYPERLINK("https://creighton-primo.hosted.exlibrisgroup.com/primo-explore/search?tab=default_tab&amp;search_scope=EVERYTHING&amp;vid=01CRU&amp;lang=en_US&amp;offset=0&amp;query=any,contains,991001882789702656","Catalog Record")</f>
        <v>Catalog Record</v>
      </c>
      <c r="AT40" s="6" t="str">
        <f>HYPERLINK("http://www.worldcat.org/oclc/23739841","WorldCat Record")</f>
        <v>WorldCat Record</v>
      </c>
      <c r="AU40" s="3" t="s">
        <v>604</v>
      </c>
      <c r="AV40" s="3" t="s">
        <v>605</v>
      </c>
      <c r="AW40" s="3" t="s">
        <v>606</v>
      </c>
      <c r="AX40" s="3" t="s">
        <v>606</v>
      </c>
      <c r="AY40" s="3" t="s">
        <v>607</v>
      </c>
      <c r="AZ40" s="3" t="s">
        <v>74</v>
      </c>
      <c r="BC40" s="3" t="s">
        <v>608</v>
      </c>
      <c r="BD40" s="3" t="s">
        <v>609</v>
      </c>
    </row>
    <row r="41" spans="1:56" ht="42.75" customHeight="1" x14ac:dyDescent="0.25">
      <c r="A41" s="7" t="s">
        <v>58</v>
      </c>
      <c r="B41" s="2" t="s">
        <v>610</v>
      </c>
      <c r="C41" s="2" t="s">
        <v>611</v>
      </c>
      <c r="D41" s="2" t="s">
        <v>612</v>
      </c>
      <c r="E41" s="3" t="s">
        <v>613</v>
      </c>
      <c r="F41" s="3" t="s">
        <v>58</v>
      </c>
      <c r="G41" s="3" t="s">
        <v>59</v>
      </c>
      <c r="H41" s="3" t="s">
        <v>86</v>
      </c>
      <c r="I41" s="3" t="s">
        <v>58</v>
      </c>
      <c r="J41" s="3" t="s">
        <v>60</v>
      </c>
      <c r="L41" s="2" t="s">
        <v>614</v>
      </c>
      <c r="M41" s="3" t="s">
        <v>586</v>
      </c>
      <c r="O41" s="3" t="s">
        <v>64</v>
      </c>
      <c r="P41" s="3" t="s">
        <v>316</v>
      </c>
      <c r="Q41" s="2" t="s">
        <v>615</v>
      </c>
      <c r="R41" s="3" t="s">
        <v>67</v>
      </c>
      <c r="S41" s="4">
        <v>3</v>
      </c>
      <c r="T41" s="4">
        <v>3</v>
      </c>
      <c r="U41" s="5" t="s">
        <v>496</v>
      </c>
      <c r="V41" s="5" t="s">
        <v>496</v>
      </c>
      <c r="W41" s="5" t="s">
        <v>616</v>
      </c>
      <c r="X41" s="5" t="s">
        <v>402</v>
      </c>
      <c r="Y41" s="4">
        <v>63</v>
      </c>
      <c r="Z41" s="4">
        <v>52</v>
      </c>
      <c r="AA41" s="4">
        <v>52</v>
      </c>
      <c r="AB41" s="4">
        <v>3</v>
      </c>
      <c r="AC41" s="4">
        <v>3</v>
      </c>
      <c r="AD41" s="4">
        <v>4</v>
      </c>
      <c r="AE41" s="4">
        <v>4</v>
      </c>
      <c r="AF41" s="4">
        <v>1</v>
      </c>
      <c r="AG41" s="4">
        <v>1</v>
      </c>
      <c r="AH41" s="4">
        <v>1</v>
      </c>
      <c r="AI41" s="4">
        <v>1</v>
      </c>
      <c r="AJ41" s="4">
        <v>1</v>
      </c>
      <c r="AK41" s="4">
        <v>1</v>
      </c>
      <c r="AL41" s="4">
        <v>1</v>
      </c>
      <c r="AM41" s="4">
        <v>1</v>
      </c>
      <c r="AN41" s="4">
        <v>0</v>
      </c>
      <c r="AO41" s="4">
        <v>0</v>
      </c>
      <c r="AP41" s="3" t="s">
        <v>58</v>
      </c>
      <c r="AQ41" s="3" t="s">
        <v>58</v>
      </c>
      <c r="AS41" s="6" t="str">
        <f>HYPERLINK("https://creighton-primo.hosted.exlibrisgroup.com/primo-explore/search?tab=default_tab&amp;search_scope=EVERYTHING&amp;vid=01CRU&amp;lang=en_US&amp;offset=0&amp;query=any,contains,991001687779702656","Catalog Record")</f>
        <v>Catalog Record</v>
      </c>
      <c r="AT41" s="6" t="str">
        <f>HYPERLINK("http://www.worldcat.org/oclc/24150965","WorldCat Record")</f>
        <v>WorldCat Record</v>
      </c>
      <c r="AU41" s="3" t="s">
        <v>617</v>
      </c>
      <c r="AV41" s="3" t="s">
        <v>618</v>
      </c>
      <c r="AW41" s="3" t="s">
        <v>619</v>
      </c>
      <c r="AX41" s="3" t="s">
        <v>619</v>
      </c>
      <c r="AY41" s="3" t="s">
        <v>620</v>
      </c>
      <c r="AZ41" s="3" t="s">
        <v>74</v>
      </c>
      <c r="BC41" s="3" t="s">
        <v>621</v>
      </c>
      <c r="BD41" s="3" t="s">
        <v>622</v>
      </c>
    </row>
    <row r="42" spans="1:56" ht="42.75" customHeight="1" x14ac:dyDescent="0.25">
      <c r="A42" s="7" t="s">
        <v>58</v>
      </c>
      <c r="B42" s="2" t="s">
        <v>623</v>
      </c>
      <c r="C42" s="2" t="s">
        <v>624</v>
      </c>
      <c r="D42" s="2" t="s">
        <v>625</v>
      </c>
      <c r="E42" s="3" t="s">
        <v>626</v>
      </c>
      <c r="F42" s="3" t="s">
        <v>58</v>
      </c>
      <c r="G42" s="3" t="s">
        <v>59</v>
      </c>
      <c r="H42" s="3" t="s">
        <v>58</v>
      </c>
      <c r="I42" s="3" t="s">
        <v>58</v>
      </c>
      <c r="J42" s="3" t="s">
        <v>60</v>
      </c>
      <c r="L42" s="2" t="s">
        <v>627</v>
      </c>
      <c r="M42" s="3" t="s">
        <v>586</v>
      </c>
      <c r="O42" s="3" t="s">
        <v>64</v>
      </c>
      <c r="P42" s="3" t="s">
        <v>316</v>
      </c>
      <c r="Q42" s="2" t="s">
        <v>628</v>
      </c>
      <c r="R42" s="3" t="s">
        <v>67</v>
      </c>
      <c r="S42" s="4">
        <v>6</v>
      </c>
      <c r="T42" s="4">
        <v>6</v>
      </c>
      <c r="U42" s="5" t="s">
        <v>629</v>
      </c>
      <c r="V42" s="5" t="s">
        <v>629</v>
      </c>
      <c r="W42" s="5" t="s">
        <v>630</v>
      </c>
      <c r="X42" s="5" t="s">
        <v>630</v>
      </c>
      <c r="Y42" s="4">
        <v>59</v>
      </c>
      <c r="Z42" s="4">
        <v>48</v>
      </c>
      <c r="AA42" s="4">
        <v>48</v>
      </c>
      <c r="AB42" s="4">
        <v>2</v>
      </c>
      <c r="AC42" s="4">
        <v>2</v>
      </c>
      <c r="AD42" s="4">
        <v>4</v>
      </c>
      <c r="AE42" s="4">
        <v>4</v>
      </c>
      <c r="AF42" s="4">
        <v>1</v>
      </c>
      <c r="AG42" s="4">
        <v>1</v>
      </c>
      <c r="AH42" s="4">
        <v>1</v>
      </c>
      <c r="AI42" s="4">
        <v>1</v>
      </c>
      <c r="AJ42" s="4">
        <v>1</v>
      </c>
      <c r="AK42" s="4">
        <v>1</v>
      </c>
      <c r="AL42" s="4">
        <v>1</v>
      </c>
      <c r="AM42" s="4">
        <v>1</v>
      </c>
      <c r="AN42" s="4">
        <v>0</v>
      </c>
      <c r="AO42" s="4">
        <v>0</v>
      </c>
      <c r="AP42" s="3" t="s">
        <v>58</v>
      </c>
      <c r="AQ42" s="3" t="s">
        <v>58</v>
      </c>
      <c r="AS42" s="6" t="str">
        <f>HYPERLINK("https://creighton-primo.hosted.exlibrisgroup.com/primo-explore/search?tab=default_tab&amp;search_scope=EVERYTHING&amp;vid=01CRU&amp;lang=en_US&amp;offset=0&amp;query=any,contains,991001946849702656","Catalog Record")</f>
        <v>Catalog Record</v>
      </c>
      <c r="AT42" s="6" t="str">
        <f>HYPERLINK("http://www.worldcat.org/oclc/24606303","WorldCat Record")</f>
        <v>WorldCat Record</v>
      </c>
      <c r="AU42" s="3" t="s">
        <v>631</v>
      </c>
      <c r="AV42" s="3" t="s">
        <v>632</v>
      </c>
      <c r="AW42" s="3" t="s">
        <v>633</v>
      </c>
      <c r="AX42" s="3" t="s">
        <v>633</v>
      </c>
      <c r="AY42" s="3" t="s">
        <v>634</v>
      </c>
      <c r="AZ42" s="3" t="s">
        <v>74</v>
      </c>
      <c r="BC42" s="3" t="s">
        <v>635</v>
      </c>
      <c r="BD42" s="3" t="s">
        <v>636</v>
      </c>
    </row>
    <row r="43" spans="1:56" ht="42.75" customHeight="1" x14ac:dyDescent="0.25">
      <c r="A43" s="7" t="s">
        <v>58</v>
      </c>
      <c r="B43" s="2" t="s">
        <v>637</v>
      </c>
      <c r="C43" s="2" t="s">
        <v>638</v>
      </c>
      <c r="D43" s="2" t="s">
        <v>639</v>
      </c>
      <c r="E43" s="3" t="s">
        <v>640</v>
      </c>
      <c r="F43" s="3" t="s">
        <v>58</v>
      </c>
      <c r="G43" s="3" t="s">
        <v>59</v>
      </c>
      <c r="H43" s="3" t="s">
        <v>58</v>
      </c>
      <c r="I43" s="3" t="s">
        <v>58</v>
      </c>
      <c r="J43" s="3" t="s">
        <v>60</v>
      </c>
      <c r="L43" s="2" t="s">
        <v>641</v>
      </c>
      <c r="M43" s="3" t="s">
        <v>642</v>
      </c>
      <c r="O43" s="3" t="s">
        <v>64</v>
      </c>
      <c r="P43" s="3" t="s">
        <v>316</v>
      </c>
      <c r="Q43" s="2" t="s">
        <v>643</v>
      </c>
      <c r="R43" s="3" t="s">
        <v>67</v>
      </c>
      <c r="S43" s="4">
        <v>6</v>
      </c>
      <c r="T43" s="4">
        <v>6</v>
      </c>
      <c r="U43" s="5" t="s">
        <v>644</v>
      </c>
      <c r="V43" s="5" t="s">
        <v>644</v>
      </c>
      <c r="W43" s="5" t="s">
        <v>497</v>
      </c>
      <c r="X43" s="5" t="s">
        <v>497</v>
      </c>
      <c r="Y43" s="4">
        <v>65</v>
      </c>
      <c r="Z43" s="4">
        <v>52</v>
      </c>
      <c r="AA43" s="4">
        <v>52</v>
      </c>
      <c r="AB43" s="4">
        <v>2</v>
      </c>
      <c r="AC43" s="4">
        <v>2</v>
      </c>
      <c r="AD43" s="4">
        <v>4</v>
      </c>
      <c r="AE43" s="4">
        <v>4</v>
      </c>
      <c r="AF43" s="4">
        <v>1</v>
      </c>
      <c r="AG43" s="4">
        <v>1</v>
      </c>
      <c r="AH43" s="4">
        <v>1</v>
      </c>
      <c r="AI43" s="4">
        <v>1</v>
      </c>
      <c r="AJ43" s="4">
        <v>1</v>
      </c>
      <c r="AK43" s="4">
        <v>1</v>
      </c>
      <c r="AL43" s="4">
        <v>1</v>
      </c>
      <c r="AM43" s="4">
        <v>1</v>
      </c>
      <c r="AN43" s="4">
        <v>0</v>
      </c>
      <c r="AO43" s="4">
        <v>0</v>
      </c>
      <c r="AP43" s="3" t="s">
        <v>58</v>
      </c>
      <c r="AQ43" s="3" t="s">
        <v>58</v>
      </c>
      <c r="AS43" s="6" t="str">
        <f>HYPERLINK("https://creighton-primo.hosted.exlibrisgroup.com/primo-explore/search?tab=default_tab&amp;search_scope=EVERYTHING&amp;vid=01CRU&amp;lang=en_US&amp;offset=0&amp;query=any,contains,991001986329702656","Catalog Record")</f>
        <v>Catalog Record</v>
      </c>
      <c r="AT43" s="6" t="str">
        <f>HYPERLINK("http://www.worldcat.org/oclc/25212321","WorldCat Record")</f>
        <v>WorldCat Record</v>
      </c>
      <c r="AU43" s="3" t="s">
        <v>645</v>
      </c>
      <c r="AV43" s="3" t="s">
        <v>646</v>
      </c>
      <c r="AW43" s="3" t="s">
        <v>647</v>
      </c>
      <c r="AX43" s="3" t="s">
        <v>647</v>
      </c>
      <c r="AY43" s="3" t="s">
        <v>648</v>
      </c>
      <c r="AZ43" s="3" t="s">
        <v>74</v>
      </c>
      <c r="BC43" s="3" t="s">
        <v>649</v>
      </c>
      <c r="BD43" s="3" t="s">
        <v>650</v>
      </c>
    </row>
    <row r="44" spans="1:56" ht="42.75" customHeight="1" x14ac:dyDescent="0.25">
      <c r="A44" s="7" t="s">
        <v>58</v>
      </c>
      <c r="B44" s="2" t="s">
        <v>651</v>
      </c>
      <c r="C44" s="2" t="s">
        <v>652</v>
      </c>
      <c r="D44" s="2" t="s">
        <v>653</v>
      </c>
      <c r="E44" s="3" t="s">
        <v>654</v>
      </c>
      <c r="F44" s="3" t="s">
        <v>58</v>
      </c>
      <c r="G44" s="3" t="s">
        <v>59</v>
      </c>
      <c r="H44" s="3" t="s">
        <v>58</v>
      </c>
      <c r="I44" s="3" t="s">
        <v>58</v>
      </c>
      <c r="J44" s="3" t="s">
        <v>60</v>
      </c>
      <c r="L44" s="2" t="s">
        <v>641</v>
      </c>
      <c r="M44" s="3" t="s">
        <v>642</v>
      </c>
      <c r="O44" s="3" t="s">
        <v>64</v>
      </c>
      <c r="P44" s="3" t="s">
        <v>316</v>
      </c>
      <c r="Q44" s="2" t="s">
        <v>655</v>
      </c>
      <c r="R44" s="3" t="s">
        <v>67</v>
      </c>
      <c r="S44" s="4">
        <v>28</v>
      </c>
      <c r="T44" s="4">
        <v>28</v>
      </c>
      <c r="U44" s="5" t="s">
        <v>656</v>
      </c>
      <c r="V44" s="5" t="s">
        <v>656</v>
      </c>
      <c r="W44" s="5" t="s">
        <v>657</v>
      </c>
      <c r="X44" s="5" t="s">
        <v>657</v>
      </c>
      <c r="Y44" s="4">
        <v>60</v>
      </c>
      <c r="Z44" s="4">
        <v>51</v>
      </c>
      <c r="AA44" s="4">
        <v>51</v>
      </c>
      <c r="AB44" s="4">
        <v>2</v>
      </c>
      <c r="AC44" s="4">
        <v>2</v>
      </c>
      <c r="AD44" s="4">
        <v>4</v>
      </c>
      <c r="AE44" s="4">
        <v>4</v>
      </c>
      <c r="AF44" s="4">
        <v>1</v>
      </c>
      <c r="AG44" s="4">
        <v>1</v>
      </c>
      <c r="AH44" s="4">
        <v>1</v>
      </c>
      <c r="AI44" s="4">
        <v>1</v>
      </c>
      <c r="AJ44" s="4">
        <v>1</v>
      </c>
      <c r="AK44" s="4">
        <v>1</v>
      </c>
      <c r="AL44" s="4">
        <v>1</v>
      </c>
      <c r="AM44" s="4">
        <v>1</v>
      </c>
      <c r="AN44" s="4">
        <v>0</v>
      </c>
      <c r="AO44" s="4">
        <v>0</v>
      </c>
      <c r="AP44" s="3" t="s">
        <v>58</v>
      </c>
      <c r="AQ44" s="3" t="s">
        <v>58</v>
      </c>
      <c r="AS44" s="6" t="str">
        <f>HYPERLINK("https://creighton-primo.hosted.exlibrisgroup.com/primo-explore/search?tab=default_tab&amp;search_scope=EVERYTHING&amp;vid=01CRU&amp;lang=en_US&amp;offset=0&amp;query=any,contains,991002022549702656","Catalog Record")</f>
        <v>Catalog Record</v>
      </c>
      <c r="AT44" s="6" t="str">
        <f>HYPERLINK("http://www.worldcat.org/oclc/25739573","WorldCat Record")</f>
        <v>WorldCat Record</v>
      </c>
      <c r="AU44" s="3" t="s">
        <v>658</v>
      </c>
      <c r="AV44" s="3" t="s">
        <v>659</v>
      </c>
      <c r="AW44" s="3" t="s">
        <v>660</v>
      </c>
      <c r="AX44" s="3" t="s">
        <v>660</v>
      </c>
      <c r="AY44" s="3" t="s">
        <v>661</v>
      </c>
      <c r="AZ44" s="3" t="s">
        <v>74</v>
      </c>
      <c r="BC44" s="3" t="s">
        <v>662</v>
      </c>
      <c r="BD44" s="3" t="s">
        <v>663</v>
      </c>
    </row>
    <row r="45" spans="1:56" ht="42.75" customHeight="1" x14ac:dyDescent="0.25">
      <c r="A45" s="7" t="s">
        <v>58</v>
      </c>
      <c r="B45" s="2" t="s">
        <v>664</v>
      </c>
      <c r="C45" s="2" t="s">
        <v>665</v>
      </c>
      <c r="D45" s="2" t="s">
        <v>666</v>
      </c>
      <c r="E45" s="3" t="s">
        <v>667</v>
      </c>
      <c r="F45" s="3" t="s">
        <v>58</v>
      </c>
      <c r="G45" s="3" t="s">
        <v>59</v>
      </c>
      <c r="H45" s="3" t="s">
        <v>58</v>
      </c>
      <c r="I45" s="3" t="s">
        <v>58</v>
      </c>
      <c r="J45" s="3" t="s">
        <v>60</v>
      </c>
      <c r="L45" s="2" t="s">
        <v>641</v>
      </c>
      <c r="M45" s="3" t="s">
        <v>642</v>
      </c>
      <c r="O45" s="3" t="s">
        <v>64</v>
      </c>
      <c r="P45" s="3" t="s">
        <v>316</v>
      </c>
      <c r="Q45" s="2" t="s">
        <v>668</v>
      </c>
      <c r="R45" s="3" t="s">
        <v>67</v>
      </c>
      <c r="S45" s="4">
        <v>6</v>
      </c>
      <c r="T45" s="4">
        <v>6</v>
      </c>
      <c r="U45" s="5" t="s">
        <v>669</v>
      </c>
      <c r="V45" s="5" t="s">
        <v>669</v>
      </c>
      <c r="W45" s="5" t="s">
        <v>670</v>
      </c>
      <c r="X45" s="5" t="s">
        <v>670</v>
      </c>
      <c r="Y45" s="4">
        <v>57</v>
      </c>
      <c r="Z45" s="4">
        <v>51</v>
      </c>
      <c r="AA45" s="4">
        <v>51</v>
      </c>
      <c r="AB45" s="4">
        <v>2</v>
      </c>
      <c r="AC45" s="4">
        <v>2</v>
      </c>
      <c r="AD45" s="4">
        <v>4</v>
      </c>
      <c r="AE45" s="4">
        <v>4</v>
      </c>
      <c r="AF45" s="4">
        <v>1</v>
      </c>
      <c r="AG45" s="4">
        <v>1</v>
      </c>
      <c r="AH45" s="4">
        <v>1</v>
      </c>
      <c r="AI45" s="4">
        <v>1</v>
      </c>
      <c r="AJ45" s="4">
        <v>1</v>
      </c>
      <c r="AK45" s="4">
        <v>1</v>
      </c>
      <c r="AL45" s="4">
        <v>1</v>
      </c>
      <c r="AM45" s="4">
        <v>1</v>
      </c>
      <c r="AN45" s="4">
        <v>0</v>
      </c>
      <c r="AO45" s="4">
        <v>0</v>
      </c>
      <c r="AP45" s="3" t="s">
        <v>58</v>
      </c>
      <c r="AQ45" s="3" t="s">
        <v>58</v>
      </c>
      <c r="AS45" s="6" t="str">
        <f>HYPERLINK("https://creighton-primo.hosted.exlibrisgroup.com/primo-explore/search?tab=default_tab&amp;search_scope=EVERYTHING&amp;vid=01CRU&amp;lang=en_US&amp;offset=0&amp;query=any,contains,991002053649702656","Catalog Record")</f>
        <v>Catalog Record</v>
      </c>
      <c r="AT45" s="6" t="str">
        <f>HYPERLINK("http://www.worldcat.org/oclc/26230663","WorldCat Record")</f>
        <v>WorldCat Record</v>
      </c>
      <c r="AU45" s="3" t="s">
        <v>671</v>
      </c>
      <c r="AV45" s="3" t="s">
        <v>672</v>
      </c>
      <c r="AW45" s="3" t="s">
        <v>673</v>
      </c>
      <c r="AX45" s="3" t="s">
        <v>673</v>
      </c>
      <c r="AY45" s="3" t="s">
        <v>674</v>
      </c>
      <c r="AZ45" s="3" t="s">
        <v>74</v>
      </c>
      <c r="BC45" s="3" t="s">
        <v>675</v>
      </c>
      <c r="BD45" s="3" t="s">
        <v>676</v>
      </c>
    </row>
    <row r="46" spans="1:56" ht="42.75" customHeight="1" x14ac:dyDescent="0.25">
      <c r="A46" s="7" t="s">
        <v>58</v>
      </c>
      <c r="B46" s="2" t="s">
        <v>677</v>
      </c>
      <c r="C46" s="2" t="s">
        <v>678</v>
      </c>
      <c r="D46" s="2" t="s">
        <v>679</v>
      </c>
      <c r="E46" s="3" t="s">
        <v>680</v>
      </c>
      <c r="F46" s="3" t="s">
        <v>58</v>
      </c>
      <c r="G46" s="3" t="s">
        <v>59</v>
      </c>
      <c r="H46" s="3" t="s">
        <v>58</v>
      </c>
      <c r="I46" s="3" t="s">
        <v>58</v>
      </c>
      <c r="J46" s="3" t="s">
        <v>60</v>
      </c>
      <c r="L46" s="2" t="s">
        <v>681</v>
      </c>
      <c r="M46" s="3" t="s">
        <v>642</v>
      </c>
      <c r="O46" s="3" t="s">
        <v>64</v>
      </c>
      <c r="P46" s="3" t="s">
        <v>316</v>
      </c>
      <c r="Q46" s="2" t="s">
        <v>682</v>
      </c>
      <c r="R46" s="3" t="s">
        <v>67</v>
      </c>
      <c r="S46" s="4">
        <v>9</v>
      </c>
      <c r="T46" s="4">
        <v>9</v>
      </c>
      <c r="U46" s="5" t="s">
        <v>669</v>
      </c>
      <c r="V46" s="5" t="s">
        <v>669</v>
      </c>
      <c r="W46" s="5" t="s">
        <v>683</v>
      </c>
      <c r="X46" s="5" t="s">
        <v>683</v>
      </c>
      <c r="Y46" s="4">
        <v>54</v>
      </c>
      <c r="Z46" s="4">
        <v>48</v>
      </c>
      <c r="AA46" s="4">
        <v>48</v>
      </c>
      <c r="AB46" s="4">
        <v>2</v>
      </c>
      <c r="AC46" s="4">
        <v>2</v>
      </c>
      <c r="AD46" s="4">
        <v>4</v>
      </c>
      <c r="AE46" s="4">
        <v>4</v>
      </c>
      <c r="AF46" s="4">
        <v>1</v>
      </c>
      <c r="AG46" s="4">
        <v>1</v>
      </c>
      <c r="AH46" s="4">
        <v>1</v>
      </c>
      <c r="AI46" s="4">
        <v>1</v>
      </c>
      <c r="AJ46" s="4">
        <v>1</v>
      </c>
      <c r="AK46" s="4">
        <v>1</v>
      </c>
      <c r="AL46" s="4">
        <v>1</v>
      </c>
      <c r="AM46" s="4">
        <v>1</v>
      </c>
      <c r="AN46" s="4">
        <v>0</v>
      </c>
      <c r="AO46" s="4">
        <v>0</v>
      </c>
      <c r="AP46" s="3" t="s">
        <v>58</v>
      </c>
      <c r="AQ46" s="3" t="s">
        <v>58</v>
      </c>
      <c r="AS46" s="6" t="str">
        <f>HYPERLINK("https://creighton-primo.hosted.exlibrisgroup.com/primo-explore/search?tab=default_tab&amp;search_scope=EVERYTHING&amp;vid=01CRU&amp;lang=en_US&amp;offset=0&amp;query=any,contains,991002084249702656","Catalog Record")</f>
        <v>Catalog Record</v>
      </c>
      <c r="AT46" s="6" t="str">
        <f>HYPERLINK("http://www.worldcat.org/oclc/26733344","WorldCat Record")</f>
        <v>WorldCat Record</v>
      </c>
      <c r="AU46" s="3" t="s">
        <v>684</v>
      </c>
      <c r="AV46" s="3" t="s">
        <v>685</v>
      </c>
      <c r="AW46" s="3" t="s">
        <v>686</v>
      </c>
      <c r="AX46" s="3" t="s">
        <v>686</v>
      </c>
      <c r="AY46" s="3" t="s">
        <v>687</v>
      </c>
      <c r="AZ46" s="3" t="s">
        <v>74</v>
      </c>
      <c r="BC46" s="3" t="s">
        <v>688</v>
      </c>
      <c r="BD46" s="3" t="s">
        <v>689</v>
      </c>
    </row>
    <row r="47" spans="1:56" ht="42.75" customHeight="1" x14ac:dyDescent="0.25">
      <c r="A47" s="7" t="s">
        <v>58</v>
      </c>
      <c r="B47" s="2" t="s">
        <v>690</v>
      </c>
      <c r="C47" s="2" t="s">
        <v>691</v>
      </c>
      <c r="D47" s="2" t="s">
        <v>692</v>
      </c>
      <c r="E47" s="3" t="s">
        <v>693</v>
      </c>
      <c r="F47" s="3" t="s">
        <v>58</v>
      </c>
      <c r="G47" s="3" t="s">
        <v>59</v>
      </c>
      <c r="H47" s="3" t="s">
        <v>58</v>
      </c>
      <c r="I47" s="3" t="s">
        <v>58</v>
      </c>
      <c r="J47" s="3" t="s">
        <v>60</v>
      </c>
      <c r="L47" s="2" t="s">
        <v>694</v>
      </c>
      <c r="M47" s="3" t="s">
        <v>695</v>
      </c>
      <c r="O47" s="3" t="s">
        <v>64</v>
      </c>
      <c r="P47" s="3" t="s">
        <v>316</v>
      </c>
      <c r="Q47" s="2" t="s">
        <v>696</v>
      </c>
      <c r="R47" s="3" t="s">
        <v>67</v>
      </c>
      <c r="S47" s="4">
        <v>5</v>
      </c>
      <c r="T47" s="4">
        <v>5</v>
      </c>
      <c r="U47" s="5" t="s">
        <v>697</v>
      </c>
      <c r="V47" s="5" t="s">
        <v>697</v>
      </c>
      <c r="W47" s="5" t="s">
        <v>698</v>
      </c>
      <c r="X47" s="5" t="s">
        <v>698</v>
      </c>
      <c r="Y47" s="4">
        <v>66</v>
      </c>
      <c r="Z47" s="4">
        <v>54</v>
      </c>
      <c r="AA47" s="4">
        <v>54</v>
      </c>
      <c r="AB47" s="4">
        <v>2</v>
      </c>
      <c r="AC47" s="4">
        <v>2</v>
      </c>
      <c r="AD47" s="4">
        <v>5</v>
      </c>
      <c r="AE47" s="4">
        <v>5</v>
      </c>
      <c r="AF47" s="4">
        <v>2</v>
      </c>
      <c r="AG47" s="4">
        <v>2</v>
      </c>
      <c r="AH47" s="4">
        <v>1</v>
      </c>
      <c r="AI47" s="4">
        <v>1</v>
      </c>
      <c r="AJ47" s="4">
        <v>1</v>
      </c>
      <c r="AK47" s="4">
        <v>1</v>
      </c>
      <c r="AL47" s="4">
        <v>1</v>
      </c>
      <c r="AM47" s="4">
        <v>1</v>
      </c>
      <c r="AN47" s="4">
        <v>0</v>
      </c>
      <c r="AO47" s="4">
        <v>0</v>
      </c>
      <c r="AP47" s="3" t="s">
        <v>58</v>
      </c>
      <c r="AQ47" s="3" t="s">
        <v>58</v>
      </c>
      <c r="AS47" s="6" t="str">
        <f>HYPERLINK("https://creighton-primo.hosted.exlibrisgroup.com/primo-explore/search?tab=default_tab&amp;search_scope=EVERYTHING&amp;vid=01CRU&amp;lang=en_US&amp;offset=0&amp;query=any,contains,991002131539702656","Catalog Record")</f>
        <v>Catalog Record</v>
      </c>
      <c r="AT47" s="6" t="str">
        <f>HYPERLINK("http://www.worldcat.org/oclc/27325317","WorldCat Record")</f>
        <v>WorldCat Record</v>
      </c>
      <c r="AU47" s="3" t="s">
        <v>699</v>
      </c>
      <c r="AV47" s="3" t="s">
        <v>700</v>
      </c>
      <c r="AW47" s="3" t="s">
        <v>701</v>
      </c>
      <c r="AX47" s="3" t="s">
        <v>701</v>
      </c>
      <c r="AY47" s="3" t="s">
        <v>702</v>
      </c>
      <c r="AZ47" s="3" t="s">
        <v>74</v>
      </c>
      <c r="BC47" s="3" t="s">
        <v>703</v>
      </c>
      <c r="BD47" s="3" t="s">
        <v>704</v>
      </c>
    </row>
    <row r="48" spans="1:56" ht="42.75" customHeight="1" x14ac:dyDescent="0.25">
      <c r="A48" s="7" t="s">
        <v>58</v>
      </c>
      <c r="B48" s="2" t="s">
        <v>705</v>
      </c>
      <c r="C48" s="2" t="s">
        <v>706</v>
      </c>
      <c r="D48" s="2" t="s">
        <v>707</v>
      </c>
      <c r="E48" s="3" t="s">
        <v>708</v>
      </c>
      <c r="F48" s="3" t="s">
        <v>58</v>
      </c>
      <c r="G48" s="3" t="s">
        <v>59</v>
      </c>
      <c r="H48" s="3" t="s">
        <v>58</v>
      </c>
      <c r="I48" s="3" t="s">
        <v>58</v>
      </c>
      <c r="J48" s="3" t="s">
        <v>60</v>
      </c>
      <c r="L48" s="2" t="s">
        <v>709</v>
      </c>
      <c r="M48" s="3" t="s">
        <v>695</v>
      </c>
      <c r="O48" s="3" t="s">
        <v>64</v>
      </c>
      <c r="P48" s="3" t="s">
        <v>316</v>
      </c>
      <c r="Q48" s="2" t="s">
        <v>710</v>
      </c>
      <c r="R48" s="3" t="s">
        <v>67</v>
      </c>
      <c r="S48" s="4">
        <v>6</v>
      </c>
      <c r="T48" s="4">
        <v>6</v>
      </c>
      <c r="U48" s="5" t="s">
        <v>271</v>
      </c>
      <c r="V48" s="5" t="s">
        <v>271</v>
      </c>
      <c r="W48" s="5" t="s">
        <v>711</v>
      </c>
      <c r="X48" s="5" t="s">
        <v>711</v>
      </c>
      <c r="Y48" s="4">
        <v>68</v>
      </c>
      <c r="Z48" s="4">
        <v>55</v>
      </c>
      <c r="AA48" s="4">
        <v>55</v>
      </c>
      <c r="AB48" s="4">
        <v>2</v>
      </c>
      <c r="AC48" s="4">
        <v>2</v>
      </c>
      <c r="AD48" s="4">
        <v>6</v>
      </c>
      <c r="AE48" s="4">
        <v>6</v>
      </c>
      <c r="AF48" s="4">
        <v>3</v>
      </c>
      <c r="AG48" s="4">
        <v>3</v>
      </c>
      <c r="AH48" s="4">
        <v>1</v>
      </c>
      <c r="AI48" s="4">
        <v>1</v>
      </c>
      <c r="AJ48" s="4">
        <v>2</v>
      </c>
      <c r="AK48" s="4">
        <v>2</v>
      </c>
      <c r="AL48" s="4">
        <v>1</v>
      </c>
      <c r="AM48" s="4">
        <v>1</v>
      </c>
      <c r="AN48" s="4">
        <v>0</v>
      </c>
      <c r="AO48" s="4">
        <v>0</v>
      </c>
      <c r="AP48" s="3" t="s">
        <v>58</v>
      </c>
      <c r="AQ48" s="3" t="s">
        <v>58</v>
      </c>
      <c r="AS48" s="6" t="str">
        <f>HYPERLINK("https://creighton-primo.hosted.exlibrisgroup.com/primo-explore/search?tab=default_tab&amp;search_scope=EVERYTHING&amp;vid=01CRU&amp;lang=en_US&amp;offset=0&amp;query=any,contains,991002175199702656","Catalog Record")</f>
        <v>Catalog Record</v>
      </c>
      <c r="AT48" s="6" t="str">
        <f>HYPERLINK("http://www.worldcat.org/oclc/27998078","WorldCat Record")</f>
        <v>WorldCat Record</v>
      </c>
      <c r="AU48" s="3" t="s">
        <v>712</v>
      </c>
      <c r="AV48" s="3" t="s">
        <v>713</v>
      </c>
      <c r="AW48" s="3" t="s">
        <v>714</v>
      </c>
      <c r="AX48" s="3" t="s">
        <v>714</v>
      </c>
      <c r="AY48" s="3" t="s">
        <v>715</v>
      </c>
      <c r="AZ48" s="3" t="s">
        <v>74</v>
      </c>
      <c r="BC48" s="3" t="s">
        <v>716</v>
      </c>
      <c r="BD48" s="3" t="s">
        <v>717</v>
      </c>
    </row>
    <row r="49" spans="1:56" ht="42.75" customHeight="1" x14ac:dyDescent="0.25">
      <c r="A49" s="7" t="s">
        <v>58</v>
      </c>
      <c r="B49" s="2" t="s">
        <v>718</v>
      </c>
      <c r="C49" s="2" t="s">
        <v>719</v>
      </c>
      <c r="D49" s="2" t="s">
        <v>720</v>
      </c>
      <c r="E49" s="3" t="s">
        <v>721</v>
      </c>
      <c r="F49" s="3" t="s">
        <v>58</v>
      </c>
      <c r="G49" s="3" t="s">
        <v>59</v>
      </c>
      <c r="H49" s="3" t="s">
        <v>58</v>
      </c>
      <c r="I49" s="3" t="s">
        <v>58</v>
      </c>
      <c r="J49" s="3" t="s">
        <v>60</v>
      </c>
      <c r="L49" s="2" t="s">
        <v>722</v>
      </c>
      <c r="M49" s="3" t="s">
        <v>695</v>
      </c>
      <c r="O49" s="3" t="s">
        <v>64</v>
      </c>
      <c r="P49" s="3" t="s">
        <v>316</v>
      </c>
      <c r="Q49" s="2" t="s">
        <v>723</v>
      </c>
      <c r="R49" s="3" t="s">
        <v>67</v>
      </c>
      <c r="S49" s="4">
        <v>5</v>
      </c>
      <c r="T49" s="4">
        <v>5</v>
      </c>
      <c r="U49" s="5" t="s">
        <v>724</v>
      </c>
      <c r="V49" s="5" t="s">
        <v>724</v>
      </c>
      <c r="W49" s="5" t="s">
        <v>725</v>
      </c>
      <c r="X49" s="5" t="s">
        <v>725</v>
      </c>
      <c r="Y49" s="4">
        <v>69</v>
      </c>
      <c r="Z49" s="4">
        <v>56</v>
      </c>
      <c r="AA49" s="4">
        <v>56</v>
      </c>
      <c r="AB49" s="4">
        <v>2</v>
      </c>
      <c r="AC49" s="4">
        <v>2</v>
      </c>
      <c r="AD49" s="4">
        <v>5</v>
      </c>
      <c r="AE49" s="4">
        <v>5</v>
      </c>
      <c r="AF49" s="4">
        <v>2</v>
      </c>
      <c r="AG49" s="4">
        <v>2</v>
      </c>
      <c r="AH49" s="4">
        <v>1</v>
      </c>
      <c r="AI49" s="4">
        <v>1</v>
      </c>
      <c r="AJ49" s="4">
        <v>1</v>
      </c>
      <c r="AK49" s="4">
        <v>1</v>
      </c>
      <c r="AL49" s="4">
        <v>1</v>
      </c>
      <c r="AM49" s="4">
        <v>1</v>
      </c>
      <c r="AN49" s="4">
        <v>0</v>
      </c>
      <c r="AO49" s="4">
        <v>0</v>
      </c>
      <c r="AP49" s="3" t="s">
        <v>58</v>
      </c>
      <c r="AQ49" s="3" t="s">
        <v>58</v>
      </c>
      <c r="AS49" s="6" t="str">
        <f>HYPERLINK("https://creighton-primo.hosted.exlibrisgroup.com/primo-explore/search?tab=default_tab&amp;search_scope=EVERYTHING&amp;vid=01CRU&amp;lang=en_US&amp;offset=0&amp;query=any,contains,991002217989702656","Catalog Record")</f>
        <v>Catalog Record</v>
      </c>
      <c r="AT49" s="6" t="str">
        <f>HYPERLINK("http://www.worldcat.org/oclc/28566682","WorldCat Record")</f>
        <v>WorldCat Record</v>
      </c>
      <c r="AU49" s="3" t="s">
        <v>726</v>
      </c>
      <c r="AV49" s="3" t="s">
        <v>727</v>
      </c>
      <c r="AW49" s="3" t="s">
        <v>728</v>
      </c>
      <c r="AX49" s="3" t="s">
        <v>728</v>
      </c>
      <c r="AY49" s="3" t="s">
        <v>729</v>
      </c>
      <c r="AZ49" s="3" t="s">
        <v>74</v>
      </c>
      <c r="BC49" s="3" t="s">
        <v>730</v>
      </c>
      <c r="BD49" s="3" t="s">
        <v>731</v>
      </c>
    </row>
    <row r="50" spans="1:56" ht="42.75" customHeight="1" x14ac:dyDescent="0.25">
      <c r="A50" s="7" t="s">
        <v>58</v>
      </c>
      <c r="B50" s="2" t="s">
        <v>732</v>
      </c>
      <c r="C50" s="2" t="s">
        <v>733</v>
      </c>
      <c r="D50" s="2" t="s">
        <v>734</v>
      </c>
      <c r="E50" s="3" t="s">
        <v>735</v>
      </c>
      <c r="F50" s="3" t="s">
        <v>58</v>
      </c>
      <c r="G50" s="3" t="s">
        <v>59</v>
      </c>
      <c r="H50" s="3" t="s">
        <v>58</v>
      </c>
      <c r="I50" s="3" t="s">
        <v>58</v>
      </c>
      <c r="J50" s="3" t="s">
        <v>60</v>
      </c>
      <c r="L50" s="2" t="s">
        <v>736</v>
      </c>
      <c r="M50" s="3" t="s">
        <v>737</v>
      </c>
      <c r="O50" s="3" t="s">
        <v>64</v>
      </c>
      <c r="P50" s="3" t="s">
        <v>316</v>
      </c>
      <c r="Q50" s="2" t="s">
        <v>738</v>
      </c>
      <c r="R50" s="3" t="s">
        <v>67</v>
      </c>
      <c r="S50" s="4">
        <v>6</v>
      </c>
      <c r="T50" s="4">
        <v>6</v>
      </c>
      <c r="U50" s="5" t="s">
        <v>442</v>
      </c>
      <c r="V50" s="5" t="s">
        <v>442</v>
      </c>
      <c r="W50" s="5" t="s">
        <v>739</v>
      </c>
      <c r="X50" s="5" t="s">
        <v>739</v>
      </c>
      <c r="Y50" s="4">
        <v>72</v>
      </c>
      <c r="Z50" s="4">
        <v>57</v>
      </c>
      <c r="AA50" s="4">
        <v>57</v>
      </c>
      <c r="AB50" s="4">
        <v>2</v>
      </c>
      <c r="AC50" s="4">
        <v>2</v>
      </c>
      <c r="AD50" s="4">
        <v>5</v>
      </c>
      <c r="AE50" s="4">
        <v>5</v>
      </c>
      <c r="AF50" s="4">
        <v>2</v>
      </c>
      <c r="AG50" s="4">
        <v>2</v>
      </c>
      <c r="AH50" s="4">
        <v>1</v>
      </c>
      <c r="AI50" s="4">
        <v>1</v>
      </c>
      <c r="AJ50" s="4">
        <v>1</v>
      </c>
      <c r="AK50" s="4">
        <v>1</v>
      </c>
      <c r="AL50" s="4">
        <v>1</v>
      </c>
      <c r="AM50" s="4">
        <v>1</v>
      </c>
      <c r="AN50" s="4">
        <v>0</v>
      </c>
      <c r="AO50" s="4">
        <v>0</v>
      </c>
      <c r="AP50" s="3" t="s">
        <v>58</v>
      </c>
      <c r="AQ50" s="3" t="s">
        <v>58</v>
      </c>
      <c r="AS50" s="6" t="str">
        <f>HYPERLINK("https://creighton-primo.hosted.exlibrisgroup.com/primo-explore/search?tab=default_tab&amp;search_scope=EVERYTHING&amp;vid=01CRU&amp;lang=en_US&amp;offset=0&amp;query=any,contains,991002281559702656","Catalog Record")</f>
        <v>Catalog Record</v>
      </c>
      <c r="AT50" s="6" t="str">
        <f>HYPERLINK("http://www.worldcat.org/oclc/29585010","WorldCat Record")</f>
        <v>WorldCat Record</v>
      </c>
      <c r="AU50" s="3" t="s">
        <v>740</v>
      </c>
      <c r="AV50" s="3" t="s">
        <v>741</v>
      </c>
      <c r="AW50" s="3" t="s">
        <v>742</v>
      </c>
      <c r="AX50" s="3" t="s">
        <v>742</v>
      </c>
      <c r="AY50" s="3" t="s">
        <v>743</v>
      </c>
      <c r="AZ50" s="3" t="s">
        <v>74</v>
      </c>
      <c r="BC50" s="3" t="s">
        <v>744</v>
      </c>
      <c r="BD50" s="3" t="s">
        <v>745</v>
      </c>
    </row>
    <row r="51" spans="1:56" ht="42.75" customHeight="1" x14ac:dyDescent="0.25">
      <c r="A51" s="7" t="s">
        <v>58</v>
      </c>
      <c r="B51" s="2" t="s">
        <v>746</v>
      </c>
      <c r="C51" s="2" t="s">
        <v>747</v>
      </c>
      <c r="D51" s="2" t="s">
        <v>748</v>
      </c>
      <c r="E51" s="3" t="s">
        <v>749</v>
      </c>
      <c r="F51" s="3" t="s">
        <v>58</v>
      </c>
      <c r="G51" s="3" t="s">
        <v>59</v>
      </c>
      <c r="H51" s="3" t="s">
        <v>58</v>
      </c>
      <c r="I51" s="3" t="s">
        <v>86</v>
      </c>
      <c r="J51" s="3" t="s">
        <v>60</v>
      </c>
      <c r="L51" s="2" t="s">
        <v>750</v>
      </c>
      <c r="M51" s="3" t="s">
        <v>737</v>
      </c>
      <c r="O51" s="3" t="s">
        <v>64</v>
      </c>
      <c r="P51" s="3" t="s">
        <v>316</v>
      </c>
      <c r="Q51" s="2" t="s">
        <v>751</v>
      </c>
      <c r="R51" s="3" t="s">
        <v>67</v>
      </c>
      <c r="S51" s="4">
        <v>15</v>
      </c>
      <c r="T51" s="4">
        <v>15</v>
      </c>
      <c r="U51" s="5" t="s">
        <v>752</v>
      </c>
      <c r="V51" s="5" t="s">
        <v>752</v>
      </c>
      <c r="W51" s="5" t="s">
        <v>753</v>
      </c>
      <c r="X51" s="5" t="s">
        <v>753</v>
      </c>
      <c r="Y51" s="4">
        <v>64</v>
      </c>
      <c r="Z51" s="4">
        <v>51</v>
      </c>
      <c r="AA51" s="4">
        <v>61</v>
      </c>
      <c r="AB51" s="4">
        <v>2</v>
      </c>
      <c r="AC51" s="4">
        <v>2</v>
      </c>
      <c r="AD51" s="4">
        <v>5</v>
      </c>
      <c r="AE51" s="4">
        <v>5</v>
      </c>
      <c r="AF51" s="4">
        <v>2</v>
      </c>
      <c r="AG51" s="4">
        <v>2</v>
      </c>
      <c r="AH51" s="4">
        <v>1</v>
      </c>
      <c r="AI51" s="4">
        <v>1</v>
      </c>
      <c r="AJ51" s="4">
        <v>1</v>
      </c>
      <c r="AK51" s="4">
        <v>1</v>
      </c>
      <c r="AL51" s="4">
        <v>1</v>
      </c>
      <c r="AM51" s="4">
        <v>1</v>
      </c>
      <c r="AN51" s="4">
        <v>0</v>
      </c>
      <c r="AO51" s="4">
        <v>0</v>
      </c>
      <c r="AP51" s="3" t="s">
        <v>58</v>
      </c>
      <c r="AQ51" s="3" t="s">
        <v>58</v>
      </c>
      <c r="AS51" s="6" t="str">
        <f>HYPERLINK("https://creighton-primo.hosted.exlibrisgroup.com/primo-explore/search?tab=default_tab&amp;search_scope=EVERYTHING&amp;vid=01CRU&amp;lang=en_US&amp;offset=0&amp;query=any,contains,991002336849702656","Catalog Record")</f>
        <v>Catalog Record</v>
      </c>
      <c r="AT51" s="6" t="str">
        <f>HYPERLINK("http://www.worldcat.org/oclc/30406107","WorldCat Record")</f>
        <v>WorldCat Record</v>
      </c>
      <c r="AU51" s="3" t="s">
        <v>754</v>
      </c>
      <c r="AV51" s="3" t="s">
        <v>755</v>
      </c>
      <c r="AW51" s="3" t="s">
        <v>756</v>
      </c>
      <c r="AX51" s="3" t="s">
        <v>756</v>
      </c>
      <c r="AY51" s="3" t="s">
        <v>757</v>
      </c>
      <c r="AZ51" s="3" t="s">
        <v>74</v>
      </c>
      <c r="BC51" s="3" t="s">
        <v>758</v>
      </c>
      <c r="BD51" s="3" t="s">
        <v>759</v>
      </c>
    </row>
    <row r="52" spans="1:56" ht="42.75" customHeight="1" x14ac:dyDescent="0.25">
      <c r="A52" s="7" t="s">
        <v>58</v>
      </c>
      <c r="B52" s="2" t="s">
        <v>760</v>
      </c>
      <c r="C52" s="2" t="s">
        <v>761</v>
      </c>
      <c r="D52" s="2" t="s">
        <v>762</v>
      </c>
      <c r="E52" s="3" t="s">
        <v>763</v>
      </c>
      <c r="F52" s="3" t="s">
        <v>58</v>
      </c>
      <c r="G52" s="3" t="s">
        <v>59</v>
      </c>
      <c r="H52" s="3" t="s">
        <v>58</v>
      </c>
      <c r="I52" s="3" t="s">
        <v>58</v>
      </c>
      <c r="J52" s="3" t="s">
        <v>60</v>
      </c>
      <c r="L52" s="2" t="s">
        <v>764</v>
      </c>
      <c r="M52" s="3" t="s">
        <v>765</v>
      </c>
      <c r="O52" s="3" t="s">
        <v>64</v>
      </c>
      <c r="P52" s="3" t="s">
        <v>316</v>
      </c>
      <c r="Q52" s="2" t="s">
        <v>766</v>
      </c>
      <c r="R52" s="3" t="s">
        <v>67</v>
      </c>
      <c r="S52" s="4">
        <v>1</v>
      </c>
      <c r="T52" s="4">
        <v>1</v>
      </c>
      <c r="U52" s="5" t="s">
        <v>767</v>
      </c>
      <c r="V52" s="5" t="s">
        <v>767</v>
      </c>
      <c r="W52" s="5" t="s">
        <v>768</v>
      </c>
      <c r="X52" s="5" t="s">
        <v>768</v>
      </c>
      <c r="Y52" s="4">
        <v>67</v>
      </c>
      <c r="Z52" s="4">
        <v>53</v>
      </c>
      <c r="AA52" s="4">
        <v>53</v>
      </c>
      <c r="AB52" s="4">
        <v>2</v>
      </c>
      <c r="AC52" s="4">
        <v>2</v>
      </c>
      <c r="AD52" s="4">
        <v>5</v>
      </c>
      <c r="AE52" s="4">
        <v>5</v>
      </c>
      <c r="AF52" s="4">
        <v>2</v>
      </c>
      <c r="AG52" s="4">
        <v>2</v>
      </c>
      <c r="AH52" s="4">
        <v>1</v>
      </c>
      <c r="AI52" s="4">
        <v>1</v>
      </c>
      <c r="AJ52" s="4">
        <v>1</v>
      </c>
      <c r="AK52" s="4">
        <v>1</v>
      </c>
      <c r="AL52" s="4">
        <v>1</v>
      </c>
      <c r="AM52" s="4">
        <v>1</v>
      </c>
      <c r="AN52" s="4">
        <v>0</v>
      </c>
      <c r="AO52" s="4">
        <v>0</v>
      </c>
      <c r="AP52" s="3" t="s">
        <v>58</v>
      </c>
      <c r="AQ52" s="3" t="s">
        <v>58</v>
      </c>
      <c r="AS52" s="6" t="str">
        <f>HYPERLINK("https://creighton-primo.hosted.exlibrisgroup.com/primo-explore/search?tab=default_tab&amp;search_scope=EVERYTHING&amp;vid=01CRU&amp;lang=en_US&amp;offset=0&amp;query=any,contains,991002447899702656","Catalog Record")</f>
        <v>Catalog Record</v>
      </c>
      <c r="AT52" s="6" t="str">
        <f>HYPERLINK("http://www.worldcat.org/oclc/31917334","WorldCat Record")</f>
        <v>WorldCat Record</v>
      </c>
      <c r="AU52" s="3" t="s">
        <v>769</v>
      </c>
      <c r="AV52" s="3" t="s">
        <v>770</v>
      </c>
      <c r="AW52" s="3" t="s">
        <v>771</v>
      </c>
      <c r="AX52" s="3" t="s">
        <v>771</v>
      </c>
      <c r="AY52" s="3" t="s">
        <v>772</v>
      </c>
      <c r="AZ52" s="3" t="s">
        <v>74</v>
      </c>
      <c r="BC52" s="3" t="s">
        <v>773</v>
      </c>
      <c r="BD52" s="3" t="s">
        <v>774</v>
      </c>
    </row>
    <row r="53" spans="1:56" ht="42.75" customHeight="1" x14ac:dyDescent="0.25">
      <c r="A53" s="7" t="s">
        <v>58</v>
      </c>
      <c r="B53" s="2" t="s">
        <v>775</v>
      </c>
      <c r="C53" s="2" t="s">
        <v>776</v>
      </c>
      <c r="D53" s="2" t="s">
        <v>777</v>
      </c>
      <c r="E53" s="3" t="s">
        <v>778</v>
      </c>
      <c r="F53" s="3" t="s">
        <v>58</v>
      </c>
      <c r="G53" s="3" t="s">
        <v>59</v>
      </c>
      <c r="H53" s="3" t="s">
        <v>58</v>
      </c>
      <c r="I53" s="3" t="s">
        <v>58</v>
      </c>
      <c r="J53" s="3" t="s">
        <v>60</v>
      </c>
      <c r="L53" s="2" t="s">
        <v>764</v>
      </c>
      <c r="M53" s="3" t="s">
        <v>765</v>
      </c>
      <c r="O53" s="3" t="s">
        <v>64</v>
      </c>
      <c r="P53" s="3" t="s">
        <v>316</v>
      </c>
      <c r="Q53" s="2" t="s">
        <v>779</v>
      </c>
      <c r="R53" s="3" t="s">
        <v>67</v>
      </c>
      <c r="S53" s="4">
        <v>4</v>
      </c>
      <c r="T53" s="4">
        <v>4</v>
      </c>
      <c r="U53" s="5" t="s">
        <v>629</v>
      </c>
      <c r="V53" s="5" t="s">
        <v>629</v>
      </c>
      <c r="W53" s="5" t="s">
        <v>780</v>
      </c>
      <c r="X53" s="5" t="s">
        <v>780</v>
      </c>
      <c r="Y53" s="4">
        <v>54</v>
      </c>
      <c r="Z53" s="4">
        <v>45</v>
      </c>
      <c r="AA53" s="4">
        <v>51</v>
      </c>
      <c r="AB53" s="4">
        <v>2</v>
      </c>
      <c r="AC53" s="4">
        <v>2</v>
      </c>
      <c r="AD53" s="4">
        <v>5</v>
      </c>
      <c r="AE53" s="4">
        <v>5</v>
      </c>
      <c r="AF53" s="4">
        <v>2</v>
      </c>
      <c r="AG53" s="4">
        <v>2</v>
      </c>
      <c r="AH53" s="4">
        <v>1</v>
      </c>
      <c r="AI53" s="4">
        <v>1</v>
      </c>
      <c r="AJ53" s="4">
        <v>1</v>
      </c>
      <c r="AK53" s="4">
        <v>1</v>
      </c>
      <c r="AL53" s="4">
        <v>1</v>
      </c>
      <c r="AM53" s="4">
        <v>1</v>
      </c>
      <c r="AN53" s="4">
        <v>0</v>
      </c>
      <c r="AO53" s="4">
        <v>0</v>
      </c>
      <c r="AP53" s="3" t="s">
        <v>58</v>
      </c>
      <c r="AQ53" s="3" t="s">
        <v>58</v>
      </c>
      <c r="AS53" s="6" t="str">
        <f>HYPERLINK("https://creighton-primo.hosted.exlibrisgroup.com/primo-explore/search?tab=default_tab&amp;search_scope=EVERYTHING&amp;vid=01CRU&amp;lang=en_US&amp;offset=0&amp;query=any,contains,991002491029702656","Catalog Record")</f>
        <v>Catalog Record</v>
      </c>
      <c r="AT53" s="6" t="str">
        <f>HYPERLINK("http://www.worldcat.org/oclc/32407468","WorldCat Record")</f>
        <v>WorldCat Record</v>
      </c>
      <c r="AU53" s="3" t="s">
        <v>781</v>
      </c>
      <c r="AV53" s="3" t="s">
        <v>782</v>
      </c>
      <c r="AW53" s="3" t="s">
        <v>783</v>
      </c>
      <c r="AX53" s="3" t="s">
        <v>783</v>
      </c>
      <c r="AY53" s="3" t="s">
        <v>784</v>
      </c>
      <c r="AZ53" s="3" t="s">
        <v>74</v>
      </c>
      <c r="BC53" s="3" t="s">
        <v>785</v>
      </c>
      <c r="BD53" s="3" t="s">
        <v>786</v>
      </c>
    </row>
    <row r="54" spans="1:56" ht="42.75" customHeight="1" x14ac:dyDescent="0.25">
      <c r="A54" s="7" t="s">
        <v>58</v>
      </c>
      <c r="B54" s="2" t="s">
        <v>787</v>
      </c>
      <c r="C54" s="2" t="s">
        <v>788</v>
      </c>
      <c r="D54" s="2" t="s">
        <v>789</v>
      </c>
      <c r="E54" s="3" t="s">
        <v>790</v>
      </c>
      <c r="F54" s="3" t="s">
        <v>58</v>
      </c>
      <c r="G54" s="3" t="s">
        <v>59</v>
      </c>
      <c r="H54" s="3" t="s">
        <v>58</v>
      </c>
      <c r="I54" s="3" t="s">
        <v>58</v>
      </c>
      <c r="J54" s="3" t="s">
        <v>60</v>
      </c>
      <c r="L54" s="2" t="s">
        <v>791</v>
      </c>
      <c r="M54" s="3" t="s">
        <v>765</v>
      </c>
      <c r="O54" s="3" t="s">
        <v>64</v>
      </c>
      <c r="P54" s="3" t="s">
        <v>316</v>
      </c>
      <c r="Q54" s="2" t="s">
        <v>792</v>
      </c>
      <c r="R54" s="3" t="s">
        <v>67</v>
      </c>
      <c r="S54" s="4">
        <v>8</v>
      </c>
      <c r="T54" s="4">
        <v>8</v>
      </c>
      <c r="U54" s="5" t="s">
        <v>241</v>
      </c>
      <c r="V54" s="5" t="s">
        <v>241</v>
      </c>
      <c r="W54" s="5" t="s">
        <v>793</v>
      </c>
      <c r="X54" s="5" t="s">
        <v>793</v>
      </c>
      <c r="Y54" s="4">
        <v>60</v>
      </c>
      <c r="Z54" s="4">
        <v>51</v>
      </c>
      <c r="AA54" s="4">
        <v>51</v>
      </c>
      <c r="AB54" s="4">
        <v>2</v>
      </c>
      <c r="AC54" s="4">
        <v>2</v>
      </c>
      <c r="AD54" s="4">
        <v>5</v>
      </c>
      <c r="AE54" s="4">
        <v>5</v>
      </c>
      <c r="AF54" s="4">
        <v>2</v>
      </c>
      <c r="AG54" s="4">
        <v>2</v>
      </c>
      <c r="AH54" s="4">
        <v>1</v>
      </c>
      <c r="AI54" s="4">
        <v>1</v>
      </c>
      <c r="AJ54" s="4">
        <v>1</v>
      </c>
      <c r="AK54" s="4">
        <v>1</v>
      </c>
      <c r="AL54" s="4">
        <v>1</v>
      </c>
      <c r="AM54" s="4">
        <v>1</v>
      </c>
      <c r="AN54" s="4">
        <v>0</v>
      </c>
      <c r="AO54" s="4">
        <v>0</v>
      </c>
      <c r="AP54" s="3" t="s">
        <v>58</v>
      </c>
      <c r="AQ54" s="3" t="s">
        <v>58</v>
      </c>
      <c r="AS54" s="6" t="str">
        <f>HYPERLINK("https://creighton-primo.hosted.exlibrisgroup.com/primo-explore/search?tab=default_tab&amp;search_scope=EVERYTHING&amp;vid=01CRU&amp;lang=en_US&amp;offset=0&amp;query=any,contains,991002532499702656","Catalog Record")</f>
        <v>Catalog Record</v>
      </c>
      <c r="AT54" s="6" t="str">
        <f>HYPERLINK("http://www.worldcat.org/oclc/32901755","WorldCat Record")</f>
        <v>WorldCat Record</v>
      </c>
      <c r="AU54" s="3" t="s">
        <v>794</v>
      </c>
      <c r="AV54" s="3" t="s">
        <v>795</v>
      </c>
      <c r="AW54" s="3" t="s">
        <v>796</v>
      </c>
      <c r="AX54" s="3" t="s">
        <v>796</v>
      </c>
      <c r="AY54" s="3" t="s">
        <v>797</v>
      </c>
      <c r="AZ54" s="3" t="s">
        <v>74</v>
      </c>
      <c r="BC54" s="3" t="s">
        <v>798</v>
      </c>
      <c r="BD54" s="3" t="s">
        <v>799</v>
      </c>
    </row>
    <row r="55" spans="1:56" ht="42.75" customHeight="1" x14ac:dyDescent="0.25">
      <c r="A55" s="7" t="s">
        <v>58</v>
      </c>
      <c r="B55" s="2" t="s">
        <v>800</v>
      </c>
      <c r="C55" s="2" t="s">
        <v>801</v>
      </c>
      <c r="D55" s="2" t="s">
        <v>802</v>
      </c>
      <c r="E55" s="3" t="s">
        <v>803</v>
      </c>
      <c r="F55" s="3" t="s">
        <v>58</v>
      </c>
      <c r="G55" s="3" t="s">
        <v>59</v>
      </c>
      <c r="H55" s="3" t="s">
        <v>86</v>
      </c>
      <c r="I55" s="3" t="s">
        <v>58</v>
      </c>
      <c r="J55" s="3" t="s">
        <v>60</v>
      </c>
      <c r="L55" s="2" t="s">
        <v>804</v>
      </c>
      <c r="M55" s="3" t="s">
        <v>805</v>
      </c>
      <c r="O55" s="3" t="s">
        <v>64</v>
      </c>
      <c r="P55" s="3" t="s">
        <v>316</v>
      </c>
      <c r="Q55" s="2" t="s">
        <v>806</v>
      </c>
      <c r="R55" s="3" t="s">
        <v>67</v>
      </c>
      <c r="S55" s="4">
        <v>8</v>
      </c>
      <c r="T55" s="4">
        <v>8</v>
      </c>
      <c r="U55" s="5" t="s">
        <v>807</v>
      </c>
      <c r="V55" s="5" t="s">
        <v>807</v>
      </c>
      <c r="W55" s="5" t="s">
        <v>808</v>
      </c>
      <c r="X55" s="5" t="s">
        <v>402</v>
      </c>
      <c r="Y55" s="4">
        <v>64</v>
      </c>
      <c r="Z55" s="4">
        <v>52</v>
      </c>
      <c r="AA55" s="4">
        <v>52</v>
      </c>
      <c r="AB55" s="4">
        <v>3</v>
      </c>
      <c r="AC55" s="4">
        <v>3</v>
      </c>
      <c r="AD55" s="4">
        <v>5</v>
      </c>
      <c r="AE55" s="4">
        <v>5</v>
      </c>
      <c r="AF55" s="4">
        <v>2</v>
      </c>
      <c r="AG55" s="4">
        <v>2</v>
      </c>
      <c r="AH55" s="4">
        <v>1</v>
      </c>
      <c r="AI55" s="4">
        <v>1</v>
      </c>
      <c r="AJ55" s="4">
        <v>1</v>
      </c>
      <c r="AK55" s="4">
        <v>1</v>
      </c>
      <c r="AL55" s="4">
        <v>1</v>
      </c>
      <c r="AM55" s="4">
        <v>1</v>
      </c>
      <c r="AN55" s="4">
        <v>0</v>
      </c>
      <c r="AO55" s="4">
        <v>0</v>
      </c>
      <c r="AP55" s="3" t="s">
        <v>58</v>
      </c>
      <c r="AQ55" s="3" t="s">
        <v>58</v>
      </c>
      <c r="AS55" s="6" t="str">
        <f>HYPERLINK("https://creighton-primo.hosted.exlibrisgroup.com/primo-explore/search?tab=default_tab&amp;search_scope=EVERYTHING&amp;vid=01CRU&amp;lang=en_US&amp;offset=0&amp;query=any,contains,991001690939702656","Catalog Record")</f>
        <v>Catalog Record</v>
      </c>
      <c r="AT55" s="6" t="str">
        <f>HYPERLINK("http://www.worldcat.org/oclc/34069468","WorldCat Record")</f>
        <v>WorldCat Record</v>
      </c>
      <c r="AU55" s="3" t="s">
        <v>809</v>
      </c>
      <c r="AV55" s="3" t="s">
        <v>810</v>
      </c>
      <c r="AW55" s="3" t="s">
        <v>811</v>
      </c>
      <c r="AX55" s="3" t="s">
        <v>811</v>
      </c>
      <c r="AY55" s="3" t="s">
        <v>812</v>
      </c>
      <c r="AZ55" s="3" t="s">
        <v>74</v>
      </c>
      <c r="BC55" s="3" t="s">
        <v>813</v>
      </c>
      <c r="BD55" s="3" t="s">
        <v>814</v>
      </c>
    </row>
    <row r="56" spans="1:56" ht="42.75" customHeight="1" x14ac:dyDescent="0.25">
      <c r="A56" s="7" t="s">
        <v>58</v>
      </c>
      <c r="B56" s="2" t="s">
        <v>815</v>
      </c>
      <c r="C56" s="2" t="s">
        <v>816</v>
      </c>
      <c r="D56" s="2" t="s">
        <v>817</v>
      </c>
      <c r="E56" s="3" t="s">
        <v>818</v>
      </c>
      <c r="F56" s="3" t="s">
        <v>58</v>
      </c>
      <c r="G56" s="3" t="s">
        <v>59</v>
      </c>
      <c r="H56" s="3" t="s">
        <v>58</v>
      </c>
      <c r="I56" s="3" t="s">
        <v>58</v>
      </c>
      <c r="J56" s="3" t="s">
        <v>60</v>
      </c>
      <c r="L56" s="2" t="s">
        <v>819</v>
      </c>
      <c r="M56" s="3" t="s">
        <v>805</v>
      </c>
      <c r="O56" s="3" t="s">
        <v>64</v>
      </c>
      <c r="P56" s="3" t="s">
        <v>316</v>
      </c>
      <c r="Q56" s="2" t="s">
        <v>820</v>
      </c>
      <c r="R56" s="3" t="s">
        <v>67</v>
      </c>
      <c r="S56" s="4">
        <v>2</v>
      </c>
      <c r="T56" s="4">
        <v>2</v>
      </c>
      <c r="U56" s="5" t="s">
        <v>821</v>
      </c>
      <c r="V56" s="5" t="s">
        <v>821</v>
      </c>
      <c r="W56" s="5" t="s">
        <v>822</v>
      </c>
      <c r="X56" s="5" t="s">
        <v>822</v>
      </c>
      <c r="Y56" s="4">
        <v>55</v>
      </c>
      <c r="Z56" s="4">
        <v>46</v>
      </c>
      <c r="AA56" s="4">
        <v>46</v>
      </c>
      <c r="AB56" s="4">
        <v>2</v>
      </c>
      <c r="AC56" s="4">
        <v>2</v>
      </c>
      <c r="AD56" s="4">
        <v>5</v>
      </c>
      <c r="AE56" s="4">
        <v>5</v>
      </c>
      <c r="AF56" s="4">
        <v>2</v>
      </c>
      <c r="AG56" s="4">
        <v>2</v>
      </c>
      <c r="AH56" s="4">
        <v>1</v>
      </c>
      <c r="AI56" s="4">
        <v>1</v>
      </c>
      <c r="AJ56" s="4">
        <v>1</v>
      </c>
      <c r="AK56" s="4">
        <v>1</v>
      </c>
      <c r="AL56" s="4">
        <v>1</v>
      </c>
      <c r="AM56" s="4">
        <v>1</v>
      </c>
      <c r="AN56" s="4">
        <v>0</v>
      </c>
      <c r="AO56" s="4">
        <v>0</v>
      </c>
      <c r="AP56" s="3" t="s">
        <v>58</v>
      </c>
      <c r="AQ56" s="3" t="s">
        <v>58</v>
      </c>
      <c r="AS56" s="6" t="str">
        <f>HYPERLINK("https://creighton-primo.hosted.exlibrisgroup.com/primo-explore/search?tab=default_tab&amp;search_scope=EVERYTHING&amp;vid=01CRU&amp;lang=en_US&amp;offset=0&amp;query=any,contains,991002644619702656","Catalog Record")</f>
        <v>Catalog Record</v>
      </c>
      <c r="AT56" s="6" t="str">
        <f>HYPERLINK("http://www.worldcat.org/oclc/34606610","WorldCat Record")</f>
        <v>WorldCat Record</v>
      </c>
      <c r="AU56" s="3" t="s">
        <v>823</v>
      </c>
      <c r="AV56" s="3" t="s">
        <v>824</v>
      </c>
      <c r="AW56" s="3" t="s">
        <v>825</v>
      </c>
      <c r="AX56" s="3" t="s">
        <v>825</v>
      </c>
      <c r="AY56" s="3" t="s">
        <v>826</v>
      </c>
      <c r="AZ56" s="3" t="s">
        <v>74</v>
      </c>
      <c r="BC56" s="3" t="s">
        <v>827</v>
      </c>
      <c r="BD56" s="3" t="s">
        <v>828</v>
      </c>
    </row>
    <row r="57" spans="1:56" ht="42.75" customHeight="1" x14ac:dyDescent="0.25">
      <c r="A57" s="7" t="s">
        <v>58</v>
      </c>
      <c r="B57" s="2" t="s">
        <v>829</v>
      </c>
      <c r="C57" s="2" t="s">
        <v>830</v>
      </c>
      <c r="D57" s="2" t="s">
        <v>831</v>
      </c>
      <c r="E57" s="3" t="s">
        <v>832</v>
      </c>
      <c r="F57" s="3" t="s">
        <v>58</v>
      </c>
      <c r="G57" s="3" t="s">
        <v>59</v>
      </c>
      <c r="H57" s="3" t="s">
        <v>58</v>
      </c>
      <c r="I57" s="3" t="s">
        <v>58</v>
      </c>
      <c r="J57" s="3" t="s">
        <v>60</v>
      </c>
      <c r="L57" s="2" t="s">
        <v>833</v>
      </c>
      <c r="M57" s="3" t="s">
        <v>805</v>
      </c>
      <c r="O57" s="3" t="s">
        <v>64</v>
      </c>
      <c r="P57" s="3" t="s">
        <v>316</v>
      </c>
      <c r="Q57" s="2" t="s">
        <v>834</v>
      </c>
      <c r="R57" s="3" t="s">
        <v>67</v>
      </c>
      <c r="S57" s="4">
        <v>3</v>
      </c>
      <c r="T57" s="4">
        <v>3</v>
      </c>
      <c r="U57" s="5" t="s">
        <v>835</v>
      </c>
      <c r="V57" s="5" t="s">
        <v>835</v>
      </c>
      <c r="W57" s="5" t="s">
        <v>836</v>
      </c>
      <c r="X57" s="5" t="s">
        <v>836</v>
      </c>
      <c r="Y57" s="4">
        <v>65</v>
      </c>
      <c r="Z57" s="4">
        <v>52</v>
      </c>
      <c r="AA57" s="4">
        <v>52</v>
      </c>
      <c r="AB57" s="4">
        <v>2</v>
      </c>
      <c r="AC57" s="4">
        <v>2</v>
      </c>
      <c r="AD57" s="4">
        <v>5</v>
      </c>
      <c r="AE57" s="4">
        <v>5</v>
      </c>
      <c r="AF57" s="4">
        <v>2</v>
      </c>
      <c r="AG57" s="4">
        <v>2</v>
      </c>
      <c r="AH57" s="4">
        <v>1</v>
      </c>
      <c r="AI57" s="4">
        <v>1</v>
      </c>
      <c r="AJ57" s="4">
        <v>1</v>
      </c>
      <c r="AK57" s="4">
        <v>1</v>
      </c>
      <c r="AL57" s="4">
        <v>1</v>
      </c>
      <c r="AM57" s="4">
        <v>1</v>
      </c>
      <c r="AN57" s="4">
        <v>0</v>
      </c>
      <c r="AO57" s="4">
        <v>0</v>
      </c>
      <c r="AP57" s="3" t="s">
        <v>58</v>
      </c>
      <c r="AQ57" s="3" t="s">
        <v>58</v>
      </c>
      <c r="AS57" s="6" t="str">
        <f>HYPERLINK("https://creighton-primo.hosted.exlibrisgroup.com/primo-explore/search?tab=default_tab&amp;search_scope=EVERYTHING&amp;vid=01CRU&amp;lang=en_US&amp;offset=0&amp;query=any,contains,991002681309702656","Catalog Record")</f>
        <v>Catalog Record</v>
      </c>
      <c r="AT57" s="6" t="str">
        <f>HYPERLINK("http://www.worldcat.org/oclc/35036943","WorldCat Record")</f>
        <v>WorldCat Record</v>
      </c>
      <c r="AU57" s="3" t="s">
        <v>837</v>
      </c>
      <c r="AV57" s="3" t="s">
        <v>838</v>
      </c>
      <c r="AW57" s="3" t="s">
        <v>839</v>
      </c>
      <c r="AX57" s="3" t="s">
        <v>839</v>
      </c>
      <c r="AY57" s="3" t="s">
        <v>840</v>
      </c>
      <c r="AZ57" s="3" t="s">
        <v>74</v>
      </c>
      <c r="BC57" s="3" t="s">
        <v>841</v>
      </c>
      <c r="BD57" s="3" t="s">
        <v>842</v>
      </c>
    </row>
    <row r="58" spans="1:56" ht="42.75" customHeight="1" x14ac:dyDescent="0.25">
      <c r="A58" s="7" t="s">
        <v>58</v>
      </c>
      <c r="B58" s="2" t="s">
        <v>843</v>
      </c>
      <c r="C58" s="2" t="s">
        <v>844</v>
      </c>
      <c r="D58" s="2" t="s">
        <v>845</v>
      </c>
      <c r="E58" s="3" t="s">
        <v>846</v>
      </c>
      <c r="F58" s="3" t="s">
        <v>58</v>
      </c>
      <c r="G58" s="3" t="s">
        <v>59</v>
      </c>
      <c r="H58" s="3" t="s">
        <v>58</v>
      </c>
      <c r="I58" s="3" t="s">
        <v>58</v>
      </c>
      <c r="J58" s="3" t="s">
        <v>60</v>
      </c>
      <c r="L58" s="2" t="s">
        <v>819</v>
      </c>
      <c r="M58" s="3" t="s">
        <v>805</v>
      </c>
      <c r="O58" s="3" t="s">
        <v>64</v>
      </c>
      <c r="P58" s="3" t="s">
        <v>316</v>
      </c>
      <c r="Q58" s="2" t="s">
        <v>847</v>
      </c>
      <c r="R58" s="3" t="s">
        <v>67</v>
      </c>
      <c r="S58" s="4">
        <v>4</v>
      </c>
      <c r="T58" s="4">
        <v>4</v>
      </c>
      <c r="U58" s="5" t="s">
        <v>848</v>
      </c>
      <c r="V58" s="5" t="s">
        <v>848</v>
      </c>
      <c r="W58" s="5" t="s">
        <v>849</v>
      </c>
      <c r="X58" s="5" t="s">
        <v>849</v>
      </c>
      <c r="Y58" s="4">
        <v>45</v>
      </c>
      <c r="Z58" s="4">
        <v>39</v>
      </c>
      <c r="AA58" s="4">
        <v>41</v>
      </c>
      <c r="AB58" s="4">
        <v>1</v>
      </c>
      <c r="AC58" s="4">
        <v>2</v>
      </c>
      <c r="AD58" s="4">
        <v>4</v>
      </c>
      <c r="AE58" s="4">
        <v>5</v>
      </c>
      <c r="AF58" s="4">
        <v>2</v>
      </c>
      <c r="AG58" s="4">
        <v>2</v>
      </c>
      <c r="AH58" s="4">
        <v>1</v>
      </c>
      <c r="AI58" s="4">
        <v>1</v>
      </c>
      <c r="AJ58" s="4">
        <v>1</v>
      </c>
      <c r="AK58" s="4">
        <v>1</v>
      </c>
      <c r="AL58" s="4">
        <v>0</v>
      </c>
      <c r="AM58" s="4">
        <v>1</v>
      </c>
      <c r="AN58" s="4">
        <v>0</v>
      </c>
      <c r="AO58" s="4">
        <v>0</v>
      </c>
      <c r="AP58" s="3" t="s">
        <v>58</v>
      </c>
      <c r="AQ58" s="3" t="s">
        <v>58</v>
      </c>
      <c r="AS58" s="6" t="str">
        <f>HYPERLINK("https://creighton-primo.hosted.exlibrisgroup.com/primo-explore/search?tab=default_tab&amp;search_scope=EVERYTHING&amp;vid=01CRU&amp;lang=en_US&amp;offset=0&amp;query=any,contains,991002720219702656","Catalog Record")</f>
        <v>Catalog Record</v>
      </c>
      <c r="AT58" s="6" t="str">
        <f>HYPERLINK("http://www.worldcat.org/oclc/35660180","WorldCat Record")</f>
        <v>WorldCat Record</v>
      </c>
      <c r="AU58" s="3" t="s">
        <v>850</v>
      </c>
      <c r="AV58" s="3" t="s">
        <v>851</v>
      </c>
      <c r="AW58" s="3" t="s">
        <v>852</v>
      </c>
      <c r="AX58" s="3" t="s">
        <v>852</v>
      </c>
      <c r="AY58" s="3" t="s">
        <v>853</v>
      </c>
      <c r="AZ58" s="3" t="s">
        <v>74</v>
      </c>
      <c r="BC58" s="3" t="s">
        <v>854</v>
      </c>
      <c r="BD58" s="3" t="s">
        <v>855</v>
      </c>
    </row>
    <row r="59" spans="1:56" ht="42.75" customHeight="1" x14ac:dyDescent="0.25">
      <c r="A59" s="7" t="s">
        <v>58</v>
      </c>
      <c r="B59" s="2" t="s">
        <v>856</v>
      </c>
      <c r="C59" s="2" t="s">
        <v>857</v>
      </c>
      <c r="D59" s="2" t="s">
        <v>858</v>
      </c>
      <c r="E59" s="3" t="s">
        <v>859</v>
      </c>
      <c r="F59" s="3" t="s">
        <v>58</v>
      </c>
      <c r="G59" s="3" t="s">
        <v>59</v>
      </c>
      <c r="H59" s="3" t="s">
        <v>58</v>
      </c>
      <c r="I59" s="3" t="s">
        <v>58</v>
      </c>
      <c r="J59" s="3" t="s">
        <v>60</v>
      </c>
      <c r="L59" s="2" t="s">
        <v>860</v>
      </c>
      <c r="M59" s="3" t="s">
        <v>144</v>
      </c>
      <c r="O59" s="3" t="s">
        <v>64</v>
      </c>
      <c r="P59" s="3" t="s">
        <v>316</v>
      </c>
      <c r="Q59" s="2" t="s">
        <v>861</v>
      </c>
      <c r="R59" s="3" t="s">
        <v>67</v>
      </c>
      <c r="S59" s="4">
        <v>1</v>
      </c>
      <c r="T59" s="4">
        <v>1</v>
      </c>
      <c r="U59" s="5" t="s">
        <v>862</v>
      </c>
      <c r="V59" s="5" t="s">
        <v>862</v>
      </c>
      <c r="W59" s="5" t="s">
        <v>863</v>
      </c>
      <c r="X59" s="5" t="s">
        <v>863</v>
      </c>
      <c r="Y59" s="4">
        <v>62</v>
      </c>
      <c r="Z59" s="4">
        <v>50</v>
      </c>
      <c r="AA59" s="4">
        <v>50</v>
      </c>
      <c r="AB59" s="4">
        <v>2</v>
      </c>
      <c r="AC59" s="4">
        <v>2</v>
      </c>
      <c r="AD59" s="4">
        <v>4</v>
      </c>
      <c r="AE59" s="4">
        <v>4</v>
      </c>
      <c r="AF59" s="4">
        <v>2</v>
      </c>
      <c r="AG59" s="4">
        <v>2</v>
      </c>
      <c r="AH59" s="4">
        <v>1</v>
      </c>
      <c r="AI59" s="4">
        <v>1</v>
      </c>
      <c r="AJ59" s="4">
        <v>0</v>
      </c>
      <c r="AK59" s="4">
        <v>0</v>
      </c>
      <c r="AL59" s="4">
        <v>1</v>
      </c>
      <c r="AM59" s="4">
        <v>1</v>
      </c>
      <c r="AN59" s="4">
        <v>0</v>
      </c>
      <c r="AO59" s="4">
        <v>0</v>
      </c>
      <c r="AP59" s="3" t="s">
        <v>58</v>
      </c>
      <c r="AQ59" s="3" t="s">
        <v>58</v>
      </c>
      <c r="AS59" s="6" t="str">
        <f>HYPERLINK("https://creighton-primo.hosted.exlibrisgroup.com/primo-explore/search?tab=default_tab&amp;search_scope=EVERYTHING&amp;vid=01CRU&amp;lang=en_US&amp;offset=0&amp;query=any,contains,991003498149702656","Catalog Record")</f>
        <v>Catalog Record</v>
      </c>
      <c r="AT59" s="6" t="str">
        <f>HYPERLINK("http://www.worldcat.org/oclc/36931842","WorldCat Record")</f>
        <v>WorldCat Record</v>
      </c>
      <c r="AU59" s="3" t="s">
        <v>864</v>
      </c>
      <c r="AV59" s="3" t="s">
        <v>865</v>
      </c>
      <c r="AW59" s="3" t="s">
        <v>866</v>
      </c>
      <c r="AX59" s="3" t="s">
        <v>866</v>
      </c>
      <c r="AY59" s="3" t="s">
        <v>867</v>
      </c>
      <c r="AZ59" s="3" t="s">
        <v>74</v>
      </c>
      <c r="BC59" s="3" t="s">
        <v>868</v>
      </c>
      <c r="BD59" s="3" t="s">
        <v>869</v>
      </c>
    </row>
    <row r="60" spans="1:56" ht="42.75" customHeight="1" x14ac:dyDescent="0.25">
      <c r="A60" s="7" t="s">
        <v>58</v>
      </c>
      <c r="B60" s="2" t="s">
        <v>870</v>
      </c>
      <c r="C60" s="2" t="s">
        <v>871</v>
      </c>
      <c r="D60" s="2" t="s">
        <v>872</v>
      </c>
      <c r="E60" s="3" t="s">
        <v>873</v>
      </c>
      <c r="F60" s="3" t="s">
        <v>58</v>
      </c>
      <c r="G60" s="3" t="s">
        <v>59</v>
      </c>
      <c r="H60" s="3" t="s">
        <v>58</v>
      </c>
      <c r="I60" s="3" t="s">
        <v>58</v>
      </c>
      <c r="J60" s="3" t="s">
        <v>60</v>
      </c>
      <c r="L60" s="2" t="s">
        <v>874</v>
      </c>
      <c r="M60" s="3" t="s">
        <v>144</v>
      </c>
      <c r="O60" s="3" t="s">
        <v>64</v>
      </c>
      <c r="P60" s="3" t="s">
        <v>316</v>
      </c>
      <c r="Q60" s="2" t="s">
        <v>875</v>
      </c>
      <c r="R60" s="3" t="s">
        <v>67</v>
      </c>
      <c r="S60" s="4">
        <v>6</v>
      </c>
      <c r="T60" s="4">
        <v>6</v>
      </c>
      <c r="U60" s="5" t="s">
        <v>848</v>
      </c>
      <c r="V60" s="5" t="s">
        <v>848</v>
      </c>
      <c r="W60" s="5" t="s">
        <v>876</v>
      </c>
      <c r="X60" s="5" t="s">
        <v>876</v>
      </c>
      <c r="Y60" s="4">
        <v>48</v>
      </c>
      <c r="Z60" s="4">
        <v>43</v>
      </c>
      <c r="AA60" s="4">
        <v>44</v>
      </c>
      <c r="AB60" s="4">
        <v>1</v>
      </c>
      <c r="AC60" s="4">
        <v>1</v>
      </c>
      <c r="AD60" s="4">
        <v>3</v>
      </c>
      <c r="AE60" s="4">
        <v>3</v>
      </c>
      <c r="AF60" s="4">
        <v>2</v>
      </c>
      <c r="AG60" s="4">
        <v>2</v>
      </c>
      <c r="AH60" s="4">
        <v>1</v>
      </c>
      <c r="AI60" s="4">
        <v>1</v>
      </c>
      <c r="AJ60" s="4">
        <v>0</v>
      </c>
      <c r="AK60" s="4">
        <v>0</v>
      </c>
      <c r="AL60" s="4">
        <v>0</v>
      </c>
      <c r="AM60" s="4">
        <v>0</v>
      </c>
      <c r="AN60" s="4">
        <v>0</v>
      </c>
      <c r="AO60" s="4">
        <v>0</v>
      </c>
      <c r="AP60" s="3" t="s">
        <v>58</v>
      </c>
      <c r="AQ60" s="3" t="s">
        <v>58</v>
      </c>
      <c r="AS60" s="6" t="str">
        <f>HYPERLINK("https://creighton-primo.hosted.exlibrisgroup.com/primo-explore/search?tab=default_tab&amp;search_scope=EVERYTHING&amp;vid=01CRU&amp;lang=en_US&amp;offset=0&amp;query=any,contains,991002763339702656","Catalog Record")</f>
        <v>Catalog Record</v>
      </c>
      <c r="AT60" s="6" t="str">
        <f>HYPERLINK("http://www.worldcat.org/oclc/36248754","WorldCat Record")</f>
        <v>WorldCat Record</v>
      </c>
      <c r="AU60" s="3" t="s">
        <v>877</v>
      </c>
      <c r="AV60" s="3" t="s">
        <v>878</v>
      </c>
      <c r="AW60" s="3" t="s">
        <v>879</v>
      </c>
      <c r="AX60" s="3" t="s">
        <v>879</v>
      </c>
      <c r="AY60" s="3" t="s">
        <v>880</v>
      </c>
      <c r="AZ60" s="3" t="s">
        <v>74</v>
      </c>
      <c r="BC60" s="3" t="s">
        <v>881</v>
      </c>
      <c r="BD60" s="3" t="s">
        <v>882</v>
      </c>
    </row>
    <row r="61" spans="1:56" ht="42.75" customHeight="1" x14ac:dyDescent="0.25">
      <c r="A61" s="7" t="s">
        <v>58</v>
      </c>
      <c r="B61" s="2" t="s">
        <v>883</v>
      </c>
      <c r="C61" s="2" t="s">
        <v>884</v>
      </c>
      <c r="D61" s="2" t="s">
        <v>885</v>
      </c>
      <c r="E61" s="3" t="s">
        <v>886</v>
      </c>
      <c r="F61" s="3" t="s">
        <v>58</v>
      </c>
      <c r="G61" s="3" t="s">
        <v>59</v>
      </c>
      <c r="H61" s="3" t="s">
        <v>58</v>
      </c>
      <c r="I61" s="3" t="s">
        <v>58</v>
      </c>
      <c r="J61" s="3" t="s">
        <v>60</v>
      </c>
      <c r="L61" s="2" t="s">
        <v>887</v>
      </c>
      <c r="M61" s="3" t="s">
        <v>888</v>
      </c>
      <c r="O61" s="3" t="s">
        <v>64</v>
      </c>
      <c r="P61" s="3" t="s">
        <v>316</v>
      </c>
      <c r="Q61" s="2" t="s">
        <v>889</v>
      </c>
      <c r="R61" s="3" t="s">
        <v>67</v>
      </c>
      <c r="S61" s="4">
        <v>3</v>
      </c>
      <c r="T61" s="4">
        <v>3</v>
      </c>
      <c r="U61" s="5" t="s">
        <v>890</v>
      </c>
      <c r="V61" s="5" t="s">
        <v>890</v>
      </c>
      <c r="W61" s="5" t="s">
        <v>891</v>
      </c>
      <c r="X61" s="5" t="s">
        <v>891</v>
      </c>
      <c r="Y61" s="4">
        <v>60</v>
      </c>
      <c r="Z61" s="4">
        <v>50</v>
      </c>
      <c r="AA61" s="4">
        <v>50</v>
      </c>
      <c r="AB61" s="4">
        <v>2</v>
      </c>
      <c r="AC61" s="4">
        <v>2</v>
      </c>
      <c r="AD61" s="4">
        <v>4</v>
      </c>
      <c r="AE61" s="4">
        <v>4</v>
      </c>
      <c r="AF61" s="4">
        <v>2</v>
      </c>
      <c r="AG61" s="4">
        <v>2</v>
      </c>
      <c r="AH61" s="4">
        <v>1</v>
      </c>
      <c r="AI61" s="4">
        <v>1</v>
      </c>
      <c r="AJ61" s="4">
        <v>0</v>
      </c>
      <c r="AK61" s="4">
        <v>0</v>
      </c>
      <c r="AL61" s="4">
        <v>1</v>
      </c>
      <c r="AM61" s="4">
        <v>1</v>
      </c>
      <c r="AN61" s="4">
        <v>0</v>
      </c>
      <c r="AO61" s="4">
        <v>0</v>
      </c>
      <c r="AP61" s="3" t="s">
        <v>58</v>
      </c>
      <c r="AQ61" s="3" t="s">
        <v>58</v>
      </c>
      <c r="AS61" s="6" t="str">
        <f>HYPERLINK("https://creighton-primo.hosted.exlibrisgroup.com/primo-explore/search?tab=default_tab&amp;search_scope=EVERYTHING&amp;vid=01CRU&amp;lang=en_US&amp;offset=0&amp;query=any,contains,991002902549702656","Catalog Record")</f>
        <v>Catalog Record</v>
      </c>
      <c r="AT61" s="6" t="str">
        <f>HYPERLINK("http://www.worldcat.org/oclc/38271308","WorldCat Record")</f>
        <v>WorldCat Record</v>
      </c>
      <c r="AU61" s="3" t="s">
        <v>892</v>
      </c>
      <c r="AV61" s="3" t="s">
        <v>893</v>
      </c>
      <c r="AW61" s="3" t="s">
        <v>894</v>
      </c>
      <c r="AX61" s="3" t="s">
        <v>894</v>
      </c>
      <c r="AY61" s="3" t="s">
        <v>895</v>
      </c>
      <c r="AZ61" s="3" t="s">
        <v>74</v>
      </c>
      <c r="BC61" s="3" t="s">
        <v>896</v>
      </c>
      <c r="BD61" s="3" t="s">
        <v>897</v>
      </c>
    </row>
    <row r="62" spans="1:56" ht="42.75" customHeight="1" x14ac:dyDescent="0.25">
      <c r="A62" s="7" t="s">
        <v>58</v>
      </c>
      <c r="B62" s="2" t="s">
        <v>898</v>
      </c>
      <c r="C62" s="2" t="s">
        <v>899</v>
      </c>
      <c r="D62" s="2" t="s">
        <v>900</v>
      </c>
      <c r="E62" s="3" t="s">
        <v>901</v>
      </c>
      <c r="F62" s="3" t="s">
        <v>58</v>
      </c>
      <c r="G62" s="3" t="s">
        <v>59</v>
      </c>
      <c r="H62" s="3" t="s">
        <v>58</v>
      </c>
      <c r="I62" s="3" t="s">
        <v>58</v>
      </c>
      <c r="J62" s="3" t="s">
        <v>60</v>
      </c>
      <c r="L62" s="2" t="s">
        <v>887</v>
      </c>
      <c r="M62" s="3" t="s">
        <v>888</v>
      </c>
      <c r="O62" s="3" t="s">
        <v>64</v>
      </c>
      <c r="P62" s="3" t="s">
        <v>316</v>
      </c>
      <c r="Q62" s="2" t="s">
        <v>902</v>
      </c>
      <c r="R62" s="3" t="s">
        <v>67</v>
      </c>
      <c r="S62" s="4">
        <v>16</v>
      </c>
      <c r="T62" s="4">
        <v>16</v>
      </c>
      <c r="U62" s="5" t="s">
        <v>903</v>
      </c>
      <c r="V62" s="5" t="s">
        <v>903</v>
      </c>
      <c r="W62" s="5" t="s">
        <v>904</v>
      </c>
      <c r="X62" s="5" t="s">
        <v>904</v>
      </c>
      <c r="Y62" s="4">
        <v>57</v>
      </c>
      <c r="Z62" s="4">
        <v>47</v>
      </c>
      <c r="AA62" s="4">
        <v>47</v>
      </c>
      <c r="AB62" s="4">
        <v>2</v>
      </c>
      <c r="AC62" s="4">
        <v>2</v>
      </c>
      <c r="AD62" s="4">
        <v>4</v>
      </c>
      <c r="AE62" s="4">
        <v>4</v>
      </c>
      <c r="AF62" s="4">
        <v>2</v>
      </c>
      <c r="AG62" s="4">
        <v>2</v>
      </c>
      <c r="AH62" s="4">
        <v>1</v>
      </c>
      <c r="AI62" s="4">
        <v>1</v>
      </c>
      <c r="AJ62" s="4">
        <v>0</v>
      </c>
      <c r="AK62" s="4">
        <v>0</v>
      </c>
      <c r="AL62" s="4">
        <v>1</v>
      </c>
      <c r="AM62" s="4">
        <v>1</v>
      </c>
      <c r="AN62" s="4">
        <v>0</v>
      </c>
      <c r="AO62" s="4">
        <v>0</v>
      </c>
      <c r="AP62" s="3" t="s">
        <v>58</v>
      </c>
      <c r="AQ62" s="3" t="s">
        <v>58</v>
      </c>
      <c r="AS62" s="6" t="str">
        <f>HYPERLINK("https://creighton-primo.hosted.exlibrisgroup.com/primo-explore/search?tab=default_tab&amp;search_scope=EVERYTHING&amp;vid=01CRU&amp;lang=en_US&amp;offset=0&amp;query=any,contains,991002939019702656","Catalog Record")</f>
        <v>Catalog Record</v>
      </c>
      <c r="AT62" s="6" t="str">
        <f>HYPERLINK("http://www.worldcat.org/oclc/39099797","WorldCat Record")</f>
        <v>WorldCat Record</v>
      </c>
      <c r="AU62" s="3" t="s">
        <v>905</v>
      </c>
      <c r="AV62" s="3" t="s">
        <v>906</v>
      </c>
      <c r="AW62" s="3" t="s">
        <v>907</v>
      </c>
      <c r="AX62" s="3" t="s">
        <v>907</v>
      </c>
      <c r="AY62" s="3" t="s">
        <v>908</v>
      </c>
      <c r="AZ62" s="3" t="s">
        <v>74</v>
      </c>
      <c r="BC62" s="3" t="s">
        <v>909</v>
      </c>
      <c r="BD62" s="3" t="s">
        <v>910</v>
      </c>
    </row>
    <row r="63" spans="1:56" ht="42.75" customHeight="1" x14ac:dyDescent="0.25">
      <c r="A63" s="7" t="s">
        <v>58</v>
      </c>
      <c r="B63" s="2" t="s">
        <v>911</v>
      </c>
      <c r="C63" s="2" t="s">
        <v>912</v>
      </c>
      <c r="D63" s="2" t="s">
        <v>913</v>
      </c>
      <c r="E63" s="3" t="s">
        <v>914</v>
      </c>
      <c r="F63" s="3" t="s">
        <v>58</v>
      </c>
      <c r="G63" s="3" t="s">
        <v>59</v>
      </c>
      <c r="H63" s="3" t="s">
        <v>58</v>
      </c>
      <c r="I63" s="3" t="s">
        <v>58</v>
      </c>
      <c r="J63" s="3" t="s">
        <v>60</v>
      </c>
      <c r="L63" s="2" t="s">
        <v>915</v>
      </c>
      <c r="M63" s="3" t="s">
        <v>888</v>
      </c>
      <c r="O63" s="3" t="s">
        <v>64</v>
      </c>
      <c r="P63" s="3" t="s">
        <v>316</v>
      </c>
      <c r="Q63" s="2" t="s">
        <v>916</v>
      </c>
      <c r="R63" s="3" t="s">
        <v>67</v>
      </c>
      <c r="S63" s="4">
        <v>5</v>
      </c>
      <c r="T63" s="4">
        <v>5</v>
      </c>
      <c r="U63" s="5" t="s">
        <v>848</v>
      </c>
      <c r="V63" s="5" t="s">
        <v>848</v>
      </c>
      <c r="W63" s="5" t="s">
        <v>917</v>
      </c>
      <c r="X63" s="5" t="s">
        <v>917</v>
      </c>
      <c r="Y63" s="4">
        <v>63</v>
      </c>
      <c r="Z63" s="4">
        <v>52</v>
      </c>
      <c r="AA63" s="4">
        <v>52</v>
      </c>
      <c r="AB63" s="4">
        <v>2</v>
      </c>
      <c r="AC63" s="4">
        <v>2</v>
      </c>
      <c r="AD63" s="4">
        <v>4</v>
      </c>
      <c r="AE63" s="4">
        <v>4</v>
      </c>
      <c r="AF63" s="4">
        <v>2</v>
      </c>
      <c r="AG63" s="4">
        <v>2</v>
      </c>
      <c r="AH63" s="4">
        <v>1</v>
      </c>
      <c r="AI63" s="4">
        <v>1</v>
      </c>
      <c r="AJ63" s="4">
        <v>0</v>
      </c>
      <c r="AK63" s="4">
        <v>0</v>
      </c>
      <c r="AL63" s="4">
        <v>1</v>
      </c>
      <c r="AM63" s="4">
        <v>1</v>
      </c>
      <c r="AN63" s="4">
        <v>0</v>
      </c>
      <c r="AO63" s="4">
        <v>0</v>
      </c>
      <c r="AP63" s="3" t="s">
        <v>58</v>
      </c>
      <c r="AQ63" s="3" t="s">
        <v>58</v>
      </c>
      <c r="AS63" s="6" t="str">
        <f>HYPERLINK("https://creighton-primo.hosted.exlibrisgroup.com/primo-explore/search?tab=default_tab&amp;search_scope=EVERYTHING&amp;vid=01CRU&amp;lang=en_US&amp;offset=0&amp;query=any,contains,991002963329702656","Catalog Record")</f>
        <v>Catalog Record</v>
      </c>
      <c r="AT63" s="6" t="str">
        <f>HYPERLINK("http://www.worldcat.org/oclc/39642617","WorldCat Record")</f>
        <v>WorldCat Record</v>
      </c>
      <c r="AU63" s="3" t="s">
        <v>918</v>
      </c>
      <c r="AV63" s="3" t="s">
        <v>919</v>
      </c>
      <c r="AW63" s="3" t="s">
        <v>920</v>
      </c>
      <c r="AX63" s="3" t="s">
        <v>920</v>
      </c>
      <c r="AY63" s="3" t="s">
        <v>921</v>
      </c>
      <c r="AZ63" s="3" t="s">
        <v>74</v>
      </c>
      <c r="BC63" s="3" t="s">
        <v>922</v>
      </c>
      <c r="BD63" s="3" t="s">
        <v>923</v>
      </c>
    </row>
    <row r="64" spans="1:56" ht="42.75" customHeight="1" x14ac:dyDescent="0.25">
      <c r="A64" s="7" t="s">
        <v>58</v>
      </c>
      <c r="B64" s="2" t="s">
        <v>924</v>
      </c>
      <c r="C64" s="2" t="s">
        <v>925</v>
      </c>
      <c r="D64" s="2" t="s">
        <v>926</v>
      </c>
      <c r="E64" s="3" t="s">
        <v>927</v>
      </c>
      <c r="F64" s="3" t="s">
        <v>58</v>
      </c>
      <c r="G64" s="3" t="s">
        <v>59</v>
      </c>
      <c r="H64" s="3" t="s">
        <v>58</v>
      </c>
      <c r="I64" s="3" t="s">
        <v>58</v>
      </c>
      <c r="J64" s="3" t="s">
        <v>60</v>
      </c>
      <c r="L64" s="2" t="s">
        <v>887</v>
      </c>
      <c r="M64" s="3" t="s">
        <v>888</v>
      </c>
      <c r="O64" s="3" t="s">
        <v>64</v>
      </c>
      <c r="P64" s="3" t="s">
        <v>316</v>
      </c>
      <c r="Q64" s="2" t="s">
        <v>928</v>
      </c>
      <c r="R64" s="3" t="s">
        <v>67</v>
      </c>
      <c r="S64" s="4">
        <v>5</v>
      </c>
      <c r="T64" s="4">
        <v>5</v>
      </c>
      <c r="U64" s="5" t="s">
        <v>929</v>
      </c>
      <c r="V64" s="5" t="s">
        <v>929</v>
      </c>
      <c r="W64" s="5" t="s">
        <v>930</v>
      </c>
      <c r="X64" s="5" t="s">
        <v>930</v>
      </c>
      <c r="Y64" s="4">
        <v>57</v>
      </c>
      <c r="Z64" s="4">
        <v>48</v>
      </c>
      <c r="AA64" s="4">
        <v>48</v>
      </c>
      <c r="AB64" s="4">
        <v>2</v>
      </c>
      <c r="AC64" s="4">
        <v>2</v>
      </c>
      <c r="AD64" s="4">
        <v>4</v>
      </c>
      <c r="AE64" s="4">
        <v>4</v>
      </c>
      <c r="AF64" s="4">
        <v>2</v>
      </c>
      <c r="AG64" s="4">
        <v>2</v>
      </c>
      <c r="AH64" s="4">
        <v>1</v>
      </c>
      <c r="AI64" s="4">
        <v>1</v>
      </c>
      <c r="AJ64" s="4">
        <v>0</v>
      </c>
      <c r="AK64" s="4">
        <v>0</v>
      </c>
      <c r="AL64" s="4">
        <v>1</v>
      </c>
      <c r="AM64" s="4">
        <v>1</v>
      </c>
      <c r="AN64" s="4">
        <v>0</v>
      </c>
      <c r="AO64" s="4">
        <v>0</v>
      </c>
      <c r="AP64" s="3" t="s">
        <v>58</v>
      </c>
      <c r="AQ64" s="3" t="s">
        <v>58</v>
      </c>
      <c r="AS64" s="6" t="str">
        <f>HYPERLINK("https://creighton-primo.hosted.exlibrisgroup.com/primo-explore/search?tab=default_tab&amp;search_scope=EVERYTHING&amp;vid=01CRU&amp;lang=en_US&amp;offset=0&amp;query=any,contains,991002982719702656","Catalog Record")</f>
        <v>Catalog Record</v>
      </c>
      <c r="AT64" s="6" t="str">
        <f>HYPERLINK("http://www.worldcat.org/oclc/40152275","WorldCat Record")</f>
        <v>WorldCat Record</v>
      </c>
      <c r="AU64" s="3" t="s">
        <v>931</v>
      </c>
      <c r="AV64" s="3" t="s">
        <v>932</v>
      </c>
      <c r="AW64" s="3" t="s">
        <v>933</v>
      </c>
      <c r="AX64" s="3" t="s">
        <v>933</v>
      </c>
      <c r="AY64" s="3" t="s">
        <v>934</v>
      </c>
      <c r="AZ64" s="3" t="s">
        <v>74</v>
      </c>
      <c r="BC64" s="3" t="s">
        <v>935</v>
      </c>
      <c r="BD64" s="3" t="s">
        <v>936</v>
      </c>
    </row>
    <row r="65" spans="1:56" ht="42.75" customHeight="1" x14ac:dyDescent="0.25">
      <c r="A65" s="7" t="s">
        <v>58</v>
      </c>
      <c r="B65" s="2" t="s">
        <v>937</v>
      </c>
      <c r="C65" s="2" t="s">
        <v>938</v>
      </c>
      <c r="D65" s="2" t="s">
        <v>939</v>
      </c>
      <c r="E65" s="3" t="s">
        <v>940</v>
      </c>
      <c r="F65" s="3" t="s">
        <v>58</v>
      </c>
      <c r="G65" s="3" t="s">
        <v>59</v>
      </c>
      <c r="H65" s="3" t="s">
        <v>58</v>
      </c>
      <c r="I65" s="3" t="s">
        <v>58</v>
      </c>
      <c r="J65" s="3" t="s">
        <v>60</v>
      </c>
      <c r="L65" s="2" t="s">
        <v>941</v>
      </c>
      <c r="M65" s="3" t="s">
        <v>942</v>
      </c>
      <c r="O65" s="3" t="s">
        <v>64</v>
      </c>
      <c r="P65" s="3" t="s">
        <v>316</v>
      </c>
      <c r="Q65" s="2" t="s">
        <v>943</v>
      </c>
      <c r="R65" s="3" t="s">
        <v>67</v>
      </c>
      <c r="S65" s="4">
        <v>5</v>
      </c>
      <c r="T65" s="4">
        <v>5</v>
      </c>
      <c r="U65" s="5" t="s">
        <v>400</v>
      </c>
      <c r="V65" s="5" t="s">
        <v>400</v>
      </c>
      <c r="W65" s="5" t="s">
        <v>944</v>
      </c>
      <c r="X65" s="5" t="s">
        <v>944</v>
      </c>
      <c r="Y65" s="4">
        <v>57</v>
      </c>
      <c r="Z65" s="4">
        <v>49</v>
      </c>
      <c r="AA65" s="4">
        <v>51</v>
      </c>
      <c r="AB65" s="4">
        <v>2</v>
      </c>
      <c r="AC65" s="4">
        <v>2</v>
      </c>
      <c r="AD65" s="4">
        <v>4</v>
      </c>
      <c r="AE65" s="4">
        <v>4</v>
      </c>
      <c r="AF65" s="4">
        <v>2</v>
      </c>
      <c r="AG65" s="4">
        <v>2</v>
      </c>
      <c r="AH65" s="4">
        <v>1</v>
      </c>
      <c r="AI65" s="4">
        <v>1</v>
      </c>
      <c r="AJ65" s="4">
        <v>0</v>
      </c>
      <c r="AK65" s="4">
        <v>0</v>
      </c>
      <c r="AL65" s="4">
        <v>1</v>
      </c>
      <c r="AM65" s="4">
        <v>1</v>
      </c>
      <c r="AN65" s="4">
        <v>0</v>
      </c>
      <c r="AO65" s="4">
        <v>0</v>
      </c>
      <c r="AP65" s="3" t="s">
        <v>58</v>
      </c>
      <c r="AQ65" s="3" t="s">
        <v>58</v>
      </c>
      <c r="AS65" s="6" t="str">
        <f>HYPERLINK("https://creighton-primo.hosted.exlibrisgroup.com/primo-explore/search?tab=default_tab&amp;search_scope=EVERYTHING&amp;vid=01CRU&amp;lang=en_US&amp;offset=0&amp;query=any,contains,991003002329702656","Catalog Record")</f>
        <v>Catalog Record</v>
      </c>
      <c r="AT65" s="6" t="str">
        <f>HYPERLINK("http://www.worldcat.org/oclc/40679960","WorldCat Record")</f>
        <v>WorldCat Record</v>
      </c>
      <c r="AU65" s="3" t="s">
        <v>945</v>
      </c>
      <c r="AV65" s="3" t="s">
        <v>946</v>
      </c>
      <c r="AW65" s="3" t="s">
        <v>947</v>
      </c>
      <c r="AX65" s="3" t="s">
        <v>947</v>
      </c>
      <c r="AY65" s="3" t="s">
        <v>948</v>
      </c>
      <c r="AZ65" s="3" t="s">
        <v>74</v>
      </c>
      <c r="BC65" s="3" t="s">
        <v>949</v>
      </c>
      <c r="BD65" s="3" t="s">
        <v>950</v>
      </c>
    </row>
    <row r="66" spans="1:56" ht="42.75" customHeight="1" x14ac:dyDescent="0.25">
      <c r="A66" s="7" t="s">
        <v>58</v>
      </c>
      <c r="B66" s="2" t="s">
        <v>951</v>
      </c>
      <c r="C66" s="2" t="s">
        <v>952</v>
      </c>
      <c r="D66" s="2" t="s">
        <v>953</v>
      </c>
      <c r="E66" s="3" t="s">
        <v>954</v>
      </c>
      <c r="F66" s="3" t="s">
        <v>58</v>
      </c>
      <c r="G66" s="3" t="s">
        <v>59</v>
      </c>
      <c r="H66" s="3" t="s">
        <v>58</v>
      </c>
      <c r="I66" s="3" t="s">
        <v>58</v>
      </c>
      <c r="J66" s="3" t="s">
        <v>60</v>
      </c>
      <c r="L66" s="2" t="s">
        <v>941</v>
      </c>
      <c r="M66" s="3" t="s">
        <v>942</v>
      </c>
      <c r="O66" s="3" t="s">
        <v>64</v>
      </c>
      <c r="P66" s="3" t="s">
        <v>316</v>
      </c>
      <c r="Q66" s="2" t="s">
        <v>955</v>
      </c>
      <c r="R66" s="3" t="s">
        <v>67</v>
      </c>
      <c r="S66" s="4">
        <v>5</v>
      </c>
      <c r="T66" s="4">
        <v>5</v>
      </c>
      <c r="U66" s="5" t="s">
        <v>956</v>
      </c>
      <c r="V66" s="5" t="s">
        <v>956</v>
      </c>
      <c r="W66" s="5" t="s">
        <v>957</v>
      </c>
      <c r="X66" s="5" t="s">
        <v>957</v>
      </c>
      <c r="Y66" s="4">
        <v>61</v>
      </c>
      <c r="Z66" s="4">
        <v>51</v>
      </c>
      <c r="AA66" s="4">
        <v>51</v>
      </c>
      <c r="AB66" s="4">
        <v>2</v>
      </c>
      <c r="AC66" s="4">
        <v>2</v>
      </c>
      <c r="AD66" s="4">
        <v>4</v>
      </c>
      <c r="AE66" s="4">
        <v>4</v>
      </c>
      <c r="AF66" s="4">
        <v>2</v>
      </c>
      <c r="AG66" s="4">
        <v>2</v>
      </c>
      <c r="AH66" s="4">
        <v>1</v>
      </c>
      <c r="AI66" s="4">
        <v>1</v>
      </c>
      <c r="AJ66" s="4">
        <v>0</v>
      </c>
      <c r="AK66" s="4">
        <v>0</v>
      </c>
      <c r="AL66" s="4">
        <v>1</v>
      </c>
      <c r="AM66" s="4">
        <v>1</v>
      </c>
      <c r="AN66" s="4">
        <v>0</v>
      </c>
      <c r="AO66" s="4">
        <v>0</v>
      </c>
      <c r="AP66" s="3" t="s">
        <v>58</v>
      </c>
      <c r="AQ66" s="3" t="s">
        <v>58</v>
      </c>
      <c r="AS66" s="6" t="str">
        <f>HYPERLINK("https://creighton-primo.hosted.exlibrisgroup.com/primo-explore/search?tab=default_tab&amp;search_scope=EVERYTHING&amp;vid=01CRU&amp;lang=en_US&amp;offset=0&amp;query=any,contains,991003024539702656","Catalog Record")</f>
        <v>Catalog Record</v>
      </c>
      <c r="AT66" s="6" t="str">
        <f>HYPERLINK("http://www.worldcat.org/oclc/41291773","WorldCat Record")</f>
        <v>WorldCat Record</v>
      </c>
      <c r="AU66" s="3" t="s">
        <v>958</v>
      </c>
      <c r="AV66" s="3" t="s">
        <v>959</v>
      </c>
      <c r="AW66" s="3" t="s">
        <v>960</v>
      </c>
      <c r="AX66" s="3" t="s">
        <v>960</v>
      </c>
      <c r="AY66" s="3" t="s">
        <v>961</v>
      </c>
      <c r="AZ66" s="3" t="s">
        <v>74</v>
      </c>
      <c r="BC66" s="3" t="s">
        <v>962</v>
      </c>
      <c r="BD66" s="3" t="s">
        <v>963</v>
      </c>
    </row>
    <row r="67" spans="1:56" ht="42.75" customHeight="1" x14ac:dyDescent="0.25">
      <c r="A67" s="7" t="s">
        <v>58</v>
      </c>
      <c r="B67" s="2" t="s">
        <v>964</v>
      </c>
      <c r="C67" s="2" t="s">
        <v>965</v>
      </c>
      <c r="D67" s="2" t="s">
        <v>966</v>
      </c>
      <c r="E67" s="3" t="s">
        <v>967</v>
      </c>
      <c r="F67" s="3" t="s">
        <v>58</v>
      </c>
      <c r="G67" s="3" t="s">
        <v>59</v>
      </c>
      <c r="H67" s="3" t="s">
        <v>58</v>
      </c>
      <c r="I67" s="3" t="s">
        <v>58</v>
      </c>
      <c r="J67" s="3" t="s">
        <v>60</v>
      </c>
      <c r="L67" s="2" t="s">
        <v>941</v>
      </c>
      <c r="M67" s="3" t="s">
        <v>942</v>
      </c>
      <c r="O67" s="3" t="s">
        <v>64</v>
      </c>
      <c r="P67" s="3" t="s">
        <v>316</v>
      </c>
      <c r="Q67" s="2" t="s">
        <v>968</v>
      </c>
      <c r="R67" s="3" t="s">
        <v>67</v>
      </c>
      <c r="S67" s="4">
        <v>32</v>
      </c>
      <c r="T67" s="4">
        <v>32</v>
      </c>
      <c r="U67" s="5" t="s">
        <v>969</v>
      </c>
      <c r="V67" s="5" t="s">
        <v>969</v>
      </c>
      <c r="W67" s="5" t="s">
        <v>970</v>
      </c>
      <c r="X67" s="5" t="s">
        <v>970</v>
      </c>
      <c r="Y67" s="4">
        <v>62</v>
      </c>
      <c r="Z67" s="4">
        <v>50</v>
      </c>
      <c r="AA67" s="4">
        <v>50</v>
      </c>
      <c r="AB67" s="4">
        <v>2</v>
      </c>
      <c r="AC67" s="4">
        <v>2</v>
      </c>
      <c r="AD67" s="4">
        <v>4</v>
      </c>
      <c r="AE67" s="4">
        <v>4</v>
      </c>
      <c r="AF67" s="4">
        <v>2</v>
      </c>
      <c r="AG67" s="4">
        <v>2</v>
      </c>
      <c r="AH67" s="4">
        <v>1</v>
      </c>
      <c r="AI67" s="4">
        <v>1</v>
      </c>
      <c r="AJ67" s="4">
        <v>0</v>
      </c>
      <c r="AK67" s="4">
        <v>0</v>
      </c>
      <c r="AL67" s="4">
        <v>1</v>
      </c>
      <c r="AM67" s="4">
        <v>1</v>
      </c>
      <c r="AN67" s="4">
        <v>0</v>
      </c>
      <c r="AO67" s="4">
        <v>0</v>
      </c>
      <c r="AP67" s="3" t="s">
        <v>58</v>
      </c>
      <c r="AQ67" s="3" t="s">
        <v>58</v>
      </c>
      <c r="AS67" s="6" t="str">
        <f>HYPERLINK("https://creighton-primo.hosted.exlibrisgroup.com/primo-explore/search?tab=default_tab&amp;search_scope=EVERYTHING&amp;vid=01CRU&amp;lang=en_US&amp;offset=0&amp;query=any,contains,991003036309702656","Catalog Record")</f>
        <v>Catalog Record</v>
      </c>
      <c r="AT67" s="6" t="str">
        <f>HYPERLINK("http://www.worldcat.org/oclc/41716582","WorldCat Record")</f>
        <v>WorldCat Record</v>
      </c>
      <c r="AU67" s="3" t="s">
        <v>971</v>
      </c>
      <c r="AV67" s="3" t="s">
        <v>972</v>
      </c>
      <c r="AW67" s="3" t="s">
        <v>973</v>
      </c>
      <c r="AX67" s="3" t="s">
        <v>973</v>
      </c>
      <c r="AY67" s="3" t="s">
        <v>974</v>
      </c>
      <c r="AZ67" s="3" t="s">
        <v>74</v>
      </c>
      <c r="BC67" s="3" t="s">
        <v>975</v>
      </c>
      <c r="BD67" s="3" t="s">
        <v>976</v>
      </c>
    </row>
    <row r="68" spans="1:56" ht="42.75" customHeight="1" x14ac:dyDescent="0.25">
      <c r="A68" s="7" t="s">
        <v>58</v>
      </c>
      <c r="B68" s="2" t="s">
        <v>977</v>
      </c>
      <c r="C68" s="2" t="s">
        <v>978</v>
      </c>
      <c r="D68" s="2" t="s">
        <v>979</v>
      </c>
      <c r="E68" s="3" t="s">
        <v>980</v>
      </c>
      <c r="F68" s="3" t="s">
        <v>58</v>
      </c>
      <c r="G68" s="3" t="s">
        <v>59</v>
      </c>
      <c r="H68" s="3" t="s">
        <v>58</v>
      </c>
      <c r="I68" s="3" t="s">
        <v>58</v>
      </c>
      <c r="J68" s="3" t="s">
        <v>60</v>
      </c>
      <c r="L68" s="2" t="s">
        <v>981</v>
      </c>
      <c r="M68" s="3" t="s">
        <v>942</v>
      </c>
      <c r="O68" s="3" t="s">
        <v>64</v>
      </c>
      <c r="P68" s="3" t="s">
        <v>316</v>
      </c>
      <c r="Q68" s="2" t="s">
        <v>982</v>
      </c>
      <c r="R68" s="3" t="s">
        <v>67</v>
      </c>
      <c r="S68" s="4">
        <v>2</v>
      </c>
      <c r="T68" s="4">
        <v>2</v>
      </c>
      <c r="U68" s="5" t="s">
        <v>983</v>
      </c>
      <c r="V68" s="5" t="s">
        <v>983</v>
      </c>
      <c r="W68" s="5" t="s">
        <v>984</v>
      </c>
      <c r="X68" s="5" t="s">
        <v>984</v>
      </c>
      <c r="Y68" s="4">
        <v>57</v>
      </c>
      <c r="Z68" s="4">
        <v>47</v>
      </c>
      <c r="AA68" s="4">
        <v>47</v>
      </c>
      <c r="AB68" s="4">
        <v>2</v>
      </c>
      <c r="AC68" s="4">
        <v>2</v>
      </c>
      <c r="AD68" s="4">
        <v>4</v>
      </c>
      <c r="AE68" s="4">
        <v>4</v>
      </c>
      <c r="AF68" s="4">
        <v>2</v>
      </c>
      <c r="AG68" s="4">
        <v>2</v>
      </c>
      <c r="AH68" s="4">
        <v>1</v>
      </c>
      <c r="AI68" s="4">
        <v>1</v>
      </c>
      <c r="AJ68" s="4">
        <v>0</v>
      </c>
      <c r="AK68" s="4">
        <v>0</v>
      </c>
      <c r="AL68" s="4">
        <v>1</v>
      </c>
      <c r="AM68" s="4">
        <v>1</v>
      </c>
      <c r="AN68" s="4">
        <v>0</v>
      </c>
      <c r="AO68" s="4">
        <v>0</v>
      </c>
      <c r="AP68" s="3" t="s">
        <v>58</v>
      </c>
      <c r="AQ68" s="3" t="s">
        <v>58</v>
      </c>
      <c r="AS68" s="6" t="str">
        <f>HYPERLINK("https://creighton-primo.hosted.exlibrisgroup.com/primo-explore/search?tab=default_tab&amp;search_scope=EVERYTHING&amp;vid=01CRU&amp;lang=en_US&amp;offset=0&amp;query=any,contains,991003047499702656","Catalog Record")</f>
        <v>Catalog Record</v>
      </c>
      <c r="AT68" s="6" t="str">
        <f>HYPERLINK("http://www.worldcat.org/oclc/42695119","WorldCat Record")</f>
        <v>WorldCat Record</v>
      </c>
      <c r="AU68" s="3" t="s">
        <v>985</v>
      </c>
      <c r="AV68" s="3" t="s">
        <v>986</v>
      </c>
      <c r="AW68" s="3" t="s">
        <v>987</v>
      </c>
      <c r="AX68" s="3" t="s">
        <v>987</v>
      </c>
      <c r="AY68" s="3" t="s">
        <v>988</v>
      </c>
      <c r="AZ68" s="3" t="s">
        <v>74</v>
      </c>
      <c r="BC68" s="3" t="s">
        <v>989</v>
      </c>
      <c r="BD68" s="3" t="s">
        <v>990</v>
      </c>
    </row>
    <row r="69" spans="1:56" ht="42.75" customHeight="1" x14ac:dyDescent="0.25">
      <c r="A69" s="7" t="s">
        <v>58</v>
      </c>
      <c r="B69" s="2" t="s">
        <v>991</v>
      </c>
      <c r="C69" s="2" t="s">
        <v>992</v>
      </c>
      <c r="D69" s="2" t="s">
        <v>993</v>
      </c>
      <c r="E69" s="3" t="s">
        <v>994</v>
      </c>
      <c r="F69" s="3" t="s">
        <v>58</v>
      </c>
      <c r="G69" s="3" t="s">
        <v>59</v>
      </c>
      <c r="H69" s="3" t="s">
        <v>58</v>
      </c>
      <c r="I69" s="3" t="s">
        <v>58</v>
      </c>
      <c r="J69" s="3" t="s">
        <v>60</v>
      </c>
      <c r="L69" s="2" t="s">
        <v>995</v>
      </c>
      <c r="M69" s="3" t="s">
        <v>996</v>
      </c>
      <c r="O69" s="3" t="s">
        <v>64</v>
      </c>
      <c r="P69" s="3" t="s">
        <v>316</v>
      </c>
      <c r="Q69" s="2" t="s">
        <v>997</v>
      </c>
      <c r="R69" s="3" t="s">
        <v>67</v>
      </c>
      <c r="S69" s="4">
        <v>4</v>
      </c>
      <c r="T69" s="4">
        <v>4</v>
      </c>
      <c r="U69" s="5" t="s">
        <v>998</v>
      </c>
      <c r="V69" s="5" t="s">
        <v>998</v>
      </c>
      <c r="W69" s="5" t="s">
        <v>999</v>
      </c>
      <c r="X69" s="5" t="s">
        <v>999</v>
      </c>
      <c r="Y69" s="4">
        <v>57</v>
      </c>
      <c r="Z69" s="4">
        <v>48</v>
      </c>
      <c r="AA69" s="4">
        <v>48</v>
      </c>
      <c r="AB69" s="4">
        <v>2</v>
      </c>
      <c r="AC69" s="4">
        <v>2</v>
      </c>
      <c r="AD69" s="4">
        <v>5</v>
      </c>
      <c r="AE69" s="4">
        <v>5</v>
      </c>
      <c r="AF69" s="4">
        <v>2</v>
      </c>
      <c r="AG69" s="4">
        <v>2</v>
      </c>
      <c r="AH69" s="4">
        <v>1</v>
      </c>
      <c r="AI69" s="4">
        <v>1</v>
      </c>
      <c r="AJ69" s="4">
        <v>1</v>
      </c>
      <c r="AK69" s="4">
        <v>1</v>
      </c>
      <c r="AL69" s="4">
        <v>1</v>
      </c>
      <c r="AM69" s="4">
        <v>1</v>
      </c>
      <c r="AN69" s="4">
        <v>0</v>
      </c>
      <c r="AO69" s="4">
        <v>0</v>
      </c>
      <c r="AP69" s="3" t="s">
        <v>58</v>
      </c>
      <c r="AQ69" s="3" t="s">
        <v>58</v>
      </c>
      <c r="AS69" s="6" t="str">
        <f>HYPERLINK("https://creighton-primo.hosted.exlibrisgroup.com/primo-explore/search?tab=default_tab&amp;search_scope=EVERYTHING&amp;vid=01CRU&amp;lang=en_US&amp;offset=0&amp;query=any,contains,991003052349702656","Catalog Record")</f>
        <v>Catalog Record</v>
      </c>
      <c r="AT69" s="6" t="str">
        <f>HYPERLINK("http://www.worldcat.org/oclc/43319822","WorldCat Record")</f>
        <v>WorldCat Record</v>
      </c>
      <c r="AU69" s="3" t="s">
        <v>1000</v>
      </c>
      <c r="AV69" s="3" t="s">
        <v>1001</v>
      </c>
      <c r="AW69" s="3" t="s">
        <v>1002</v>
      </c>
      <c r="AX69" s="3" t="s">
        <v>1002</v>
      </c>
      <c r="AY69" s="3" t="s">
        <v>1003</v>
      </c>
      <c r="AZ69" s="3" t="s">
        <v>74</v>
      </c>
      <c r="BC69" s="3" t="s">
        <v>1004</v>
      </c>
      <c r="BD69" s="3" t="s">
        <v>1005</v>
      </c>
    </row>
    <row r="70" spans="1:56" ht="42.75" customHeight="1" x14ac:dyDescent="0.25">
      <c r="A70" s="7" t="s">
        <v>58</v>
      </c>
      <c r="B70" s="2" t="s">
        <v>1006</v>
      </c>
      <c r="C70" s="2" t="s">
        <v>1007</v>
      </c>
      <c r="D70" s="2" t="s">
        <v>1008</v>
      </c>
      <c r="E70" s="3" t="s">
        <v>1009</v>
      </c>
      <c r="F70" s="3" t="s">
        <v>58</v>
      </c>
      <c r="G70" s="3" t="s">
        <v>59</v>
      </c>
      <c r="H70" s="3" t="s">
        <v>58</v>
      </c>
      <c r="I70" s="3" t="s">
        <v>86</v>
      </c>
      <c r="J70" s="3" t="s">
        <v>60</v>
      </c>
      <c r="L70" s="2" t="s">
        <v>995</v>
      </c>
      <c r="M70" s="3" t="s">
        <v>996</v>
      </c>
      <c r="O70" s="3" t="s">
        <v>64</v>
      </c>
      <c r="P70" s="3" t="s">
        <v>316</v>
      </c>
      <c r="Q70" s="2" t="s">
        <v>1010</v>
      </c>
      <c r="R70" s="3" t="s">
        <v>67</v>
      </c>
      <c r="S70" s="4">
        <v>15</v>
      </c>
      <c r="T70" s="4">
        <v>15</v>
      </c>
      <c r="U70" s="5" t="s">
        <v>467</v>
      </c>
      <c r="V70" s="5" t="s">
        <v>467</v>
      </c>
      <c r="W70" s="5" t="s">
        <v>1011</v>
      </c>
      <c r="X70" s="5" t="s">
        <v>1011</v>
      </c>
      <c r="Y70" s="4">
        <v>59</v>
      </c>
      <c r="Z70" s="4">
        <v>48</v>
      </c>
      <c r="AA70" s="4">
        <v>61</v>
      </c>
      <c r="AB70" s="4">
        <v>2</v>
      </c>
      <c r="AC70" s="4">
        <v>2</v>
      </c>
      <c r="AD70" s="4">
        <v>5</v>
      </c>
      <c r="AE70" s="4">
        <v>5</v>
      </c>
      <c r="AF70" s="4">
        <v>2</v>
      </c>
      <c r="AG70" s="4">
        <v>2</v>
      </c>
      <c r="AH70" s="4">
        <v>1</v>
      </c>
      <c r="AI70" s="4">
        <v>1</v>
      </c>
      <c r="AJ70" s="4">
        <v>1</v>
      </c>
      <c r="AK70" s="4">
        <v>1</v>
      </c>
      <c r="AL70" s="4">
        <v>1</v>
      </c>
      <c r="AM70" s="4">
        <v>1</v>
      </c>
      <c r="AN70" s="4">
        <v>0</v>
      </c>
      <c r="AO70" s="4">
        <v>0</v>
      </c>
      <c r="AP70" s="3" t="s">
        <v>58</v>
      </c>
      <c r="AQ70" s="3" t="s">
        <v>58</v>
      </c>
      <c r="AS70" s="6" t="str">
        <f>HYPERLINK("https://creighton-primo.hosted.exlibrisgroup.com/primo-explore/search?tab=default_tab&amp;search_scope=EVERYTHING&amp;vid=01CRU&amp;lang=en_US&amp;offset=0&amp;query=any,contains,991003054559702656","Catalog Record")</f>
        <v>Catalog Record</v>
      </c>
      <c r="AT70" s="6" t="str">
        <f>HYPERLINK("http://www.worldcat.org/oclc/43679248","WorldCat Record")</f>
        <v>WorldCat Record</v>
      </c>
      <c r="AU70" s="3" t="s">
        <v>754</v>
      </c>
      <c r="AV70" s="3" t="s">
        <v>1012</v>
      </c>
      <c r="AW70" s="3" t="s">
        <v>1013</v>
      </c>
      <c r="AX70" s="3" t="s">
        <v>1013</v>
      </c>
      <c r="AY70" s="3" t="s">
        <v>1014</v>
      </c>
      <c r="AZ70" s="3" t="s">
        <v>74</v>
      </c>
      <c r="BC70" s="3" t="s">
        <v>1015</v>
      </c>
      <c r="BD70" s="3" t="s">
        <v>1016</v>
      </c>
    </row>
    <row r="71" spans="1:56" ht="42.75" customHeight="1" x14ac:dyDescent="0.25">
      <c r="A71" s="7" t="s">
        <v>58</v>
      </c>
      <c r="B71" s="2" t="s">
        <v>1017</v>
      </c>
      <c r="C71" s="2" t="s">
        <v>1018</v>
      </c>
      <c r="D71" s="2" t="s">
        <v>1019</v>
      </c>
      <c r="E71" s="3" t="s">
        <v>1020</v>
      </c>
      <c r="F71" s="3" t="s">
        <v>58</v>
      </c>
      <c r="G71" s="3" t="s">
        <v>59</v>
      </c>
      <c r="H71" s="3" t="s">
        <v>58</v>
      </c>
      <c r="I71" s="3" t="s">
        <v>58</v>
      </c>
      <c r="J71" s="3" t="s">
        <v>60</v>
      </c>
      <c r="L71" s="2" t="s">
        <v>995</v>
      </c>
      <c r="M71" s="3" t="s">
        <v>996</v>
      </c>
      <c r="O71" s="3" t="s">
        <v>64</v>
      </c>
      <c r="P71" s="3" t="s">
        <v>316</v>
      </c>
      <c r="Q71" s="2" t="s">
        <v>1021</v>
      </c>
      <c r="R71" s="3" t="s">
        <v>67</v>
      </c>
      <c r="S71" s="4">
        <v>4</v>
      </c>
      <c r="T71" s="4">
        <v>4</v>
      </c>
      <c r="U71" s="5" t="s">
        <v>1022</v>
      </c>
      <c r="V71" s="5" t="s">
        <v>1022</v>
      </c>
      <c r="W71" s="5" t="s">
        <v>1023</v>
      </c>
      <c r="X71" s="5" t="s">
        <v>1023</v>
      </c>
      <c r="Y71" s="4">
        <v>54</v>
      </c>
      <c r="Z71" s="4">
        <v>45</v>
      </c>
      <c r="AA71" s="4">
        <v>45</v>
      </c>
      <c r="AB71" s="4">
        <v>2</v>
      </c>
      <c r="AC71" s="4">
        <v>2</v>
      </c>
      <c r="AD71" s="4">
        <v>5</v>
      </c>
      <c r="AE71" s="4">
        <v>5</v>
      </c>
      <c r="AF71" s="4">
        <v>2</v>
      </c>
      <c r="AG71" s="4">
        <v>2</v>
      </c>
      <c r="AH71" s="4">
        <v>1</v>
      </c>
      <c r="AI71" s="4">
        <v>1</v>
      </c>
      <c r="AJ71" s="4">
        <v>1</v>
      </c>
      <c r="AK71" s="4">
        <v>1</v>
      </c>
      <c r="AL71" s="4">
        <v>1</v>
      </c>
      <c r="AM71" s="4">
        <v>1</v>
      </c>
      <c r="AN71" s="4">
        <v>0</v>
      </c>
      <c r="AO71" s="4">
        <v>0</v>
      </c>
      <c r="AP71" s="3" t="s">
        <v>58</v>
      </c>
      <c r="AQ71" s="3" t="s">
        <v>58</v>
      </c>
      <c r="AS71" s="6" t="str">
        <f>HYPERLINK("https://creighton-primo.hosted.exlibrisgroup.com/primo-explore/search?tab=default_tab&amp;search_scope=EVERYTHING&amp;vid=01CRU&amp;lang=en_US&amp;offset=0&amp;query=any,contains,991003272449702656","Catalog Record")</f>
        <v>Catalog Record</v>
      </c>
      <c r="AT71" s="6" t="str">
        <f>HYPERLINK("http://www.worldcat.org/oclc/44608452","WorldCat Record")</f>
        <v>WorldCat Record</v>
      </c>
      <c r="AU71" s="3" t="s">
        <v>1024</v>
      </c>
      <c r="AV71" s="3" t="s">
        <v>1025</v>
      </c>
      <c r="AW71" s="3" t="s">
        <v>1026</v>
      </c>
      <c r="AX71" s="3" t="s">
        <v>1026</v>
      </c>
      <c r="AY71" s="3" t="s">
        <v>1027</v>
      </c>
      <c r="AZ71" s="3" t="s">
        <v>74</v>
      </c>
      <c r="BC71" s="3" t="s">
        <v>1028</v>
      </c>
      <c r="BD71" s="3" t="s">
        <v>1029</v>
      </c>
    </row>
    <row r="72" spans="1:56" ht="42.75" customHeight="1" x14ac:dyDescent="0.25">
      <c r="A72" s="7" t="s">
        <v>58</v>
      </c>
      <c r="B72" s="2" t="s">
        <v>1030</v>
      </c>
      <c r="C72" s="2" t="s">
        <v>1031</v>
      </c>
      <c r="D72" s="2" t="s">
        <v>1032</v>
      </c>
      <c r="E72" s="3" t="s">
        <v>1033</v>
      </c>
      <c r="F72" s="3" t="s">
        <v>58</v>
      </c>
      <c r="G72" s="3" t="s">
        <v>59</v>
      </c>
      <c r="H72" s="3" t="s">
        <v>58</v>
      </c>
      <c r="I72" s="3" t="s">
        <v>58</v>
      </c>
      <c r="J72" s="3" t="s">
        <v>60</v>
      </c>
      <c r="L72" s="2" t="s">
        <v>1034</v>
      </c>
      <c r="M72" s="3" t="s">
        <v>1035</v>
      </c>
      <c r="O72" s="3" t="s">
        <v>64</v>
      </c>
      <c r="P72" s="3" t="s">
        <v>316</v>
      </c>
      <c r="Q72" s="2" t="s">
        <v>1036</v>
      </c>
      <c r="R72" s="3" t="s">
        <v>67</v>
      </c>
      <c r="S72" s="4">
        <v>1</v>
      </c>
      <c r="T72" s="4">
        <v>1</v>
      </c>
      <c r="U72" s="5" t="s">
        <v>863</v>
      </c>
      <c r="V72" s="5" t="s">
        <v>863</v>
      </c>
      <c r="W72" s="5" t="s">
        <v>863</v>
      </c>
      <c r="X72" s="5" t="s">
        <v>863</v>
      </c>
      <c r="Y72" s="4">
        <v>59</v>
      </c>
      <c r="Z72" s="4">
        <v>50</v>
      </c>
      <c r="AA72" s="4">
        <v>50</v>
      </c>
      <c r="AB72" s="4">
        <v>2</v>
      </c>
      <c r="AC72" s="4">
        <v>2</v>
      </c>
      <c r="AD72" s="4">
        <v>5</v>
      </c>
      <c r="AE72" s="4">
        <v>5</v>
      </c>
      <c r="AF72" s="4">
        <v>2</v>
      </c>
      <c r="AG72" s="4">
        <v>2</v>
      </c>
      <c r="AH72" s="4">
        <v>1</v>
      </c>
      <c r="AI72" s="4">
        <v>1</v>
      </c>
      <c r="AJ72" s="4">
        <v>1</v>
      </c>
      <c r="AK72" s="4">
        <v>1</v>
      </c>
      <c r="AL72" s="4">
        <v>1</v>
      </c>
      <c r="AM72" s="4">
        <v>1</v>
      </c>
      <c r="AN72" s="4">
        <v>0</v>
      </c>
      <c r="AO72" s="4">
        <v>0</v>
      </c>
      <c r="AP72" s="3" t="s">
        <v>58</v>
      </c>
      <c r="AQ72" s="3" t="s">
        <v>58</v>
      </c>
      <c r="AS72" s="6" t="str">
        <f>HYPERLINK("https://creighton-primo.hosted.exlibrisgroup.com/primo-explore/search?tab=default_tab&amp;search_scope=EVERYTHING&amp;vid=01CRU&amp;lang=en_US&amp;offset=0&amp;query=any,contains,991003498029702656","Catalog Record")</f>
        <v>Catalog Record</v>
      </c>
      <c r="AT72" s="6" t="str">
        <f>HYPERLINK("http://www.worldcat.org/oclc/45997572","WorldCat Record")</f>
        <v>WorldCat Record</v>
      </c>
      <c r="AU72" s="3" t="s">
        <v>1037</v>
      </c>
      <c r="AV72" s="3" t="s">
        <v>1038</v>
      </c>
      <c r="AW72" s="3" t="s">
        <v>1039</v>
      </c>
      <c r="AX72" s="3" t="s">
        <v>1039</v>
      </c>
      <c r="AY72" s="3" t="s">
        <v>1040</v>
      </c>
      <c r="AZ72" s="3" t="s">
        <v>74</v>
      </c>
      <c r="BC72" s="3" t="s">
        <v>1041</v>
      </c>
      <c r="BD72" s="3" t="s">
        <v>1042</v>
      </c>
    </row>
    <row r="73" spans="1:56" ht="42.75" customHeight="1" x14ac:dyDescent="0.25">
      <c r="A73" s="7" t="s">
        <v>58</v>
      </c>
      <c r="B73" s="2" t="s">
        <v>1043</v>
      </c>
      <c r="C73" s="2" t="s">
        <v>1044</v>
      </c>
      <c r="D73" s="2" t="s">
        <v>1045</v>
      </c>
      <c r="E73" s="3" t="s">
        <v>1046</v>
      </c>
      <c r="F73" s="3" t="s">
        <v>58</v>
      </c>
      <c r="G73" s="3" t="s">
        <v>59</v>
      </c>
      <c r="H73" s="3" t="s">
        <v>58</v>
      </c>
      <c r="I73" s="3" t="s">
        <v>58</v>
      </c>
      <c r="J73" s="3" t="s">
        <v>60</v>
      </c>
      <c r="L73" s="2" t="s">
        <v>1047</v>
      </c>
      <c r="M73" s="3" t="s">
        <v>1035</v>
      </c>
      <c r="O73" s="3" t="s">
        <v>64</v>
      </c>
      <c r="P73" s="3" t="s">
        <v>316</v>
      </c>
      <c r="Q73" s="2" t="s">
        <v>1048</v>
      </c>
      <c r="R73" s="3" t="s">
        <v>67</v>
      </c>
      <c r="S73" s="4">
        <v>1</v>
      </c>
      <c r="T73" s="4">
        <v>1</v>
      </c>
      <c r="U73" s="5" t="s">
        <v>1049</v>
      </c>
      <c r="V73" s="5" t="s">
        <v>1049</v>
      </c>
      <c r="W73" s="5" t="s">
        <v>1050</v>
      </c>
      <c r="X73" s="5" t="s">
        <v>1050</v>
      </c>
      <c r="Y73" s="4">
        <v>60</v>
      </c>
      <c r="Z73" s="4">
        <v>50</v>
      </c>
      <c r="AA73" s="4">
        <v>50</v>
      </c>
      <c r="AB73" s="4">
        <v>2</v>
      </c>
      <c r="AC73" s="4">
        <v>2</v>
      </c>
      <c r="AD73" s="4">
        <v>5</v>
      </c>
      <c r="AE73" s="4">
        <v>5</v>
      </c>
      <c r="AF73" s="4">
        <v>2</v>
      </c>
      <c r="AG73" s="4">
        <v>2</v>
      </c>
      <c r="AH73" s="4">
        <v>1</v>
      </c>
      <c r="AI73" s="4">
        <v>1</v>
      </c>
      <c r="AJ73" s="4">
        <v>1</v>
      </c>
      <c r="AK73" s="4">
        <v>1</v>
      </c>
      <c r="AL73" s="4">
        <v>1</v>
      </c>
      <c r="AM73" s="4">
        <v>1</v>
      </c>
      <c r="AN73" s="4">
        <v>0</v>
      </c>
      <c r="AO73" s="4">
        <v>0</v>
      </c>
      <c r="AP73" s="3" t="s">
        <v>58</v>
      </c>
      <c r="AQ73" s="3" t="s">
        <v>58</v>
      </c>
      <c r="AS73" s="6" t="str">
        <f>HYPERLINK("https://creighton-primo.hosted.exlibrisgroup.com/primo-explore/search?tab=default_tab&amp;search_scope=EVERYTHING&amp;vid=01CRU&amp;lang=en_US&amp;offset=0&amp;query=any,contains,991003552979702656","Catalog Record")</f>
        <v>Catalog Record</v>
      </c>
      <c r="AT73" s="6" t="str">
        <f>HYPERLINK("http://www.worldcat.org/oclc/47048181","WorldCat Record")</f>
        <v>WorldCat Record</v>
      </c>
      <c r="AU73" s="3" t="s">
        <v>1051</v>
      </c>
      <c r="AV73" s="3" t="s">
        <v>1052</v>
      </c>
      <c r="AW73" s="3" t="s">
        <v>1053</v>
      </c>
      <c r="AX73" s="3" t="s">
        <v>1053</v>
      </c>
      <c r="AY73" s="3" t="s">
        <v>1054</v>
      </c>
      <c r="AZ73" s="3" t="s">
        <v>74</v>
      </c>
      <c r="BC73" s="3" t="s">
        <v>1055</v>
      </c>
      <c r="BD73" s="3" t="s">
        <v>1056</v>
      </c>
    </row>
    <row r="74" spans="1:56" ht="42.75" customHeight="1" x14ac:dyDescent="0.25">
      <c r="A74" s="7" t="s">
        <v>58</v>
      </c>
      <c r="B74" s="2" t="s">
        <v>1057</v>
      </c>
      <c r="C74" s="2" t="s">
        <v>1058</v>
      </c>
      <c r="D74" s="2" t="s">
        <v>1059</v>
      </c>
      <c r="E74" s="3" t="s">
        <v>1060</v>
      </c>
      <c r="F74" s="3" t="s">
        <v>58</v>
      </c>
      <c r="G74" s="3" t="s">
        <v>59</v>
      </c>
      <c r="H74" s="3" t="s">
        <v>58</v>
      </c>
      <c r="I74" s="3" t="s">
        <v>58</v>
      </c>
      <c r="J74" s="3" t="s">
        <v>60</v>
      </c>
      <c r="L74" s="2" t="s">
        <v>1061</v>
      </c>
      <c r="M74" s="3" t="s">
        <v>1035</v>
      </c>
      <c r="O74" s="3" t="s">
        <v>64</v>
      </c>
      <c r="P74" s="3" t="s">
        <v>316</v>
      </c>
      <c r="Q74" s="2" t="s">
        <v>1062</v>
      </c>
      <c r="R74" s="3" t="s">
        <v>67</v>
      </c>
      <c r="S74" s="4">
        <v>4</v>
      </c>
      <c r="T74" s="4">
        <v>4</v>
      </c>
      <c r="U74" s="5" t="s">
        <v>1063</v>
      </c>
      <c r="V74" s="5" t="s">
        <v>1063</v>
      </c>
      <c r="W74" s="5" t="s">
        <v>1063</v>
      </c>
      <c r="X74" s="5" t="s">
        <v>1063</v>
      </c>
      <c r="Y74" s="4">
        <v>54</v>
      </c>
      <c r="Z74" s="4">
        <v>46</v>
      </c>
      <c r="AA74" s="4">
        <v>46</v>
      </c>
      <c r="AB74" s="4">
        <v>2</v>
      </c>
      <c r="AC74" s="4">
        <v>2</v>
      </c>
      <c r="AD74" s="4">
        <v>5</v>
      </c>
      <c r="AE74" s="4">
        <v>5</v>
      </c>
      <c r="AF74" s="4">
        <v>2</v>
      </c>
      <c r="AG74" s="4">
        <v>2</v>
      </c>
      <c r="AH74" s="4">
        <v>1</v>
      </c>
      <c r="AI74" s="4">
        <v>1</v>
      </c>
      <c r="AJ74" s="4">
        <v>1</v>
      </c>
      <c r="AK74" s="4">
        <v>1</v>
      </c>
      <c r="AL74" s="4">
        <v>1</v>
      </c>
      <c r="AM74" s="4">
        <v>1</v>
      </c>
      <c r="AN74" s="4">
        <v>0</v>
      </c>
      <c r="AO74" s="4">
        <v>0</v>
      </c>
      <c r="AP74" s="3" t="s">
        <v>58</v>
      </c>
      <c r="AQ74" s="3" t="s">
        <v>58</v>
      </c>
      <c r="AS74" s="6" t="str">
        <f>HYPERLINK("https://creighton-primo.hosted.exlibrisgroup.com/primo-explore/search?tab=default_tab&amp;search_scope=EVERYTHING&amp;vid=01CRU&amp;lang=en_US&amp;offset=0&amp;query=any,contains,991003615229702656","Catalog Record")</f>
        <v>Catalog Record</v>
      </c>
      <c r="AT74" s="6" t="str">
        <f>HYPERLINK("http://www.worldcat.org/oclc/47673376","WorldCat Record")</f>
        <v>WorldCat Record</v>
      </c>
      <c r="AU74" s="3" t="s">
        <v>1064</v>
      </c>
      <c r="AV74" s="3" t="s">
        <v>1065</v>
      </c>
      <c r="AW74" s="3" t="s">
        <v>1066</v>
      </c>
      <c r="AX74" s="3" t="s">
        <v>1066</v>
      </c>
      <c r="AY74" s="3" t="s">
        <v>1067</v>
      </c>
      <c r="AZ74" s="3" t="s">
        <v>74</v>
      </c>
      <c r="BC74" s="3" t="s">
        <v>1068</v>
      </c>
      <c r="BD74" s="3" t="s">
        <v>1069</v>
      </c>
    </row>
    <row r="75" spans="1:56" ht="42.75" customHeight="1" x14ac:dyDescent="0.25">
      <c r="A75" s="7" t="s">
        <v>58</v>
      </c>
      <c r="B75" s="2" t="s">
        <v>1070</v>
      </c>
      <c r="C75" s="2" t="s">
        <v>1071</v>
      </c>
      <c r="D75" s="2" t="s">
        <v>1072</v>
      </c>
      <c r="E75" s="3" t="s">
        <v>1073</v>
      </c>
      <c r="F75" s="3" t="s">
        <v>58</v>
      </c>
      <c r="G75" s="3" t="s">
        <v>59</v>
      </c>
      <c r="H75" s="3" t="s">
        <v>58</v>
      </c>
      <c r="I75" s="3" t="s">
        <v>58</v>
      </c>
      <c r="J75" s="3" t="s">
        <v>60</v>
      </c>
      <c r="L75" s="2" t="s">
        <v>1034</v>
      </c>
      <c r="M75" s="3" t="s">
        <v>1035</v>
      </c>
      <c r="O75" s="3" t="s">
        <v>64</v>
      </c>
      <c r="P75" s="3" t="s">
        <v>316</v>
      </c>
      <c r="Q75" s="2" t="s">
        <v>1074</v>
      </c>
      <c r="R75" s="3" t="s">
        <v>67</v>
      </c>
      <c r="S75" s="4">
        <v>2</v>
      </c>
      <c r="T75" s="4">
        <v>2</v>
      </c>
      <c r="U75" s="5" t="s">
        <v>1075</v>
      </c>
      <c r="V75" s="5" t="s">
        <v>1075</v>
      </c>
      <c r="W75" s="5" t="s">
        <v>1076</v>
      </c>
      <c r="X75" s="5" t="s">
        <v>1076</v>
      </c>
      <c r="Y75" s="4">
        <v>54</v>
      </c>
      <c r="Z75" s="4">
        <v>46</v>
      </c>
      <c r="AA75" s="4">
        <v>69</v>
      </c>
      <c r="AB75" s="4">
        <v>2</v>
      </c>
      <c r="AC75" s="4">
        <v>2</v>
      </c>
      <c r="AD75" s="4">
        <v>5</v>
      </c>
      <c r="AE75" s="4">
        <v>5</v>
      </c>
      <c r="AF75" s="4">
        <v>2</v>
      </c>
      <c r="AG75" s="4">
        <v>2</v>
      </c>
      <c r="AH75" s="4">
        <v>1</v>
      </c>
      <c r="AI75" s="4">
        <v>1</v>
      </c>
      <c r="AJ75" s="4">
        <v>1</v>
      </c>
      <c r="AK75" s="4">
        <v>1</v>
      </c>
      <c r="AL75" s="4">
        <v>1</v>
      </c>
      <c r="AM75" s="4">
        <v>1</v>
      </c>
      <c r="AN75" s="4">
        <v>0</v>
      </c>
      <c r="AO75" s="4">
        <v>0</v>
      </c>
      <c r="AP75" s="3" t="s">
        <v>58</v>
      </c>
      <c r="AQ75" s="3" t="s">
        <v>58</v>
      </c>
      <c r="AS75" s="6" t="str">
        <f>HYPERLINK("https://creighton-primo.hosted.exlibrisgroup.com/primo-explore/search?tab=default_tab&amp;search_scope=EVERYTHING&amp;vid=01CRU&amp;lang=en_US&amp;offset=0&amp;query=any,contains,991003670009702656","Catalog Record")</f>
        <v>Catalog Record</v>
      </c>
      <c r="AT75" s="6" t="str">
        <f>HYPERLINK("http://www.worldcat.org/oclc/48135061","WorldCat Record")</f>
        <v>WorldCat Record</v>
      </c>
      <c r="AU75" s="3" t="s">
        <v>1077</v>
      </c>
      <c r="AV75" s="3" t="s">
        <v>1078</v>
      </c>
      <c r="AW75" s="3" t="s">
        <v>1079</v>
      </c>
      <c r="AX75" s="3" t="s">
        <v>1079</v>
      </c>
      <c r="AY75" s="3" t="s">
        <v>1080</v>
      </c>
      <c r="AZ75" s="3" t="s">
        <v>74</v>
      </c>
      <c r="BC75" s="3" t="s">
        <v>1081</v>
      </c>
      <c r="BD75" s="3" t="s">
        <v>1082</v>
      </c>
    </row>
    <row r="76" spans="1:56" ht="42.75" customHeight="1" x14ac:dyDescent="0.25">
      <c r="A76" s="7" t="s">
        <v>58</v>
      </c>
      <c r="B76" s="2" t="s">
        <v>1083</v>
      </c>
      <c r="C76" s="2" t="s">
        <v>1084</v>
      </c>
      <c r="D76" s="2" t="s">
        <v>1085</v>
      </c>
      <c r="E76" s="3" t="s">
        <v>1086</v>
      </c>
      <c r="F76" s="3" t="s">
        <v>58</v>
      </c>
      <c r="G76" s="3" t="s">
        <v>59</v>
      </c>
      <c r="H76" s="3" t="s">
        <v>58</v>
      </c>
      <c r="I76" s="3" t="s">
        <v>58</v>
      </c>
      <c r="J76" s="3" t="s">
        <v>60</v>
      </c>
      <c r="L76" s="2" t="s">
        <v>1034</v>
      </c>
      <c r="M76" s="3" t="s">
        <v>1035</v>
      </c>
      <c r="O76" s="3" t="s">
        <v>64</v>
      </c>
      <c r="P76" s="3" t="s">
        <v>316</v>
      </c>
      <c r="Q76" s="2" t="s">
        <v>1087</v>
      </c>
      <c r="R76" s="3" t="s">
        <v>67</v>
      </c>
      <c r="S76" s="4">
        <v>2</v>
      </c>
      <c r="T76" s="4">
        <v>2</v>
      </c>
      <c r="U76" s="5" t="s">
        <v>1088</v>
      </c>
      <c r="V76" s="5" t="s">
        <v>1088</v>
      </c>
      <c r="W76" s="5" t="s">
        <v>1089</v>
      </c>
      <c r="X76" s="5" t="s">
        <v>1089</v>
      </c>
      <c r="Y76" s="4">
        <v>50</v>
      </c>
      <c r="Z76" s="4">
        <v>48</v>
      </c>
      <c r="AA76" s="4">
        <v>53</v>
      </c>
      <c r="AB76" s="4">
        <v>1</v>
      </c>
      <c r="AC76" s="4">
        <v>2</v>
      </c>
      <c r="AD76" s="4">
        <v>4</v>
      </c>
      <c r="AE76" s="4">
        <v>5</v>
      </c>
      <c r="AF76" s="4">
        <v>2</v>
      </c>
      <c r="AG76" s="4">
        <v>2</v>
      </c>
      <c r="AH76" s="4">
        <v>1</v>
      </c>
      <c r="AI76" s="4">
        <v>1</v>
      </c>
      <c r="AJ76" s="4">
        <v>1</v>
      </c>
      <c r="AK76" s="4">
        <v>1</v>
      </c>
      <c r="AL76" s="4">
        <v>0</v>
      </c>
      <c r="AM76" s="4">
        <v>1</v>
      </c>
      <c r="AN76" s="4">
        <v>0</v>
      </c>
      <c r="AO76" s="4">
        <v>0</v>
      </c>
      <c r="AP76" s="3" t="s">
        <v>58</v>
      </c>
      <c r="AQ76" s="3" t="s">
        <v>58</v>
      </c>
      <c r="AS76" s="6" t="str">
        <f>HYPERLINK("https://creighton-primo.hosted.exlibrisgroup.com/primo-explore/search?tab=default_tab&amp;search_scope=EVERYTHING&amp;vid=01CRU&amp;lang=en_US&amp;offset=0&amp;query=any,contains,991003811089702656","Catalog Record")</f>
        <v>Catalog Record</v>
      </c>
      <c r="AT76" s="6" t="str">
        <f>HYPERLINK("http://www.worldcat.org/oclc/49215185","WorldCat Record")</f>
        <v>WorldCat Record</v>
      </c>
      <c r="AU76" s="3" t="s">
        <v>1090</v>
      </c>
      <c r="AV76" s="3" t="s">
        <v>1091</v>
      </c>
      <c r="AW76" s="3" t="s">
        <v>1092</v>
      </c>
      <c r="AX76" s="3" t="s">
        <v>1092</v>
      </c>
      <c r="AY76" s="3" t="s">
        <v>1093</v>
      </c>
      <c r="AZ76" s="3" t="s">
        <v>74</v>
      </c>
      <c r="BC76" s="3" t="s">
        <v>1094</v>
      </c>
      <c r="BD76" s="3" t="s">
        <v>1095</v>
      </c>
    </row>
    <row r="77" spans="1:56" ht="42.75" customHeight="1" x14ac:dyDescent="0.25">
      <c r="A77" s="7" t="s">
        <v>58</v>
      </c>
      <c r="B77" s="2" t="s">
        <v>1096</v>
      </c>
      <c r="C77" s="2" t="s">
        <v>1097</v>
      </c>
      <c r="D77" s="2" t="s">
        <v>1098</v>
      </c>
      <c r="E77" s="3" t="s">
        <v>1099</v>
      </c>
      <c r="F77" s="3" t="s">
        <v>58</v>
      </c>
      <c r="G77" s="3" t="s">
        <v>59</v>
      </c>
      <c r="H77" s="3" t="s">
        <v>58</v>
      </c>
      <c r="I77" s="3" t="s">
        <v>58</v>
      </c>
      <c r="J77" s="3" t="s">
        <v>60</v>
      </c>
      <c r="L77" s="2" t="s">
        <v>1100</v>
      </c>
      <c r="M77" s="3" t="s">
        <v>1101</v>
      </c>
      <c r="O77" s="3" t="s">
        <v>64</v>
      </c>
      <c r="P77" s="3" t="s">
        <v>316</v>
      </c>
      <c r="Q77" s="2" t="s">
        <v>1102</v>
      </c>
      <c r="R77" s="3" t="s">
        <v>67</v>
      </c>
      <c r="S77" s="4">
        <v>2</v>
      </c>
      <c r="T77" s="4">
        <v>2</v>
      </c>
      <c r="U77" s="5" t="s">
        <v>1103</v>
      </c>
      <c r="V77" s="5" t="s">
        <v>1103</v>
      </c>
      <c r="W77" s="5" t="s">
        <v>1103</v>
      </c>
      <c r="X77" s="5" t="s">
        <v>1103</v>
      </c>
      <c r="Y77" s="4">
        <v>57</v>
      </c>
      <c r="Z77" s="4">
        <v>51</v>
      </c>
      <c r="AA77" s="4">
        <v>51</v>
      </c>
      <c r="AB77" s="4">
        <v>2</v>
      </c>
      <c r="AC77" s="4">
        <v>2</v>
      </c>
      <c r="AD77" s="4">
        <v>5</v>
      </c>
      <c r="AE77" s="4">
        <v>5</v>
      </c>
      <c r="AF77" s="4">
        <v>2</v>
      </c>
      <c r="AG77" s="4">
        <v>2</v>
      </c>
      <c r="AH77" s="4">
        <v>1</v>
      </c>
      <c r="AI77" s="4">
        <v>1</v>
      </c>
      <c r="AJ77" s="4">
        <v>1</v>
      </c>
      <c r="AK77" s="4">
        <v>1</v>
      </c>
      <c r="AL77" s="4">
        <v>1</v>
      </c>
      <c r="AM77" s="4">
        <v>1</v>
      </c>
      <c r="AN77" s="4">
        <v>0</v>
      </c>
      <c r="AO77" s="4">
        <v>0</v>
      </c>
      <c r="AP77" s="3" t="s">
        <v>58</v>
      </c>
      <c r="AQ77" s="3" t="s">
        <v>58</v>
      </c>
      <c r="AS77" s="6" t="str">
        <f>HYPERLINK("https://creighton-primo.hosted.exlibrisgroup.com/primo-explore/search?tab=default_tab&amp;search_scope=EVERYTHING&amp;vid=01CRU&amp;lang=en_US&amp;offset=0&amp;query=any,contains,991003900549702656","Catalog Record")</f>
        <v>Catalog Record</v>
      </c>
      <c r="AT77" s="6" t="str">
        <f>HYPERLINK("http://www.worldcat.org/oclc/50142182","WorldCat Record")</f>
        <v>WorldCat Record</v>
      </c>
      <c r="AU77" s="3" t="s">
        <v>1104</v>
      </c>
      <c r="AV77" s="3" t="s">
        <v>1105</v>
      </c>
      <c r="AW77" s="3" t="s">
        <v>1106</v>
      </c>
      <c r="AX77" s="3" t="s">
        <v>1106</v>
      </c>
      <c r="AY77" s="3" t="s">
        <v>1107</v>
      </c>
      <c r="AZ77" s="3" t="s">
        <v>74</v>
      </c>
      <c r="BC77" s="3" t="s">
        <v>1108</v>
      </c>
      <c r="BD77" s="3" t="s">
        <v>1109</v>
      </c>
    </row>
    <row r="78" spans="1:56" ht="42.75" customHeight="1" x14ac:dyDescent="0.25">
      <c r="A78" s="7" t="s">
        <v>58</v>
      </c>
      <c r="B78" s="2" t="s">
        <v>1110</v>
      </c>
      <c r="C78" s="2" t="s">
        <v>1111</v>
      </c>
      <c r="D78" s="2" t="s">
        <v>1112</v>
      </c>
      <c r="E78" s="3" t="s">
        <v>1113</v>
      </c>
      <c r="F78" s="3" t="s">
        <v>58</v>
      </c>
      <c r="G78" s="3" t="s">
        <v>59</v>
      </c>
      <c r="H78" s="3" t="s">
        <v>58</v>
      </c>
      <c r="I78" s="3" t="s">
        <v>58</v>
      </c>
      <c r="J78" s="3" t="s">
        <v>60</v>
      </c>
      <c r="L78" s="2" t="s">
        <v>1100</v>
      </c>
      <c r="M78" s="3" t="s">
        <v>1101</v>
      </c>
      <c r="O78" s="3" t="s">
        <v>64</v>
      </c>
      <c r="P78" s="3" t="s">
        <v>316</v>
      </c>
      <c r="Q78" s="2" t="s">
        <v>1114</v>
      </c>
      <c r="R78" s="3" t="s">
        <v>67</v>
      </c>
      <c r="S78" s="4">
        <v>3</v>
      </c>
      <c r="T78" s="4">
        <v>3</v>
      </c>
      <c r="U78" s="5" t="s">
        <v>1115</v>
      </c>
      <c r="V78" s="5" t="s">
        <v>1115</v>
      </c>
      <c r="W78" s="5" t="s">
        <v>1116</v>
      </c>
      <c r="X78" s="5" t="s">
        <v>1116</v>
      </c>
      <c r="Y78" s="4">
        <v>58</v>
      </c>
      <c r="Z78" s="4">
        <v>50</v>
      </c>
      <c r="AA78" s="4">
        <v>50</v>
      </c>
      <c r="AB78" s="4">
        <v>1</v>
      </c>
      <c r="AC78" s="4">
        <v>1</v>
      </c>
      <c r="AD78" s="4">
        <v>4</v>
      </c>
      <c r="AE78" s="4">
        <v>4</v>
      </c>
      <c r="AF78" s="4">
        <v>2</v>
      </c>
      <c r="AG78" s="4">
        <v>2</v>
      </c>
      <c r="AH78" s="4">
        <v>1</v>
      </c>
      <c r="AI78" s="4">
        <v>1</v>
      </c>
      <c r="AJ78" s="4">
        <v>1</v>
      </c>
      <c r="AK78" s="4">
        <v>1</v>
      </c>
      <c r="AL78" s="4">
        <v>0</v>
      </c>
      <c r="AM78" s="4">
        <v>0</v>
      </c>
      <c r="AN78" s="4">
        <v>0</v>
      </c>
      <c r="AO78" s="4">
        <v>0</v>
      </c>
      <c r="AP78" s="3" t="s">
        <v>58</v>
      </c>
      <c r="AQ78" s="3" t="s">
        <v>58</v>
      </c>
      <c r="AS78" s="6" t="str">
        <f>HYPERLINK("https://creighton-primo.hosted.exlibrisgroup.com/primo-explore/search?tab=default_tab&amp;search_scope=EVERYTHING&amp;vid=01CRU&amp;lang=en_US&amp;offset=0&amp;query=any,contains,991003948899702656","Catalog Record")</f>
        <v>Catalog Record</v>
      </c>
      <c r="AT78" s="6" t="str">
        <f>HYPERLINK("http://www.worldcat.org/oclc/50688561","WorldCat Record")</f>
        <v>WorldCat Record</v>
      </c>
      <c r="AU78" s="3" t="s">
        <v>1117</v>
      </c>
      <c r="AV78" s="3" t="s">
        <v>1118</v>
      </c>
      <c r="AW78" s="3" t="s">
        <v>1119</v>
      </c>
      <c r="AX78" s="3" t="s">
        <v>1119</v>
      </c>
      <c r="AY78" s="3" t="s">
        <v>1120</v>
      </c>
      <c r="AZ78" s="3" t="s">
        <v>74</v>
      </c>
      <c r="BC78" s="3" t="s">
        <v>1121</v>
      </c>
      <c r="BD78" s="3" t="s">
        <v>1122</v>
      </c>
    </row>
    <row r="79" spans="1:56" ht="42.75" customHeight="1" x14ac:dyDescent="0.25">
      <c r="A79" s="7" t="s">
        <v>58</v>
      </c>
      <c r="B79" s="2" t="s">
        <v>1123</v>
      </c>
      <c r="C79" s="2" t="s">
        <v>1124</v>
      </c>
      <c r="D79" s="2" t="s">
        <v>1125</v>
      </c>
      <c r="E79" s="3" t="s">
        <v>1126</v>
      </c>
      <c r="F79" s="3" t="s">
        <v>58</v>
      </c>
      <c r="G79" s="3" t="s">
        <v>59</v>
      </c>
      <c r="H79" s="3" t="s">
        <v>58</v>
      </c>
      <c r="I79" s="3" t="s">
        <v>58</v>
      </c>
      <c r="J79" s="3" t="s">
        <v>60</v>
      </c>
      <c r="L79" s="2" t="s">
        <v>1100</v>
      </c>
      <c r="M79" s="3" t="s">
        <v>1101</v>
      </c>
      <c r="O79" s="3" t="s">
        <v>64</v>
      </c>
      <c r="P79" s="3" t="s">
        <v>316</v>
      </c>
      <c r="Q79" s="2" t="s">
        <v>1127</v>
      </c>
      <c r="R79" s="3" t="s">
        <v>67</v>
      </c>
      <c r="S79" s="4">
        <v>2</v>
      </c>
      <c r="T79" s="4">
        <v>2</v>
      </c>
      <c r="U79" s="5" t="s">
        <v>1128</v>
      </c>
      <c r="V79" s="5" t="s">
        <v>1128</v>
      </c>
      <c r="W79" s="5" t="s">
        <v>1129</v>
      </c>
      <c r="X79" s="5" t="s">
        <v>1129</v>
      </c>
      <c r="Y79" s="4">
        <v>58</v>
      </c>
      <c r="Z79" s="4">
        <v>50</v>
      </c>
      <c r="AA79" s="4">
        <v>50</v>
      </c>
      <c r="AB79" s="4">
        <v>2</v>
      </c>
      <c r="AC79" s="4">
        <v>2</v>
      </c>
      <c r="AD79" s="4">
        <v>5</v>
      </c>
      <c r="AE79" s="4">
        <v>5</v>
      </c>
      <c r="AF79" s="4">
        <v>2</v>
      </c>
      <c r="AG79" s="4">
        <v>2</v>
      </c>
      <c r="AH79" s="4">
        <v>1</v>
      </c>
      <c r="AI79" s="4">
        <v>1</v>
      </c>
      <c r="AJ79" s="4">
        <v>1</v>
      </c>
      <c r="AK79" s="4">
        <v>1</v>
      </c>
      <c r="AL79" s="4">
        <v>1</v>
      </c>
      <c r="AM79" s="4">
        <v>1</v>
      </c>
      <c r="AN79" s="4">
        <v>0</v>
      </c>
      <c r="AO79" s="4">
        <v>0</v>
      </c>
      <c r="AP79" s="3" t="s">
        <v>58</v>
      </c>
      <c r="AQ79" s="3" t="s">
        <v>58</v>
      </c>
      <c r="AS79" s="6" t="str">
        <f>HYPERLINK("https://creighton-primo.hosted.exlibrisgroup.com/primo-explore/search?tab=default_tab&amp;search_scope=EVERYTHING&amp;vid=01CRU&amp;lang=en_US&amp;offset=0&amp;query=any,contains,991003986649702656","Catalog Record")</f>
        <v>Catalog Record</v>
      </c>
      <c r="AT79" s="6" t="str">
        <f>HYPERLINK("http://www.worldcat.org/oclc/51103432","WorldCat Record")</f>
        <v>WorldCat Record</v>
      </c>
      <c r="AU79" s="3" t="s">
        <v>1130</v>
      </c>
      <c r="AV79" s="3" t="s">
        <v>1131</v>
      </c>
      <c r="AW79" s="3" t="s">
        <v>1132</v>
      </c>
      <c r="AX79" s="3" t="s">
        <v>1132</v>
      </c>
      <c r="AY79" s="3" t="s">
        <v>1133</v>
      </c>
      <c r="AZ79" s="3" t="s">
        <v>74</v>
      </c>
      <c r="BC79" s="3" t="s">
        <v>1134</v>
      </c>
      <c r="BD79" s="3" t="s">
        <v>1135</v>
      </c>
    </row>
    <row r="80" spans="1:56" ht="42.75" customHeight="1" x14ac:dyDescent="0.25">
      <c r="A80" s="7" t="s">
        <v>58</v>
      </c>
      <c r="B80" s="2" t="s">
        <v>1136</v>
      </c>
      <c r="C80" s="2" t="s">
        <v>1137</v>
      </c>
      <c r="D80" s="2" t="s">
        <v>1138</v>
      </c>
      <c r="E80" s="3" t="s">
        <v>1139</v>
      </c>
      <c r="F80" s="3" t="s">
        <v>58</v>
      </c>
      <c r="G80" s="3" t="s">
        <v>59</v>
      </c>
      <c r="H80" s="3" t="s">
        <v>58</v>
      </c>
      <c r="I80" s="3" t="s">
        <v>58</v>
      </c>
      <c r="J80" s="3" t="s">
        <v>60</v>
      </c>
      <c r="L80" s="2" t="s">
        <v>1140</v>
      </c>
      <c r="M80" s="3" t="s">
        <v>1141</v>
      </c>
      <c r="O80" s="3" t="s">
        <v>64</v>
      </c>
      <c r="P80" s="3" t="s">
        <v>316</v>
      </c>
      <c r="Q80" s="2" t="s">
        <v>1142</v>
      </c>
      <c r="R80" s="3" t="s">
        <v>67</v>
      </c>
      <c r="S80" s="4">
        <v>3</v>
      </c>
      <c r="T80" s="4">
        <v>3</v>
      </c>
      <c r="U80" s="5" t="s">
        <v>241</v>
      </c>
      <c r="V80" s="5" t="s">
        <v>241</v>
      </c>
      <c r="W80" s="5" t="s">
        <v>1143</v>
      </c>
      <c r="X80" s="5" t="s">
        <v>1143</v>
      </c>
      <c r="Y80" s="4">
        <v>63</v>
      </c>
      <c r="Z80" s="4">
        <v>53</v>
      </c>
      <c r="AA80" s="4">
        <v>53</v>
      </c>
      <c r="AB80" s="4">
        <v>2</v>
      </c>
      <c r="AC80" s="4">
        <v>2</v>
      </c>
      <c r="AD80" s="4">
        <v>5</v>
      </c>
      <c r="AE80" s="4">
        <v>5</v>
      </c>
      <c r="AF80" s="4">
        <v>2</v>
      </c>
      <c r="AG80" s="4">
        <v>2</v>
      </c>
      <c r="AH80" s="4">
        <v>1</v>
      </c>
      <c r="AI80" s="4">
        <v>1</v>
      </c>
      <c r="AJ80" s="4">
        <v>1</v>
      </c>
      <c r="AK80" s="4">
        <v>1</v>
      </c>
      <c r="AL80" s="4">
        <v>1</v>
      </c>
      <c r="AM80" s="4">
        <v>1</v>
      </c>
      <c r="AN80" s="4">
        <v>0</v>
      </c>
      <c r="AO80" s="4">
        <v>0</v>
      </c>
      <c r="AP80" s="3" t="s">
        <v>58</v>
      </c>
      <c r="AQ80" s="3" t="s">
        <v>58</v>
      </c>
      <c r="AS80" s="6" t="str">
        <f>HYPERLINK("https://creighton-primo.hosted.exlibrisgroup.com/primo-explore/search?tab=default_tab&amp;search_scope=EVERYTHING&amp;vid=01CRU&amp;lang=en_US&amp;offset=0&amp;query=any,contains,991004008009702656","Catalog Record")</f>
        <v>Catalog Record</v>
      </c>
      <c r="AT80" s="6" t="str">
        <f>HYPERLINK("http://www.worldcat.org/oclc/51606582","WorldCat Record")</f>
        <v>WorldCat Record</v>
      </c>
      <c r="AU80" s="3" t="s">
        <v>1144</v>
      </c>
      <c r="AV80" s="3" t="s">
        <v>1145</v>
      </c>
      <c r="AW80" s="3" t="s">
        <v>1146</v>
      </c>
      <c r="AX80" s="3" t="s">
        <v>1146</v>
      </c>
      <c r="AY80" s="3" t="s">
        <v>1147</v>
      </c>
      <c r="AZ80" s="3" t="s">
        <v>74</v>
      </c>
      <c r="BC80" s="3" t="s">
        <v>1148</v>
      </c>
      <c r="BD80" s="3" t="s">
        <v>1149</v>
      </c>
    </row>
    <row r="81" spans="1:56" ht="42.75" customHeight="1" x14ac:dyDescent="0.25">
      <c r="A81" s="7" t="s">
        <v>58</v>
      </c>
      <c r="B81" s="2" t="s">
        <v>1150</v>
      </c>
      <c r="C81" s="2" t="s">
        <v>1151</v>
      </c>
      <c r="D81" s="2" t="s">
        <v>1152</v>
      </c>
      <c r="E81" s="3" t="s">
        <v>1153</v>
      </c>
      <c r="F81" s="3" t="s">
        <v>58</v>
      </c>
      <c r="G81" s="3" t="s">
        <v>59</v>
      </c>
      <c r="H81" s="3" t="s">
        <v>58</v>
      </c>
      <c r="I81" s="3" t="s">
        <v>58</v>
      </c>
      <c r="J81" s="3" t="s">
        <v>60</v>
      </c>
      <c r="L81" s="2" t="s">
        <v>1154</v>
      </c>
      <c r="M81" s="3" t="s">
        <v>1141</v>
      </c>
      <c r="O81" s="3" t="s">
        <v>64</v>
      </c>
      <c r="P81" s="3" t="s">
        <v>316</v>
      </c>
      <c r="Q81" s="2" t="s">
        <v>1155</v>
      </c>
      <c r="R81" s="3" t="s">
        <v>67</v>
      </c>
      <c r="S81" s="4">
        <v>2</v>
      </c>
      <c r="T81" s="4">
        <v>2</v>
      </c>
      <c r="U81" s="5" t="s">
        <v>1156</v>
      </c>
      <c r="V81" s="5" t="s">
        <v>1156</v>
      </c>
      <c r="W81" s="5" t="s">
        <v>1157</v>
      </c>
      <c r="X81" s="5" t="s">
        <v>1157</v>
      </c>
      <c r="Y81" s="4">
        <v>60</v>
      </c>
      <c r="Z81" s="4">
        <v>52</v>
      </c>
      <c r="AA81" s="4">
        <v>52</v>
      </c>
      <c r="AB81" s="4">
        <v>2</v>
      </c>
      <c r="AC81" s="4">
        <v>2</v>
      </c>
      <c r="AD81" s="4">
        <v>5</v>
      </c>
      <c r="AE81" s="4">
        <v>5</v>
      </c>
      <c r="AF81" s="4">
        <v>2</v>
      </c>
      <c r="AG81" s="4">
        <v>2</v>
      </c>
      <c r="AH81" s="4">
        <v>1</v>
      </c>
      <c r="AI81" s="4">
        <v>1</v>
      </c>
      <c r="AJ81" s="4">
        <v>1</v>
      </c>
      <c r="AK81" s="4">
        <v>1</v>
      </c>
      <c r="AL81" s="4">
        <v>1</v>
      </c>
      <c r="AM81" s="4">
        <v>1</v>
      </c>
      <c r="AN81" s="4">
        <v>0</v>
      </c>
      <c r="AO81" s="4">
        <v>0</v>
      </c>
      <c r="AP81" s="3" t="s">
        <v>58</v>
      </c>
      <c r="AQ81" s="3" t="s">
        <v>58</v>
      </c>
      <c r="AS81" s="6" t="str">
        <f>HYPERLINK("https://creighton-primo.hosted.exlibrisgroup.com/primo-explore/search?tab=default_tab&amp;search_scope=EVERYTHING&amp;vid=01CRU&amp;lang=en_US&amp;offset=0&amp;query=any,contains,991004078769702656","Catalog Record")</f>
        <v>Catalog Record</v>
      </c>
      <c r="AT81" s="6" t="str">
        <f>HYPERLINK("http://www.worldcat.org/oclc/52354790","WorldCat Record")</f>
        <v>WorldCat Record</v>
      </c>
      <c r="AU81" s="3" t="s">
        <v>1158</v>
      </c>
      <c r="AV81" s="3" t="s">
        <v>1159</v>
      </c>
      <c r="AW81" s="3" t="s">
        <v>1160</v>
      </c>
      <c r="AX81" s="3" t="s">
        <v>1160</v>
      </c>
      <c r="AY81" s="3" t="s">
        <v>1161</v>
      </c>
      <c r="AZ81" s="3" t="s">
        <v>74</v>
      </c>
      <c r="BC81" s="3" t="s">
        <v>1162</v>
      </c>
      <c r="BD81" s="3" t="s">
        <v>1163</v>
      </c>
    </row>
    <row r="82" spans="1:56" ht="42.75" customHeight="1" x14ac:dyDescent="0.25">
      <c r="A82" s="7" t="s">
        <v>58</v>
      </c>
      <c r="B82" s="2" t="s">
        <v>1164</v>
      </c>
      <c r="C82" s="2" t="s">
        <v>1165</v>
      </c>
      <c r="D82" s="2" t="s">
        <v>1166</v>
      </c>
      <c r="E82" s="3" t="s">
        <v>1167</v>
      </c>
      <c r="F82" s="3" t="s">
        <v>58</v>
      </c>
      <c r="G82" s="3" t="s">
        <v>59</v>
      </c>
      <c r="H82" s="3" t="s">
        <v>58</v>
      </c>
      <c r="I82" s="3" t="s">
        <v>58</v>
      </c>
      <c r="J82" s="3" t="s">
        <v>60</v>
      </c>
      <c r="L82" s="2" t="s">
        <v>1140</v>
      </c>
      <c r="M82" s="3" t="s">
        <v>1141</v>
      </c>
      <c r="O82" s="3" t="s">
        <v>64</v>
      </c>
      <c r="P82" s="3" t="s">
        <v>316</v>
      </c>
      <c r="Q82" s="2" t="s">
        <v>1168</v>
      </c>
      <c r="R82" s="3" t="s">
        <v>67</v>
      </c>
      <c r="S82" s="4">
        <v>1</v>
      </c>
      <c r="T82" s="4">
        <v>1</v>
      </c>
      <c r="U82" s="5" t="s">
        <v>1169</v>
      </c>
      <c r="V82" s="5" t="s">
        <v>1169</v>
      </c>
      <c r="W82" s="5" t="s">
        <v>1169</v>
      </c>
      <c r="X82" s="5" t="s">
        <v>1169</v>
      </c>
      <c r="Y82" s="4">
        <v>58</v>
      </c>
      <c r="Z82" s="4">
        <v>50</v>
      </c>
      <c r="AA82" s="4">
        <v>50</v>
      </c>
      <c r="AB82" s="4">
        <v>2</v>
      </c>
      <c r="AC82" s="4">
        <v>2</v>
      </c>
      <c r="AD82" s="4">
        <v>5</v>
      </c>
      <c r="AE82" s="4">
        <v>5</v>
      </c>
      <c r="AF82" s="4">
        <v>2</v>
      </c>
      <c r="AG82" s="4">
        <v>2</v>
      </c>
      <c r="AH82" s="4">
        <v>1</v>
      </c>
      <c r="AI82" s="4">
        <v>1</v>
      </c>
      <c r="AJ82" s="4">
        <v>1</v>
      </c>
      <c r="AK82" s="4">
        <v>1</v>
      </c>
      <c r="AL82" s="4">
        <v>1</v>
      </c>
      <c r="AM82" s="4">
        <v>1</v>
      </c>
      <c r="AN82" s="4">
        <v>0</v>
      </c>
      <c r="AO82" s="4">
        <v>0</v>
      </c>
      <c r="AP82" s="3" t="s">
        <v>58</v>
      </c>
      <c r="AQ82" s="3" t="s">
        <v>58</v>
      </c>
      <c r="AS82" s="6" t="str">
        <f>HYPERLINK("https://creighton-primo.hosted.exlibrisgroup.com/primo-explore/search?tab=default_tab&amp;search_scope=EVERYTHING&amp;vid=01CRU&amp;lang=en_US&amp;offset=0&amp;query=any,contains,991004207789702656","Catalog Record")</f>
        <v>Catalog Record</v>
      </c>
      <c r="AT82" s="6" t="str">
        <f>HYPERLINK("http://www.worldcat.org/oclc/53168958","WorldCat Record")</f>
        <v>WorldCat Record</v>
      </c>
      <c r="AU82" s="3" t="s">
        <v>1170</v>
      </c>
      <c r="AV82" s="3" t="s">
        <v>1171</v>
      </c>
      <c r="AW82" s="3" t="s">
        <v>1172</v>
      </c>
      <c r="AX82" s="3" t="s">
        <v>1172</v>
      </c>
      <c r="AY82" s="3" t="s">
        <v>1173</v>
      </c>
      <c r="AZ82" s="3" t="s">
        <v>74</v>
      </c>
      <c r="BC82" s="3" t="s">
        <v>1174</v>
      </c>
      <c r="BD82" s="3" t="s">
        <v>1175</v>
      </c>
    </row>
    <row r="83" spans="1:56" ht="42.75" customHeight="1" x14ac:dyDescent="0.25">
      <c r="A83" s="7" t="s">
        <v>58</v>
      </c>
      <c r="B83" s="2" t="s">
        <v>1176</v>
      </c>
      <c r="C83" s="2" t="s">
        <v>1177</v>
      </c>
      <c r="D83" s="2" t="s">
        <v>1178</v>
      </c>
      <c r="E83" s="3" t="s">
        <v>1179</v>
      </c>
      <c r="F83" s="3" t="s">
        <v>58</v>
      </c>
      <c r="G83" s="3" t="s">
        <v>59</v>
      </c>
      <c r="H83" s="3" t="s">
        <v>58</v>
      </c>
      <c r="I83" s="3" t="s">
        <v>58</v>
      </c>
      <c r="J83" s="3" t="s">
        <v>60</v>
      </c>
      <c r="L83" s="2" t="s">
        <v>1180</v>
      </c>
      <c r="M83" s="3" t="s">
        <v>1181</v>
      </c>
      <c r="O83" s="3" t="s">
        <v>64</v>
      </c>
      <c r="P83" s="3" t="s">
        <v>316</v>
      </c>
      <c r="Q83" s="2" t="s">
        <v>1182</v>
      </c>
      <c r="R83" s="3" t="s">
        <v>67</v>
      </c>
      <c r="S83" s="4">
        <v>3</v>
      </c>
      <c r="T83" s="4">
        <v>3</v>
      </c>
      <c r="U83" s="5" t="s">
        <v>1183</v>
      </c>
      <c r="V83" s="5" t="s">
        <v>1183</v>
      </c>
      <c r="W83" s="5" t="s">
        <v>1184</v>
      </c>
      <c r="X83" s="5" t="s">
        <v>1184</v>
      </c>
      <c r="Y83" s="4">
        <v>66</v>
      </c>
      <c r="Z83" s="4">
        <v>55</v>
      </c>
      <c r="AA83" s="4">
        <v>55</v>
      </c>
      <c r="AB83" s="4">
        <v>2</v>
      </c>
      <c r="AC83" s="4">
        <v>2</v>
      </c>
      <c r="AD83" s="4">
        <v>4</v>
      </c>
      <c r="AE83" s="4">
        <v>4</v>
      </c>
      <c r="AF83" s="4">
        <v>2</v>
      </c>
      <c r="AG83" s="4">
        <v>2</v>
      </c>
      <c r="AH83" s="4">
        <v>0</v>
      </c>
      <c r="AI83" s="4">
        <v>0</v>
      </c>
      <c r="AJ83" s="4">
        <v>1</v>
      </c>
      <c r="AK83" s="4">
        <v>1</v>
      </c>
      <c r="AL83" s="4">
        <v>1</v>
      </c>
      <c r="AM83" s="4">
        <v>1</v>
      </c>
      <c r="AN83" s="4">
        <v>0</v>
      </c>
      <c r="AO83" s="4">
        <v>0</v>
      </c>
      <c r="AP83" s="3" t="s">
        <v>58</v>
      </c>
      <c r="AQ83" s="3" t="s">
        <v>58</v>
      </c>
      <c r="AS83" s="6" t="str">
        <f>HYPERLINK("https://creighton-primo.hosted.exlibrisgroup.com/primo-explore/search?tab=default_tab&amp;search_scope=EVERYTHING&amp;vid=01CRU&amp;lang=en_US&amp;offset=0&amp;query=any,contains,991004281359702656","Catalog Record")</f>
        <v>Catalog Record</v>
      </c>
      <c r="AT83" s="6" t="str">
        <f>HYPERLINK("http://www.worldcat.org/oclc/54894275","WorldCat Record")</f>
        <v>WorldCat Record</v>
      </c>
      <c r="AU83" s="3" t="s">
        <v>1185</v>
      </c>
      <c r="AV83" s="3" t="s">
        <v>1186</v>
      </c>
      <c r="AW83" s="3" t="s">
        <v>1187</v>
      </c>
      <c r="AX83" s="3" t="s">
        <v>1187</v>
      </c>
      <c r="AY83" s="3" t="s">
        <v>1188</v>
      </c>
      <c r="AZ83" s="3" t="s">
        <v>74</v>
      </c>
      <c r="BC83" s="3" t="s">
        <v>1189</v>
      </c>
      <c r="BD83" s="3" t="s">
        <v>1190</v>
      </c>
    </row>
    <row r="84" spans="1:56" ht="42.75" customHeight="1" x14ac:dyDescent="0.25">
      <c r="A84" s="7" t="s">
        <v>58</v>
      </c>
      <c r="B84" s="2" t="s">
        <v>1191</v>
      </c>
      <c r="C84" s="2" t="s">
        <v>1192</v>
      </c>
      <c r="D84" s="2" t="s">
        <v>1193</v>
      </c>
      <c r="E84" s="3" t="s">
        <v>1194</v>
      </c>
      <c r="F84" s="3" t="s">
        <v>58</v>
      </c>
      <c r="G84" s="3" t="s">
        <v>59</v>
      </c>
      <c r="H84" s="3" t="s">
        <v>58</v>
      </c>
      <c r="I84" s="3" t="s">
        <v>58</v>
      </c>
      <c r="J84" s="3" t="s">
        <v>60</v>
      </c>
      <c r="L84" s="2" t="s">
        <v>1180</v>
      </c>
      <c r="M84" s="3" t="s">
        <v>1181</v>
      </c>
      <c r="O84" s="3" t="s">
        <v>64</v>
      </c>
      <c r="P84" s="3" t="s">
        <v>316</v>
      </c>
      <c r="Q84" s="2" t="s">
        <v>1195</v>
      </c>
      <c r="R84" s="3" t="s">
        <v>67</v>
      </c>
      <c r="S84" s="4">
        <v>3</v>
      </c>
      <c r="T84" s="4">
        <v>3</v>
      </c>
      <c r="U84" s="5" t="s">
        <v>1196</v>
      </c>
      <c r="V84" s="5" t="s">
        <v>1196</v>
      </c>
      <c r="W84" s="5" t="s">
        <v>1197</v>
      </c>
      <c r="X84" s="5" t="s">
        <v>1197</v>
      </c>
      <c r="Y84" s="4">
        <v>65</v>
      </c>
      <c r="Z84" s="4">
        <v>54</v>
      </c>
      <c r="AA84" s="4">
        <v>54</v>
      </c>
      <c r="AB84" s="4">
        <v>2</v>
      </c>
      <c r="AC84" s="4">
        <v>2</v>
      </c>
      <c r="AD84" s="4">
        <v>4</v>
      </c>
      <c r="AE84" s="4">
        <v>4</v>
      </c>
      <c r="AF84" s="4">
        <v>2</v>
      </c>
      <c r="AG84" s="4">
        <v>2</v>
      </c>
      <c r="AH84" s="4">
        <v>0</v>
      </c>
      <c r="AI84" s="4">
        <v>0</v>
      </c>
      <c r="AJ84" s="4">
        <v>1</v>
      </c>
      <c r="AK84" s="4">
        <v>1</v>
      </c>
      <c r="AL84" s="4">
        <v>1</v>
      </c>
      <c r="AM84" s="4">
        <v>1</v>
      </c>
      <c r="AN84" s="4">
        <v>0</v>
      </c>
      <c r="AO84" s="4">
        <v>0</v>
      </c>
      <c r="AP84" s="3" t="s">
        <v>58</v>
      </c>
      <c r="AQ84" s="3" t="s">
        <v>58</v>
      </c>
      <c r="AS84" s="6" t="str">
        <f>HYPERLINK("https://creighton-primo.hosted.exlibrisgroup.com/primo-explore/search?tab=default_tab&amp;search_scope=EVERYTHING&amp;vid=01CRU&amp;lang=en_US&amp;offset=0&amp;query=any,contains,991004322419702656","Catalog Record")</f>
        <v>Catalog Record</v>
      </c>
      <c r="AT84" s="6" t="str">
        <f>HYPERLINK("http://www.worldcat.org/oclc/55806187","WorldCat Record")</f>
        <v>WorldCat Record</v>
      </c>
      <c r="AU84" s="3" t="s">
        <v>1198</v>
      </c>
      <c r="AV84" s="3" t="s">
        <v>1199</v>
      </c>
      <c r="AW84" s="3" t="s">
        <v>1200</v>
      </c>
      <c r="AX84" s="3" t="s">
        <v>1200</v>
      </c>
      <c r="AY84" s="3" t="s">
        <v>1201</v>
      </c>
      <c r="AZ84" s="3" t="s">
        <v>74</v>
      </c>
      <c r="BC84" s="3" t="s">
        <v>1202</v>
      </c>
      <c r="BD84" s="3" t="s">
        <v>1203</v>
      </c>
    </row>
    <row r="85" spans="1:56" ht="42.75" customHeight="1" x14ac:dyDescent="0.25">
      <c r="A85" s="7" t="s">
        <v>58</v>
      </c>
      <c r="B85" s="2" t="s">
        <v>1204</v>
      </c>
      <c r="C85" s="2" t="s">
        <v>1205</v>
      </c>
      <c r="D85" s="2" t="s">
        <v>1206</v>
      </c>
      <c r="E85" s="3" t="s">
        <v>1207</v>
      </c>
      <c r="F85" s="3" t="s">
        <v>58</v>
      </c>
      <c r="G85" s="3" t="s">
        <v>59</v>
      </c>
      <c r="H85" s="3" t="s">
        <v>58</v>
      </c>
      <c r="I85" s="3" t="s">
        <v>58</v>
      </c>
      <c r="J85" s="3" t="s">
        <v>60</v>
      </c>
      <c r="L85" s="2" t="s">
        <v>1180</v>
      </c>
      <c r="M85" s="3" t="s">
        <v>1181</v>
      </c>
      <c r="O85" s="3" t="s">
        <v>64</v>
      </c>
      <c r="P85" s="3" t="s">
        <v>316</v>
      </c>
      <c r="Q85" s="2" t="s">
        <v>1208</v>
      </c>
      <c r="R85" s="3" t="s">
        <v>67</v>
      </c>
      <c r="S85" s="4">
        <v>4</v>
      </c>
      <c r="T85" s="4">
        <v>4</v>
      </c>
      <c r="U85" s="5" t="s">
        <v>1209</v>
      </c>
      <c r="V85" s="5" t="s">
        <v>1209</v>
      </c>
      <c r="W85" s="5" t="s">
        <v>1210</v>
      </c>
      <c r="X85" s="5" t="s">
        <v>1210</v>
      </c>
      <c r="Y85" s="4">
        <v>59</v>
      </c>
      <c r="Z85" s="4">
        <v>53</v>
      </c>
      <c r="AA85" s="4">
        <v>53</v>
      </c>
      <c r="AB85" s="4">
        <v>2</v>
      </c>
      <c r="AC85" s="4">
        <v>2</v>
      </c>
      <c r="AD85" s="4">
        <v>4</v>
      </c>
      <c r="AE85" s="4">
        <v>4</v>
      </c>
      <c r="AF85" s="4">
        <v>2</v>
      </c>
      <c r="AG85" s="4">
        <v>2</v>
      </c>
      <c r="AH85" s="4">
        <v>0</v>
      </c>
      <c r="AI85" s="4">
        <v>0</v>
      </c>
      <c r="AJ85" s="4">
        <v>1</v>
      </c>
      <c r="AK85" s="4">
        <v>1</v>
      </c>
      <c r="AL85" s="4">
        <v>1</v>
      </c>
      <c r="AM85" s="4">
        <v>1</v>
      </c>
      <c r="AN85" s="4">
        <v>0</v>
      </c>
      <c r="AO85" s="4">
        <v>0</v>
      </c>
      <c r="AP85" s="3" t="s">
        <v>58</v>
      </c>
      <c r="AQ85" s="3" t="s">
        <v>58</v>
      </c>
      <c r="AS85" s="6" t="str">
        <f>HYPERLINK("https://creighton-primo.hosted.exlibrisgroup.com/primo-explore/search?tab=default_tab&amp;search_scope=EVERYTHING&amp;vid=01CRU&amp;lang=en_US&amp;offset=0&amp;query=any,contains,991004352119702656","Catalog Record")</f>
        <v>Catalog Record</v>
      </c>
      <c r="AT85" s="6" t="str">
        <f>HYPERLINK("http://www.worldcat.org/oclc/56120835","WorldCat Record")</f>
        <v>WorldCat Record</v>
      </c>
      <c r="AU85" s="3" t="s">
        <v>1211</v>
      </c>
      <c r="AV85" s="3" t="s">
        <v>1212</v>
      </c>
      <c r="AW85" s="3" t="s">
        <v>1213</v>
      </c>
      <c r="AX85" s="3" t="s">
        <v>1213</v>
      </c>
      <c r="AY85" s="3" t="s">
        <v>1214</v>
      </c>
      <c r="AZ85" s="3" t="s">
        <v>74</v>
      </c>
      <c r="BC85" s="3" t="s">
        <v>1215</v>
      </c>
      <c r="BD85" s="3" t="s">
        <v>1216</v>
      </c>
    </row>
    <row r="86" spans="1:56" ht="42.75" customHeight="1" x14ac:dyDescent="0.25">
      <c r="A86" s="7" t="s">
        <v>58</v>
      </c>
      <c r="B86" s="2" t="s">
        <v>1217</v>
      </c>
      <c r="C86" s="2" t="s">
        <v>1218</v>
      </c>
      <c r="D86" s="2" t="s">
        <v>1219</v>
      </c>
      <c r="E86" s="3" t="s">
        <v>1220</v>
      </c>
      <c r="F86" s="3" t="s">
        <v>58</v>
      </c>
      <c r="G86" s="3" t="s">
        <v>59</v>
      </c>
      <c r="H86" s="3" t="s">
        <v>58</v>
      </c>
      <c r="I86" s="3" t="s">
        <v>58</v>
      </c>
      <c r="J86" s="3" t="s">
        <v>60</v>
      </c>
      <c r="L86" s="2" t="s">
        <v>1180</v>
      </c>
      <c r="M86" s="3" t="s">
        <v>1181</v>
      </c>
      <c r="O86" s="3" t="s">
        <v>64</v>
      </c>
      <c r="P86" s="3" t="s">
        <v>316</v>
      </c>
      <c r="Q86" s="2" t="s">
        <v>1221</v>
      </c>
      <c r="R86" s="3" t="s">
        <v>67</v>
      </c>
      <c r="S86" s="4">
        <v>2</v>
      </c>
      <c r="T86" s="4">
        <v>2</v>
      </c>
      <c r="U86" s="5" t="s">
        <v>1222</v>
      </c>
      <c r="V86" s="5" t="s">
        <v>1222</v>
      </c>
      <c r="W86" s="5" t="s">
        <v>1223</v>
      </c>
      <c r="X86" s="5" t="s">
        <v>1223</v>
      </c>
      <c r="Y86" s="4">
        <v>61</v>
      </c>
      <c r="Z86" s="4">
        <v>53</v>
      </c>
      <c r="AA86" s="4">
        <v>53</v>
      </c>
      <c r="AB86" s="4">
        <v>2</v>
      </c>
      <c r="AC86" s="4">
        <v>2</v>
      </c>
      <c r="AD86" s="4">
        <v>4</v>
      </c>
      <c r="AE86" s="4">
        <v>4</v>
      </c>
      <c r="AF86" s="4">
        <v>2</v>
      </c>
      <c r="AG86" s="4">
        <v>2</v>
      </c>
      <c r="AH86" s="4">
        <v>0</v>
      </c>
      <c r="AI86" s="4">
        <v>0</v>
      </c>
      <c r="AJ86" s="4">
        <v>1</v>
      </c>
      <c r="AK86" s="4">
        <v>1</v>
      </c>
      <c r="AL86" s="4">
        <v>1</v>
      </c>
      <c r="AM86" s="4">
        <v>1</v>
      </c>
      <c r="AN86" s="4">
        <v>0</v>
      </c>
      <c r="AO86" s="4">
        <v>0</v>
      </c>
      <c r="AP86" s="3" t="s">
        <v>58</v>
      </c>
      <c r="AQ86" s="3" t="s">
        <v>58</v>
      </c>
      <c r="AS86" s="6" t="str">
        <f>HYPERLINK("https://creighton-primo.hosted.exlibrisgroup.com/primo-explore/search?tab=default_tab&amp;search_scope=EVERYTHING&amp;vid=01CRU&amp;lang=en_US&amp;offset=0&amp;query=any,contains,991004423989702656","Catalog Record")</f>
        <v>Catalog Record</v>
      </c>
      <c r="AT86" s="6" t="str">
        <f>HYPERLINK("http://www.worldcat.org/oclc/56797331","WorldCat Record")</f>
        <v>WorldCat Record</v>
      </c>
      <c r="AU86" s="3" t="s">
        <v>1224</v>
      </c>
      <c r="AV86" s="3" t="s">
        <v>1225</v>
      </c>
      <c r="AW86" s="3" t="s">
        <v>1226</v>
      </c>
      <c r="AX86" s="3" t="s">
        <v>1226</v>
      </c>
      <c r="AY86" s="3" t="s">
        <v>1227</v>
      </c>
      <c r="AZ86" s="3" t="s">
        <v>74</v>
      </c>
      <c r="BC86" s="3" t="s">
        <v>1228</v>
      </c>
      <c r="BD86" s="3" t="s">
        <v>1229</v>
      </c>
    </row>
    <row r="87" spans="1:56" ht="42.75" customHeight="1" x14ac:dyDescent="0.25">
      <c r="A87" s="7" t="s">
        <v>58</v>
      </c>
      <c r="B87" s="2" t="s">
        <v>1230</v>
      </c>
      <c r="C87" s="2" t="s">
        <v>1231</v>
      </c>
      <c r="D87" s="2" t="s">
        <v>1232</v>
      </c>
      <c r="E87" s="3" t="s">
        <v>1233</v>
      </c>
      <c r="F87" s="3" t="s">
        <v>58</v>
      </c>
      <c r="G87" s="3" t="s">
        <v>59</v>
      </c>
      <c r="H87" s="3" t="s">
        <v>58</v>
      </c>
      <c r="I87" s="3" t="s">
        <v>58</v>
      </c>
      <c r="J87" s="3" t="s">
        <v>60</v>
      </c>
      <c r="L87" s="2" t="s">
        <v>1234</v>
      </c>
      <c r="M87" s="3" t="s">
        <v>1235</v>
      </c>
      <c r="O87" s="3" t="s">
        <v>64</v>
      </c>
      <c r="P87" s="3" t="s">
        <v>316</v>
      </c>
      <c r="Q87" s="2" t="s">
        <v>1236</v>
      </c>
      <c r="R87" s="3" t="s">
        <v>67</v>
      </c>
      <c r="S87" s="4">
        <v>2</v>
      </c>
      <c r="T87" s="4">
        <v>2</v>
      </c>
      <c r="U87" s="5" t="s">
        <v>1237</v>
      </c>
      <c r="V87" s="5" t="s">
        <v>1237</v>
      </c>
      <c r="W87" s="5" t="s">
        <v>1238</v>
      </c>
      <c r="X87" s="5" t="s">
        <v>1238</v>
      </c>
      <c r="Y87" s="4">
        <v>71</v>
      </c>
      <c r="Z87" s="4">
        <v>57</v>
      </c>
      <c r="AA87" s="4">
        <v>57</v>
      </c>
      <c r="AB87" s="4">
        <v>2</v>
      </c>
      <c r="AC87" s="4">
        <v>2</v>
      </c>
      <c r="AD87" s="4">
        <v>4</v>
      </c>
      <c r="AE87" s="4">
        <v>4</v>
      </c>
      <c r="AF87" s="4">
        <v>2</v>
      </c>
      <c r="AG87" s="4">
        <v>2</v>
      </c>
      <c r="AH87" s="4">
        <v>0</v>
      </c>
      <c r="AI87" s="4">
        <v>0</v>
      </c>
      <c r="AJ87" s="4">
        <v>1</v>
      </c>
      <c r="AK87" s="4">
        <v>1</v>
      </c>
      <c r="AL87" s="4">
        <v>1</v>
      </c>
      <c r="AM87" s="4">
        <v>1</v>
      </c>
      <c r="AN87" s="4">
        <v>0</v>
      </c>
      <c r="AO87" s="4">
        <v>0</v>
      </c>
      <c r="AP87" s="3" t="s">
        <v>58</v>
      </c>
      <c r="AQ87" s="3" t="s">
        <v>58</v>
      </c>
      <c r="AS87" s="6" t="str">
        <f>HYPERLINK("https://creighton-primo.hosted.exlibrisgroup.com/primo-explore/search?tab=default_tab&amp;search_scope=EVERYTHING&amp;vid=01CRU&amp;lang=en_US&amp;offset=0&amp;query=any,contains,991004469889702656","Catalog Record")</f>
        <v>Catalog Record</v>
      </c>
      <c r="AT87" s="6" t="str">
        <f>HYPERLINK("http://www.worldcat.org/oclc/57555593","WorldCat Record")</f>
        <v>WorldCat Record</v>
      </c>
      <c r="AU87" s="3" t="s">
        <v>1239</v>
      </c>
      <c r="AV87" s="3" t="s">
        <v>1240</v>
      </c>
      <c r="AW87" s="3" t="s">
        <v>1241</v>
      </c>
      <c r="AX87" s="3" t="s">
        <v>1241</v>
      </c>
      <c r="AY87" s="3" t="s">
        <v>1242</v>
      </c>
      <c r="AZ87" s="3" t="s">
        <v>74</v>
      </c>
      <c r="BC87" s="3" t="s">
        <v>1243</v>
      </c>
      <c r="BD87" s="3" t="s">
        <v>1244</v>
      </c>
    </row>
    <row r="88" spans="1:56" ht="42.75" customHeight="1" x14ac:dyDescent="0.25">
      <c r="A88" s="7" t="s">
        <v>58</v>
      </c>
      <c r="B88" s="2" t="s">
        <v>1245</v>
      </c>
      <c r="C88" s="2" t="s">
        <v>1246</v>
      </c>
      <c r="D88" s="2" t="s">
        <v>1247</v>
      </c>
      <c r="E88" s="3" t="s">
        <v>1248</v>
      </c>
      <c r="F88" s="3" t="s">
        <v>58</v>
      </c>
      <c r="G88" s="3" t="s">
        <v>59</v>
      </c>
      <c r="H88" s="3" t="s">
        <v>58</v>
      </c>
      <c r="I88" s="3" t="s">
        <v>58</v>
      </c>
      <c r="J88" s="3" t="s">
        <v>60</v>
      </c>
      <c r="L88" s="2" t="s">
        <v>1234</v>
      </c>
      <c r="M88" s="3" t="s">
        <v>1235</v>
      </c>
      <c r="O88" s="3" t="s">
        <v>64</v>
      </c>
      <c r="P88" s="3" t="s">
        <v>316</v>
      </c>
      <c r="Q88" s="2" t="s">
        <v>1249</v>
      </c>
      <c r="R88" s="3" t="s">
        <v>67</v>
      </c>
      <c r="S88" s="4">
        <v>1</v>
      </c>
      <c r="T88" s="4">
        <v>1</v>
      </c>
      <c r="U88" s="5" t="s">
        <v>1250</v>
      </c>
      <c r="V88" s="5" t="s">
        <v>1250</v>
      </c>
      <c r="W88" s="5" t="s">
        <v>1250</v>
      </c>
      <c r="X88" s="5" t="s">
        <v>1250</v>
      </c>
      <c r="Y88" s="4">
        <v>69</v>
      </c>
      <c r="Z88" s="4">
        <v>55</v>
      </c>
      <c r="AA88" s="4">
        <v>55</v>
      </c>
      <c r="AB88" s="4">
        <v>2</v>
      </c>
      <c r="AC88" s="4">
        <v>2</v>
      </c>
      <c r="AD88" s="4">
        <v>4</v>
      </c>
      <c r="AE88" s="4">
        <v>4</v>
      </c>
      <c r="AF88" s="4">
        <v>2</v>
      </c>
      <c r="AG88" s="4">
        <v>2</v>
      </c>
      <c r="AH88" s="4">
        <v>0</v>
      </c>
      <c r="AI88" s="4">
        <v>0</v>
      </c>
      <c r="AJ88" s="4">
        <v>1</v>
      </c>
      <c r="AK88" s="4">
        <v>1</v>
      </c>
      <c r="AL88" s="4">
        <v>1</v>
      </c>
      <c r="AM88" s="4">
        <v>1</v>
      </c>
      <c r="AN88" s="4">
        <v>0</v>
      </c>
      <c r="AO88" s="4">
        <v>0</v>
      </c>
      <c r="AP88" s="3" t="s">
        <v>58</v>
      </c>
      <c r="AQ88" s="3" t="s">
        <v>58</v>
      </c>
      <c r="AS88" s="6" t="str">
        <f>HYPERLINK("https://creighton-primo.hosted.exlibrisgroup.com/primo-explore/search?tab=default_tab&amp;search_scope=EVERYTHING&amp;vid=01CRU&amp;lang=en_US&amp;offset=0&amp;query=any,contains,991004601339702656","Catalog Record")</f>
        <v>Catalog Record</v>
      </c>
      <c r="AT88" s="6" t="str">
        <f>HYPERLINK("http://www.worldcat.org/oclc/60569923","WorldCat Record")</f>
        <v>WorldCat Record</v>
      </c>
      <c r="AU88" s="3" t="s">
        <v>1251</v>
      </c>
      <c r="AV88" s="3" t="s">
        <v>1252</v>
      </c>
      <c r="AW88" s="3" t="s">
        <v>1253</v>
      </c>
      <c r="AX88" s="3" t="s">
        <v>1253</v>
      </c>
      <c r="AY88" s="3" t="s">
        <v>1254</v>
      </c>
      <c r="AZ88" s="3" t="s">
        <v>74</v>
      </c>
      <c r="BB88" s="3" t="s">
        <v>1255</v>
      </c>
      <c r="BC88" s="3" t="s">
        <v>1256</v>
      </c>
      <c r="BD88" s="3" t="s">
        <v>1257</v>
      </c>
    </row>
    <row r="89" spans="1:56" ht="42.75" customHeight="1" x14ac:dyDescent="0.25">
      <c r="A89" s="7" t="s">
        <v>58</v>
      </c>
      <c r="B89" s="2" t="s">
        <v>1258</v>
      </c>
      <c r="C89" s="2" t="s">
        <v>1259</v>
      </c>
      <c r="D89" s="2" t="s">
        <v>1260</v>
      </c>
      <c r="E89" s="3" t="s">
        <v>1261</v>
      </c>
      <c r="F89" s="3" t="s">
        <v>58</v>
      </c>
      <c r="G89" s="3" t="s">
        <v>59</v>
      </c>
      <c r="H89" s="3" t="s">
        <v>58</v>
      </c>
      <c r="I89" s="3" t="s">
        <v>58</v>
      </c>
      <c r="J89" s="3" t="s">
        <v>60</v>
      </c>
      <c r="L89" s="2" t="s">
        <v>1234</v>
      </c>
      <c r="M89" s="3" t="s">
        <v>1235</v>
      </c>
      <c r="O89" s="3" t="s">
        <v>64</v>
      </c>
      <c r="P89" s="3" t="s">
        <v>316</v>
      </c>
      <c r="Q89" s="2" t="s">
        <v>1262</v>
      </c>
      <c r="R89" s="3" t="s">
        <v>67</v>
      </c>
      <c r="S89" s="4">
        <v>3</v>
      </c>
      <c r="T89" s="4">
        <v>3</v>
      </c>
      <c r="U89" s="5" t="s">
        <v>1263</v>
      </c>
      <c r="V89" s="5" t="s">
        <v>1263</v>
      </c>
      <c r="W89" s="5" t="s">
        <v>1264</v>
      </c>
      <c r="X89" s="5" t="s">
        <v>1264</v>
      </c>
      <c r="Y89" s="4">
        <v>79</v>
      </c>
      <c r="Z89" s="4">
        <v>62</v>
      </c>
      <c r="AA89" s="4">
        <v>62</v>
      </c>
      <c r="AB89" s="4">
        <v>2</v>
      </c>
      <c r="AC89" s="4">
        <v>2</v>
      </c>
      <c r="AD89" s="4">
        <v>4</v>
      </c>
      <c r="AE89" s="4">
        <v>4</v>
      </c>
      <c r="AF89" s="4">
        <v>2</v>
      </c>
      <c r="AG89" s="4">
        <v>2</v>
      </c>
      <c r="AH89" s="4">
        <v>0</v>
      </c>
      <c r="AI89" s="4">
        <v>0</v>
      </c>
      <c r="AJ89" s="4">
        <v>1</v>
      </c>
      <c r="AK89" s="4">
        <v>1</v>
      </c>
      <c r="AL89" s="4">
        <v>1</v>
      </c>
      <c r="AM89" s="4">
        <v>1</v>
      </c>
      <c r="AN89" s="4">
        <v>0</v>
      </c>
      <c r="AO89" s="4">
        <v>0</v>
      </c>
      <c r="AP89" s="3" t="s">
        <v>58</v>
      </c>
      <c r="AQ89" s="3" t="s">
        <v>58</v>
      </c>
      <c r="AS89" s="6" t="str">
        <f>HYPERLINK("https://creighton-primo.hosted.exlibrisgroup.com/primo-explore/search?tab=default_tab&amp;search_scope=EVERYTHING&amp;vid=01CRU&amp;lang=en_US&amp;offset=0&amp;query=any,contains,991004635009702656","Catalog Record")</f>
        <v>Catalog Record</v>
      </c>
      <c r="AT89" s="6" t="str">
        <f>HYPERLINK("http://www.worldcat.org/oclc/61187400","WorldCat Record")</f>
        <v>WorldCat Record</v>
      </c>
      <c r="AU89" s="3" t="s">
        <v>1265</v>
      </c>
      <c r="AV89" s="3" t="s">
        <v>1266</v>
      </c>
      <c r="AW89" s="3" t="s">
        <v>1267</v>
      </c>
      <c r="AX89" s="3" t="s">
        <v>1267</v>
      </c>
      <c r="AY89" s="3" t="s">
        <v>1268</v>
      </c>
      <c r="AZ89" s="3" t="s">
        <v>74</v>
      </c>
      <c r="BB89" s="3" t="s">
        <v>1269</v>
      </c>
      <c r="BC89" s="3" t="s">
        <v>1270</v>
      </c>
      <c r="BD89" s="3" t="s">
        <v>1271</v>
      </c>
    </row>
    <row r="90" spans="1:56" ht="42.75" customHeight="1" x14ac:dyDescent="0.25">
      <c r="A90" s="7" t="s">
        <v>58</v>
      </c>
      <c r="B90" s="2" t="s">
        <v>1272</v>
      </c>
      <c r="C90" s="2" t="s">
        <v>1273</v>
      </c>
      <c r="D90" s="2" t="s">
        <v>1274</v>
      </c>
      <c r="E90" s="3" t="s">
        <v>1275</v>
      </c>
      <c r="F90" s="3" t="s">
        <v>58</v>
      </c>
      <c r="G90" s="3" t="s">
        <v>59</v>
      </c>
      <c r="H90" s="3" t="s">
        <v>58</v>
      </c>
      <c r="I90" s="3" t="s">
        <v>58</v>
      </c>
      <c r="J90" s="3" t="s">
        <v>60</v>
      </c>
      <c r="L90" s="2" t="s">
        <v>1234</v>
      </c>
      <c r="M90" s="3" t="s">
        <v>1235</v>
      </c>
      <c r="O90" s="3" t="s">
        <v>64</v>
      </c>
      <c r="P90" s="3" t="s">
        <v>316</v>
      </c>
      <c r="Q90" s="2" t="s">
        <v>1276</v>
      </c>
      <c r="R90" s="3" t="s">
        <v>67</v>
      </c>
      <c r="S90" s="4">
        <v>2</v>
      </c>
      <c r="T90" s="4">
        <v>2</v>
      </c>
      <c r="U90" s="5" t="s">
        <v>1277</v>
      </c>
      <c r="V90" s="5" t="s">
        <v>1277</v>
      </c>
      <c r="W90" s="5" t="s">
        <v>1278</v>
      </c>
      <c r="X90" s="5" t="s">
        <v>1278</v>
      </c>
      <c r="Y90" s="4">
        <v>79</v>
      </c>
      <c r="Z90" s="4">
        <v>61</v>
      </c>
      <c r="AA90" s="4">
        <v>61</v>
      </c>
      <c r="AB90" s="4">
        <v>2</v>
      </c>
      <c r="AC90" s="4">
        <v>2</v>
      </c>
      <c r="AD90" s="4">
        <v>5</v>
      </c>
      <c r="AE90" s="4">
        <v>5</v>
      </c>
      <c r="AF90" s="4">
        <v>2</v>
      </c>
      <c r="AG90" s="4">
        <v>2</v>
      </c>
      <c r="AH90" s="4">
        <v>0</v>
      </c>
      <c r="AI90" s="4">
        <v>0</v>
      </c>
      <c r="AJ90" s="4">
        <v>2</v>
      </c>
      <c r="AK90" s="4">
        <v>2</v>
      </c>
      <c r="AL90" s="4">
        <v>1</v>
      </c>
      <c r="AM90" s="4">
        <v>1</v>
      </c>
      <c r="AN90" s="4">
        <v>0</v>
      </c>
      <c r="AO90" s="4">
        <v>0</v>
      </c>
      <c r="AP90" s="3" t="s">
        <v>58</v>
      </c>
      <c r="AQ90" s="3" t="s">
        <v>58</v>
      </c>
      <c r="AS90" s="6" t="str">
        <f>HYPERLINK("https://creighton-primo.hosted.exlibrisgroup.com/primo-explore/search?tab=default_tab&amp;search_scope=EVERYTHING&amp;vid=01CRU&amp;lang=en_US&amp;offset=0&amp;query=any,contains,991004686799702656","Catalog Record")</f>
        <v>Catalog Record</v>
      </c>
      <c r="AT90" s="6" t="str">
        <f>HYPERLINK("http://www.worldcat.org/oclc/62097340","WorldCat Record")</f>
        <v>WorldCat Record</v>
      </c>
      <c r="AU90" s="3" t="s">
        <v>1279</v>
      </c>
      <c r="AV90" s="3" t="s">
        <v>1280</v>
      </c>
      <c r="AW90" s="3" t="s">
        <v>1281</v>
      </c>
      <c r="AX90" s="3" t="s">
        <v>1281</v>
      </c>
      <c r="AY90" s="3" t="s">
        <v>1282</v>
      </c>
      <c r="AZ90" s="3" t="s">
        <v>74</v>
      </c>
      <c r="BB90" s="3" t="s">
        <v>1283</v>
      </c>
      <c r="BC90" s="3" t="s">
        <v>1284</v>
      </c>
      <c r="BD90" s="3" t="s">
        <v>1285</v>
      </c>
    </row>
    <row r="91" spans="1:56" ht="42.75" customHeight="1" x14ac:dyDescent="0.25">
      <c r="A91" s="7" t="s">
        <v>58</v>
      </c>
      <c r="B91" s="2" t="s">
        <v>1286</v>
      </c>
      <c r="C91" s="2" t="s">
        <v>1287</v>
      </c>
      <c r="D91" s="2" t="s">
        <v>1288</v>
      </c>
      <c r="E91" s="3" t="s">
        <v>1289</v>
      </c>
      <c r="F91" s="3" t="s">
        <v>58</v>
      </c>
      <c r="G91" s="3" t="s">
        <v>59</v>
      </c>
      <c r="H91" s="3" t="s">
        <v>58</v>
      </c>
      <c r="I91" s="3" t="s">
        <v>58</v>
      </c>
      <c r="J91" s="3" t="s">
        <v>60</v>
      </c>
      <c r="L91" s="2" t="s">
        <v>1290</v>
      </c>
      <c r="M91" s="3" t="s">
        <v>1235</v>
      </c>
      <c r="O91" s="3" t="s">
        <v>64</v>
      </c>
      <c r="P91" s="3" t="s">
        <v>316</v>
      </c>
      <c r="Q91" s="2" t="s">
        <v>1291</v>
      </c>
      <c r="R91" s="3" t="s">
        <v>67</v>
      </c>
      <c r="S91" s="4">
        <v>2</v>
      </c>
      <c r="T91" s="4">
        <v>2</v>
      </c>
      <c r="U91" s="5" t="s">
        <v>1292</v>
      </c>
      <c r="V91" s="5" t="s">
        <v>1292</v>
      </c>
      <c r="W91" s="5" t="s">
        <v>1292</v>
      </c>
      <c r="X91" s="5" t="s">
        <v>1292</v>
      </c>
      <c r="Y91" s="4">
        <v>68</v>
      </c>
      <c r="Z91" s="4">
        <v>57</v>
      </c>
      <c r="AA91" s="4">
        <v>57</v>
      </c>
      <c r="AB91" s="4">
        <v>1</v>
      </c>
      <c r="AC91" s="4">
        <v>1</v>
      </c>
      <c r="AD91" s="4">
        <v>3</v>
      </c>
      <c r="AE91" s="4">
        <v>3</v>
      </c>
      <c r="AF91" s="4">
        <v>2</v>
      </c>
      <c r="AG91" s="4">
        <v>2</v>
      </c>
      <c r="AH91" s="4">
        <v>0</v>
      </c>
      <c r="AI91" s="4">
        <v>0</v>
      </c>
      <c r="AJ91" s="4">
        <v>1</v>
      </c>
      <c r="AK91" s="4">
        <v>1</v>
      </c>
      <c r="AL91" s="4">
        <v>0</v>
      </c>
      <c r="AM91" s="4">
        <v>0</v>
      </c>
      <c r="AN91" s="4">
        <v>0</v>
      </c>
      <c r="AO91" s="4">
        <v>0</v>
      </c>
      <c r="AP91" s="3" t="s">
        <v>58</v>
      </c>
      <c r="AQ91" s="3" t="s">
        <v>58</v>
      </c>
      <c r="AS91" s="6" t="str">
        <f>HYPERLINK("https://creighton-primo.hosted.exlibrisgroup.com/primo-explore/search?tab=default_tab&amp;search_scope=EVERYTHING&amp;vid=01CRU&amp;lang=en_US&amp;offset=0&amp;query=any,contains,991004711169702656","Catalog Record")</f>
        <v>Catalog Record</v>
      </c>
      <c r="AT91" s="6" t="str">
        <f>HYPERLINK("http://www.worldcat.org/oclc/62793936","WorldCat Record")</f>
        <v>WorldCat Record</v>
      </c>
      <c r="AU91" s="3" t="s">
        <v>1293</v>
      </c>
      <c r="AV91" s="3" t="s">
        <v>1294</v>
      </c>
      <c r="AW91" s="3" t="s">
        <v>1295</v>
      </c>
      <c r="AX91" s="3" t="s">
        <v>1295</v>
      </c>
      <c r="AY91" s="3" t="s">
        <v>1296</v>
      </c>
      <c r="AZ91" s="3" t="s">
        <v>74</v>
      </c>
      <c r="BB91" s="3" t="s">
        <v>1297</v>
      </c>
      <c r="BC91" s="3" t="s">
        <v>1298</v>
      </c>
      <c r="BD91" s="3" t="s">
        <v>1299</v>
      </c>
    </row>
    <row r="92" spans="1:56" ht="42.75" customHeight="1" x14ac:dyDescent="0.25">
      <c r="A92" s="7" t="s">
        <v>58</v>
      </c>
      <c r="B92" s="2" t="s">
        <v>1300</v>
      </c>
      <c r="C92" s="2" t="s">
        <v>1301</v>
      </c>
      <c r="D92" s="2" t="s">
        <v>1302</v>
      </c>
      <c r="E92" s="3" t="s">
        <v>1303</v>
      </c>
      <c r="F92" s="3" t="s">
        <v>58</v>
      </c>
      <c r="G92" s="3" t="s">
        <v>59</v>
      </c>
      <c r="H92" s="3" t="s">
        <v>58</v>
      </c>
      <c r="I92" s="3" t="s">
        <v>58</v>
      </c>
      <c r="J92" s="3" t="s">
        <v>60</v>
      </c>
      <c r="L92" s="2" t="s">
        <v>1304</v>
      </c>
      <c r="M92" s="3" t="s">
        <v>192</v>
      </c>
      <c r="O92" s="3" t="s">
        <v>64</v>
      </c>
      <c r="P92" s="3" t="s">
        <v>316</v>
      </c>
      <c r="Q92" s="2" t="s">
        <v>1305</v>
      </c>
      <c r="R92" s="3" t="s">
        <v>67</v>
      </c>
      <c r="S92" s="4">
        <v>1</v>
      </c>
      <c r="T92" s="4">
        <v>1</v>
      </c>
      <c r="U92" s="5" t="s">
        <v>1306</v>
      </c>
      <c r="V92" s="5" t="s">
        <v>1306</v>
      </c>
      <c r="W92" s="5" t="s">
        <v>1306</v>
      </c>
      <c r="X92" s="5" t="s">
        <v>1306</v>
      </c>
      <c r="Y92" s="4">
        <v>69</v>
      </c>
      <c r="Z92" s="4">
        <v>51</v>
      </c>
      <c r="AA92" s="4">
        <v>51</v>
      </c>
      <c r="AB92" s="4">
        <v>2</v>
      </c>
      <c r="AC92" s="4">
        <v>2</v>
      </c>
      <c r="AD92" s="4">
        <v>4</v>
      </c>
      <c r="AE92" s="4">
        <v>4</v>
      </c>
      <c r="AF92" s="4">
        <v>2</v>
      </c>
      <c r="AG92" s="4">
        <v>2</v>
      </c>
      <c r="AH92" s="4">
        <v>0</v>
      </c>
      <c r="AI92" s="4">
        <v>0</v>
      </c>
      <c r="AJ92" s="4">
        <v>1</v>
      </c>
      <c r="AK92" s="4">
        <v>1</v>
      </c>
      <c r="AL92" s="4">
        <v>1</v>
      </c>
      <c r="AM92" s="4">
        <v>1</v>
      </c>
      <c r="AN92" s="4">
        <v>0</v>
      </c>
      <c r="AO92" s="4">
        <v>0</v>
      </c>
      <c r="AP92" s="3" t="s">
        <v>58</v>
      </c>
      <c r="AQ92" s="3" t="s">
        <v>58</v>
      </c>
      <c r="AS92" s="6" t="str">
        <f>HYPERLINK("https://creighton-primo.hosted.exlibrisgroup.com/primo-explore/search?tab=default_tab&amp;search_scope=EVERYTHING&amp;vid=01CRU&amp;lang=en_US&amp;offset=0&amp;query=any,contains,991004821409702656","Catalog Record")</f>
        <v>Catalog Record</v>
      </c>
      <c r="AT92" s="6" t="str">
        <f>HYPERLINK("http://www.worldcat.org/oclc/68193249","WorldCat Record")</f>
        <v>WorldCat Record</v>
      </c>
      <c r="AU92" s="3" t="s">
        <v>1307</v>
      </c>
      <c r="AV92" s="3" t="s">
        <v>1308</v>
      </c>
      <c r="AW92" s="3" t="s">
        <v>1309</v>
      </c>
      <c r="AX92" s="3" t="s">
        <v>1309</v>
      </c>
      <c r="AY92" s="3" t="s">
        <v>1310</v>
      </c>
      <c r="AZ92" s="3" t="s">
        <v>74</v>
      </c>
      <c r="BB92" s="3" t="s">
        <v>1311</v>
      </c>
      <c r="BC92" s="3" t="s">
        <v>1312</v>
      </c>
      <c r="BD92" s="3" t="s">
        <v>1313</v>
      </c>
    </row>
    <row r="93" spans="1:56" ht="42.75" customHeight="1" x14ac:dyDescent="0.25">
      <c r="A93" s="7" t="s">
        <v>58</v>
      </c>
      <c r="B93" s="2" t="s">
        <v>1314</v>
      </c>
      <c r="C93" s="2" t="s">
        <v>1315</v>
      </c>
      <c r="D93" s="2" t="s">
        <v>1316</v>
      </c>
      <c r="E93" s="3" t="s">
        <v>1317</v>
      </c>
      <c r="F93" s="3" t="s">
        <v>58</v>
      </c>
      <c r="G93" s="3" t="s">
        <v>59</v>
      </c>
      <c r="H93" s="3" t="s">
        <v>58</v>
      </c>
      <c r="I93" s="3" t="s">
        <v>58</v>
      </c>
      <c r="J93" s="3" t="s">
        <v>60</v>
      </c>
      <c r="L93" s="2" t="s">
        <v>1318</v>
      </c>
      <c r="M93" s="3" t="s">
        <v>192</v>
      </c>
      <c r="O93" s="3" t="s">
        <v>316</v>
      </c>
      <c r="P93" s="3" t="s">
        <v>316</v>
      </c>
      <c r="Q93" s="2" t="s">
        <v>1319</v>
      </c>
      <c r="R93" s="3" t="s">
        <v>67</v>
      </c>
      <c r="S93" s="4">
        <v>1</v>
      </c>
      <c r="T93" s="4">
        <v>1</v>
      </c>
      <c r="U93" s="5" t="s">
        <v>1320</v>
      </c>
      <c r="V93" s="5" t="s">
        <v>1320</v>
      </c>
      <c r="W93" s="5" t="s">
        <v>1320</v>
      </c>
      <c r="X93" s="5" t="s">
        <v>1320</v>
      </c>
      <c r="Y93" s="4">
        <v>61</v>
      </c>
      <c r="Z93" s="4">
        <v>49</v>
      </c>
      <c r="AA93" s="4">
        <v>49</v>
      </c>
      <c r="AB93" s="4">
        <v>2</v>
      </c>
      <c r="AC93" s="4">
        <v>2</v>
      </c>
      <c r="AD93" s="4">
        <v>4</v>
      </c>
      <c r="AE93" s="4">
        <v>4</v>
      </c>
      <c r="AF93" s="4">
        <v>2</v>
      </c>
      <c r="AG93" s="4">
        <v>2</v>
      </c>
      <c r="AH93" s="4">
        <v>0</v>
      </c>
      <c r="AI93" s="4">
        <v>0</v>
      </c>
      <c r="AJ93" s="4">
        <v>1</v>
      </c>
      <c r="AK93" s="4">
        <v>1</v>
      </c>
      <c r="AL93" s="4">
        <v>1</v>
      </c>
      <c r="AM93" s="4">
        <v>1</v>
      </c>
      <c r="AN93" s="4">
        <v>0</v>
      </c>
      <c r="AO93" s="4">
        <v>0</v>
      </c>
      <c r="AP93" s="3" t="s">
        <v>58</v>
      </c>
      <c r="AQ93" s="3" t="s">
        <v>58</v>
      </c>
      <c r="AS93" s="6" t="str">
        <f>HYPERLINK("https://creighton-primo.hosted.exlibrisgroup.com/primo-explore/search?tab=default_tab&amp;search_scope=EVERYTHING&amp;vid=01CRU&amp;lang=en_US&amp;offset=0&amp;query=any,contains,991004897249702656","Catalog Record")</f>
        <v>Catalog Record</v>
      </c>
      <c r="AT93" s="6" t="str">
        <f>HYPERLINK("http://www.worldcat.org/oclc/70714269","WorldCat Record")</f>
        <v>WorldCat Record</v>
      </c>
      <c r="AU93" s="3" t="s">
        <v>1321</v>
      </c>
      <c r="AV93" s="3" t="s">
        <v>1322</v>
      </c>
      <c r="AW93" s="3" t="s">
        <v>1323</v>
      </c>
      <c r="AX93" s="3" t="s">
        <v>1323</v>
      </c>
      <c r="AY93" s="3" t="s">
        <v>1324</v>
      </c>
      <c r="AZ93" s="3" t="s">
        <v>74</v>
      </c>
      <c r="BB93" s="3" t="s">
        <v>1325</v>
      </c>
      <c r="BC93" s="3" t="s">
        <v>1326</v>
      </c>
      <c r="BD93" s="3" t="s">
        <v>1327</v>
      </c>
    </row>
    <row r="94" spans="1:56" ht="42.75" customHeight="1" x14ac:dyDescent="0.25">
      <c r="A94" s="7" t="s">
        <v>58</v>
      </c>
      <c r="B94" s="2" t="s">
        <v>1328</v>
      </c>
      <c r="C94" s="2" t="s">
        <v>1329</v>
      </c>
      <c r="D94" s="2" t="s">
        <v>1330</v>
      </c>
      <c r="E94" s="3" t="s">
        <v>1331</v>
      </c>
      <c r="F94" s="3" t="s">
        <v>58</v>
      </c>
      <c r="G94" s="3" t="s">
        <v>59</v>
      </c>
      <c r="H94" s="3" t="s">
        <v>58</v>
      </c>
      <c r="I94" s="3" t="s">
        <v>58</v>
      </c>
      <c r="J94" s="3" t="s">
        <v>60</v>
      </c>
      <c r="L94" s="2" t="s">
        <v>1318</v>
      </c>
      <c r="M94" s="3" t="s">
        <v>192</v>
      </c>
      <c r="O94" s="3" t="s">
        <v>64</v>
      </c>
      <c r="P94" s="3" t="s">
        <v>316</v>
      </c>
      <c r="Q94" s="2" t="s">
        <v>1332</v>
      </c>
      <c r="R94" s="3" t="s">
        <v>67</v>
      </c>
      <c r="S94" s="4">
        <v>1</v>
      </c>
      <c r="T94" s="4">
        <v>1</v>
      </c>
      <c r="U94" s="5" t="s">
        <v>1333</v>
      </c>
      <c r="V94" s="5" t="s">
        <v>1333</v>
      </c>
      <c r="W94" s="5" t="s">
        <v>1333</v>
      </c>
      <c r="X94" s="5" t="s">
        <v>1333</v>
      </c>
      <c r="Y94" s="4">
        <v>66</v>
      </c>
      <c r="Z94" s="4">
        <v>53</v>
      </c>
      <c r="AA94" s="4">
        <v>53</v>
      </c>
      <c r="AB94" s="4">
        <v>2</v>
      </c>
      <c r="AC94" s="4">
        <v>2</v>
      </c>
      <c r="AD94" s="4">
        <v>4</v>
      </c>
      <c r="AE94" s="4">
        <v>4</v>
      </c>
      <c r="AF94" s="4">
        <v>2</v>
      </c>
      <c r="AG94" s="4">
        <v>2</v>
      </c>
      <c r="AH94" s="4">
        <v>0</v>
      </c>
      <c r="AI94" s="4">
        <v>0</v>
      </c>
      <c r="AJ94" s="4">
        <v>1</v>
      </c>
      <c r="AK94" s="4">
        <v>1</v>
      </c>
      <c r="AL94" s="4">
        <v>1</v>
      </c>
      <c r="AM94" s="4">
        <v>1</v>
      </c>
      <c r="AN94" s="4">
        <v>0</v>
      </c>
      <c r="AO94" s="4">
        <v>0</v>
      </c>
      <c r="AP94" s="3" t="s">
        <v>58</v>
      </c>
      <c r="AQ94" s="3" t="s">
        <v>58</v>
      </c>
      <c r="AS94" s="6" t="str">
        <f>HYPERLINK("https://creighton-primo.hosted.exlibrisgroup.com/primo-explore/search?tab=default_tab&amp;search_scope=EVERYTHING&amp;vid=01CRU&amp;lang=en_US&amp;offset=0&amp;query=any,contains,991004978319702656","Catalog Record")</f>
        <v>Catalog Record</v>
      </c>
      <c r="AT94" s="6" t="str">
        <f>HYPERLINK("http://www.worldcat.org/oclc/72522074","WorldCat Record")</f>
        <v>WorldCat Record</v>
      </c>
      <c r="AU94" s="3" t="s">
        <v>1334</v>
      </c>
      <c r="AV94" s="3" t="s">
        <v>1335</v>
      </c>
      <c r="AW94" s="3" t="s">
        <v>1336</v>
      </c>
      <c r="AX94" s="3" t="s">
        <v>1336</v>
      </c>
      <c r="AY94" s="3" t="s">
        <v>1337</v>
      </c>
      <c r="AZ94" s="3" t="s">
        <v>74</v>
      </c>
      <c r="BB94" s="3" t="s">
        <v>1338</v>
      </c>
      <c r="BC94" s="3" t="s">
        <v>1339</v>
      </c>
      <c r="BD94" s="3" t="s">
        <v>1340</v>
      </c>
    </row>
    <row r="95" spans="1:56" ht="42.75" customHeight="1" x14ac:dyDescent="0.25">
      <c r="A95" s="7" t="s">
        <v>58</v>
      </c>
      <c r="B95" s="2" t="s">
        <v>1341</v>
      </c>
      <c r="C95" s="2" t="s">
        <v>1342</v>
      </c>
      <c r="D95" s="2" t="s">
        <v>1343</v>
      </c>
      <c r="E95" s="3" t="s">
        <v>1344</v>
      </c>
      <c r="F95" s="3" t="s">
        <v>58</v>
      </c>
      <c r="G95" s="3" t="s">
        <v>59</v>
      </c>
      <c r="H95" s="3" t="s">
        <v>58</v>
      </c>
      <c r="I95" s="3" t="s">
        <v>58</v>
      </c>
      <c r="J95" s="3" t="s">
        <v>60</v>
      </c>
      <c r="L95" s="2" t="s">
        <v>1345</v>
      </c>
      <c r="M95" s="3" t="s">
        <v>192</v>
      </c>
      <c r="O95" s="3" t="s">
        <v>64</v>
      </c>
      <c r="P95" s="3" t="s">
        <v>316</v>
      </c>
      <c r="Q95" s="2" t="s">
        <v>1346</v>
      </c>
      <c r="R95" s="3" t="s">
        <v>67</v>
      </c>
      <c r="S95" s="4">
        <v>1</v>
      </c>
      <c r="T95" s="4">
        <v>1</v>
      </c>
      <c r="U95" s="5" t="s">
        <v>1347</v>
      </c>
      <c r="V95" s="5" t="s">
        <v>1347</v>
      </c>
      <c r="W95" s="5" t="s">
        <v>1347</v>
      </c>
      <c r="X95" s="5" t="s">
        <v>1347</v>
      </c>
      <c r="Y95" s="4">
        <v>66</v>
      </c>
      <c r="Z95" s="4">
        <v>55</v>
      </c>
      <c r="AA95" s="4">
        <v>55</v>
      </c>
      <c r="AB95" s="4">
        <v>1</v>
      </c>
      <c r="AC95" s="4">
        <v>1</v>
      </c>
      <c r="AD95" s="4">
        <v>3</v>
      </c>
      <c r="AE95" s="4">
        <v>3</v>
      </c>
      <c r="AF95" s="4">
        <v>2</v>
      </c>
      <c r="AG95" s="4">
        <v>2</v>
      </c>
      <c r="AH95" s="4">
        <v>0</v>
      </c>
      <c r="AI95" s="4">
        <v>0</v>
      </c>
      <c r="AJ95" s="4">
        <v>1</v>
      </c>
      <c r="AK95" s="4">
        <v>1</v>
      </c>
      <c r="AL95" s="4">
        <v>0</v>
      </c>
      <c r="AM95" s="4">
        <v>0</v>
      </c>
      <c r="AN95" s="4">
        <v>0</v>
      </c>
      <c r="AO95" s="4">
        <v>0</v>
      </c>
      <c r="AP95" s="3" t="s">
        <v>58</v>
      </c>
      <c r="AQ95" s="3" t="s">
        <v>58</v>
      </c>
      <c r="AS95" s="6" t="str">
        <f>HYPERLINK("https://creighton-primo.hosted.exlibrisgroup.com/primo-explore/search?tab=default_tab&amp;search_scope=EVERYTHING&amp;vid=01CRU&amp;lang=en_US&amp;offset=0&amp;query=any,contains,991005056909702656","Catalog Record")</f>
        <v>Catalog Record</v>
      </c>
      <c r="AT95" s="6" t="str">
        <f>HYPERLINK("http://www.worldcat.org/oclc/85836032","WorldCat Record")</f>
        <v>WorldCat Record</v>
      </c>
      <c r="AU95" s="3" t="s">
        <v>1348</v>
      </c>
      <c r="AV95" s="3" t="s">
        <v>1349</v>
      </c>
      <c r="AW95" s="3" t="s">
        <v>1350</v>
      </c>
      <c r="AX95" s="3" t="s">
        <v>1350</v>
      </c>
      <c r="AY95" s="3" t="s">
        <v>1351</v>
      </c>
      <c r="AZ95" s="3" t="s">
        <v>74</v>
      </c>
      <c r="BB95" s="3" t="s">
        <v>1352</v>
      </c>
      <c r="BC95" s="3" t="s">
        <v>1353</v>
      </c>
      <c r="BD95" s="3" t="s">
        <v>1354</v>
      </c>
    </row>
    <row r="96" spans="1:56" ht="42.75" customHeight="1" x14ac:dyDescent="0.25">
      <c r="A96" s="7" t="s">
        <v>58</v>
      </c>
      <c r="B96" s="2" t="s">
        <v>1355</v>
      </c>
      <c r="C96" s="2" t="s">
        <v>1356</v>
      </c>
      <c r="D96" s="2" t="s">
        <v>1357</v>
      </c>
      <c r="E96" s="3" t="s">
        <v>1358</v>
      </c>
      <c r="F96" s="3" t="s">
        <v>58</v>
      </c>
      <c r="G96" s="3" t="s">
        <v>59</v>
      </c>
      <c r="H96" s="3" t="s">
        <v>58</v>
      </c>
      <c r="I96" s="3" t="s">
        <v>58</v>
      </c>
      <c r="J96" s="3" t="s">
        <v>60</v>
      </c>
      <c r="K96" s="2" t="s">
        <v>1359</v>
      </c>
      <c r="L96" s="2" t="s">
        <v>1360</v>
      </c>
      <c r="M96" s="3" t="s">
        <v>1361</v>
      </c>
      <c r="O96" s="3" t="s">
        <v>64</v>
      </c>
      <c r="P96" s="3" t="s">
        <v>316</v>
      </c>
      <c r="Q96" s="2" t="s">
        <v>1362</v>
      </c>
      <c r="R96" s="3" t="s">
        <v>67</v>
      </c>
      <c r="S96" s="4">
        <v>2</v>
      </c>
      <c r="T96" s="4">
        <v>2</v>
      </c>
      <c r="U96" s="5" t="s">
        <v>1277</v>
      </c>
      <c r="V96" s="5" t="s">
        <v>1277</v>
      </c>
      <c r="W96" s="5" t="s">
        <v>1363</v>
      </c>
      <c r="X96" s="5" t="s">
        <v>1363</v>
      </c>
      <c r="Y96" s="4">
        <v>63</v>
      </c>
      <c r="Z96" s="4">
        <v>51</v>
      </c>
      <c r="AA96" s="4">
        <v>51</v>
      </c>
      <c r="AB96" s="4">
        <v>1</v>
      </c>
      <c r="AC96" s="4">
        <v>1</v>
      </c>
      <c r="AD96" s="4">
        <v>3</v>
      </c>
      <c r="AE96" s="4">
        <v>3</v>
      </c>
      <c r="AF96" s="4">
        <v>2</v>
      </c>
      <c r="AG96" s="4">
        <v>2</v>
      </c>
      <c r="AH96" s="4">
        <v>0</v>
      </c>
      <c r="AI96" s="4">
        <v>0</v>
      </c>
      <c r="AJ96" s="4">
        <v>1</v>
      </c>
      <c r="AK96" s="4">
        <v>1</v>
      </c>
      <c r="AL96" s="4">
        <v>0</v>
      </c>
      <c r="AM96" s="4">
        <v>0</v>
      </c>
      <c r="AN96" s="4">
        <v>0</v>
      </c>
      <c r="AO96" s="4">
        <v>0</v>
      </c>
      <c r="AP96" s="3" t="s">
        <v>58</v>
      </c>
      <c r="AQ96" s="3" t="s">
        <v>58</v>
      </c>
      <c r="AS96" s="6" t="str">
        <f>HYPERLINK("https://creighton-primo.hosted.exlibrisgroup.com/primo-explore/search?tab=default_tab&amp;search_scope=EVERYTHING&amp;vid=01CRU&amp;lang=en_US&amp;offset=0&amp;query=any,contains,991005093919702656","Catalog Record")</f>
        <v>Catalog Record</v>
      </c>
      <c r="AT96" s="6" t="str">
        <f>HYPERLINK("http://www.worldcat.org/oclc/144453102","WorldCat Record")</f>
        <v>WorldCat Record</v>
      </c>
      <c r="AU96" s="3" t="s">
        <v>1364</v>
      </c>
      <c r="AV96" s="3" t="s">
        <v>1365</v>
      </c>
      <c r="AW96" s="3" t="s">
        <v>1366</v>
      </c>
      <c r="AX96" s="3" t="s">
        <v>1366</v>
      </c>
      <c r="AY96" s="3" t="s">
        <v>1367</v>
      </c>
      <c r="AZ96" s="3" t="s">
        <v>74</v>
      </c>
      <c r="BB96" s="3" t="s">
        <v>1368</v>
      </c>
      <c r="BC96" s="3" t="s">
        <v>1369</v>
      </c>
      <c r="BD96" s="3" t="s">
        <v>1370</v>
      </c>
    </row>
    <row r="97" spans="1:56" ht="42.75" customHeight="1" x14ac:dyDescent="0.25">
      <c r="A97" s="7" t="s">
        <v>58</v>
      </c>
      <c r="B97" s="2" t="s">
        <v>1371</v>
      </c>
      <c r="C97" s="2" t="s">
        <v>1372</v>
      </c>
      <c r="D97" s="2" t="s">
        <v>1373</v>
      </c>
      <c r="E97" s="3" t="s">
        <v>1374</v>
      </c>
      <c r="F97" s="3" t="s">
        <v>58</v>
      </c>
      <c r="G97" s="3" t="s">
        <v>59</v>
      </c>
      <c r="H97" s="3" t="s">
        <v>58</v>
      </c>
      <c r="I97" s="3" t="s">
        <v>58</v>
      </c>
      <c r="J97" s="3" t="s">
        <v>60</v>
      </c>
      <c r="L97" s="2" t="s">
        <v>1375</v>
      </c>
      <c r="M97" s="3" t="s">
        <v>1361</v>
      </c>
      <c r="O97" s="3" t="s">
        <v>64</v>
      </c>
      <c r="P97" s="3" t="s">
        <v>316</v>
      </c>
      <c r="Q97" s="2" t="s">
        <v>1376</v>
      </c>
      <c r="R97" s="3" t="s">
        <v>67</v>
      </c>
      <c r="S97" s="4">
        <v>1</v>
      </c>
      <c r="T97" s="4">
        <v>1</v>
      </c>
      <c r="U97" s="5" t="s">
        <v>1377</v>
      </c>
      <c r="V97" s="5" t="s">
        <v>1377</v>
      </c>
      <c r="W97" s="5" t="s">
        <v>1377</v>
      </c>
      <c r="X97" s="5" t="s">
        <v>1377</v>
      </c>
      <c r="Y97" s="4">
        <v>61</v>
      </c>
      <c r="Z97" s="4">
        <v>50</v>
      </c>
      <c r="AA97" s="4">
        <v>50</v>
      </c>
      <c r="AB97" s="4">
        <v>1</v>
      </c>
      <c r="AC97" s="4">
        <v>1</v>
      </c>
      <c r="AD97" s="4">
        <v>3</v>
      </c>
      <c r="AE97" s="4">
        <v>3</v>
      </c>
      <c r="AF97" s="4">
        <v>2</v>
      </c>
      <c r="AG97" s="4">
        <v>2</v>
      </c>
      <c r="AH97" s="4">
        <v>0</v>
      </c>
      <c r="AI97" s="4">
        <v>0</v>
      </c>
      <c r="AJ97" s="4">
        <v>1</v>
      </c>
      <c r="AK97" s="4">
        <v>1</v>
      </c>
      <c r="AL97" s="4">
        <v>0</v>
      </c>
      <c r="AM97" s="4">
        <v>0</v>
      </c>
      <c r="AN97" s="4">
        <v>0</v>
      </c>
      <c r="AO97" s="4">
        <v>0</v>
      </c>
      <c r="AP97" s="3" t="s">
        <v>58</v>
      </c>
      <c r="AQ97" s="3" t="s">
        <v>58</v>
      </c>
      <c r="AS97" s="6" t="str">
        <f>HYPERLINK("https://creighton-primo.hosted.exlibrisgroup.com/primo-explore/search?tab=default_tab&amp;search_scope=EVERYTHING&amp;vid=01CRU&amp;lang=en_US&amp;offset=0&amp;query=any,contains,991005146159702656","Catalog Record")</f>
        <v>Catalog Record</v>
      </c>
      <c r="AT97" s="6" t="str">
        <f>HYPERLINK("http://www.worldcat.org/oclc/173964077","WorldCat Record")</f>
        <v>WorldCat Record</v>
      </c>
      <c r="AU97" s="3" t="s">
        <v>1378</v>
      </c>
      <c r="AV97" s="3" t="s">
        <v>1379</v>
      </c>
      <c r="AW97" s="3" t="s">
        <v>1380</v>
      </c>
      <c r="AX97" s="3" t="s">
        <v>1380</v>
      </c>
      <c r="AY97" s="3" t="s">
        <v>1381</v>
      </c>
      <c r="AZ97" s="3" t="s">
        <v>74</v>
      </c>
      <c r="BB97" s="3" t="s">
        <v>1382</v>
      </c>
      <c r="BC97" s="3" t="s">
        <v>1383</v>
      </c>
      <c r="BD97" s="3" t="s">
        <v>1384</v>
      </c>
    </row>
    <row r="98" spans="1:56" ht="42.75" customHeight="1" x14ac:dyDescent="0.25">
      <c r="A98" s="7" t="s">
        <v>58</v>
      </c>
      <c r="B98" s="2" t="s">
        <v>1385</v>
      </c>
      <c r="C98" s="2" t="s">
        <v>1386</v>
      </c>
      <c r="D98" s="2" t="s">
        <v>1387</v>
      </c>
      <c r="E98" s="3" t="s">
        <v>1388</v>
      </c>
      <c r="F98" s="3" t="s">
        <v>58</v>
      </c>
      <c r="G98" s="3" t="s">
        <v>59</v>
      </c>
      <c r="H98" s="3" t="s">
        <v>58</v>
      </c>
      <c r="I98" s="3" t="s">
        <v>58</v>
      </c>
      <c r="J98" s="3" t="s">
        <v>60</v>
      </c>
      <c r="L98" s="2" t="s">
        <v>1375</v>
      </c>
      <c r="M98" s="3" t="s">
        <v>1361</v>
      </c>
      <c r="O98" s="3" t="s">
        <v>64</v>
      </c>
      <c r="P98" s="3" t="s">
        <v>316</v>
      </c>
      <c r="Q98" s="2" t="s">
        <v>1389</v>
      </c>
      <c r="R98" s="3" t="s">
        <v>67</v>
      </c>
      <c r="S98" s="4">
        <v>2</v>
      </c>
      <c r="T98" s="4">
        <v>2</v>
      </c>
      <c r="U98" s="5" t="s">
        <v>1390</v>
      </c>
      <c r="V98" s="5" t="s">
        <v>1390</v>
      </c>
      <c r="W98" s="5" t="s">
        <v>1391</v>
      </c>
      <c r="X98" s="5" t="s">
        <v>1391</v>
      </c>
      <c r="Y98" s="4">
        <v>58</v>
      </c>
      <c r="Z98" s="4">
        <v>48</v>
      </c>
      <c r="AA98" s="4">
        <v>48</v>
      </c>
      <c r="AB98" s="4">
        <v>1</v>
      </c>
      <c r="AC98" s="4">
        <v>1</v>
      </c>
      <c r="AD98" s="4">
        <v>3</v>
      </c>
      <c r="AE98" s="4">
        <v>3</v>
      </c>
      <c r="AF98" s="4">
        <v>2</v>
      </c>
      <c r="AG98" s="4">
        <v>2</v>
      </c>
      <c r="AH98" s="4">
        <v>0</v>
      </c>
      <c r="AI98" s="4">
        <v>0</v>
      </c>
      <c r="AJ98" s="4">
        <v>1</v>
      </c>
      <c r="AK98" s="4">
        <v>1</v>
      </c>
      <c r="AL98" s="4">
        <v>0</v>
      </c>
      <c r="AM98" s="4">
        <v>0</v>
      </c>
      <c r="AN98" s="4">
        <v>0</v>
      </c>
      <c r="AO98" s="4">
        <v>0</v>
      </c>
      <c r="AP98" s="3" t="s">
        <v>58</v>
      </c>
      <c r="AQ98" s="3" t="s">
        <v>58</v>
      </c>
      <c r="AS98" s="6" t="str">
        <f>HYPERLINK("https://creighton-primo.hosted.exlibrisgroup.com/primo-explore/search?tab=default_tab&amp;search_scope=EVERYTHING&amp;vid=01CRU&amp;lang=en_US&amp;offset=0&amp;query=any,contains,991005187059702656","Catalog Record")</f>
        <v>Catalog Record</v>
      </c>
      <c r="AT98" s="6" t="str">
        <f>HYPERLINK("http://www.worldcat.org/oclc/181099422","WorldCat Record")</f>
        <v>WorldCat Record</v>
      </c>
      <c r="AU98" s="3" t="s">
        <v>1392</v>
      </c>
      <c r="AV98" s="3" t="s">
        <v>1393</v>
      </c>
      <c r="AW98" s="3" t="s">
        <v>1394</v>
      </c>
      <c r="AX98" s="3" t="s">
        <v>1394</v>
      </c>
      <c r="AY98" s="3" t="s">
        <v>1395</v>
      </c>
      <c r="AZ98" s="3" t="s">
        <v>74</v>
      </c>
      <c r="BB98" s="3" t="s">
        <v>1396</v>
      </c>
      <c r="BC98" s="3" t="s">
        <v>1397</v>
      </c>
      <c r="BD98" s="3" t="s">
        <v>1398</v>
      </c>
    </row>
    <row r="99" spans="1:56" ht="42.75" customHeight="1" x14ac:dyDescent="0.25">
      <c r="A99" s="7" t="s">
        <v>58</v>
      </c>
      <c r="B99" s="2" t="s">
        <v>1399</v>
      </c>
      <c r="C99" s="2" t="s">
        <v>1400</v>
      </c>
      <c r="D99" s="2" t="s">
        <v>1401</v>
      </c>
      <c r="E99" s="3" t="s">
        <v>1402</v>
      </c>
      <c r="F99" s="3" t="s">
        <v>58</v>
      </c>
      <c r="G99" s="3" t="s">
        <v>59</v>
      </c>
      <c r="H99" s="3" t="s">
        <v>58</v>
      </c>
      <c r="I99" s="3" t="s">
        <v>58</v>
      </c>
      <c r="J99" s="3" t="s">
        <v>60</v>
      </c>
      <c r="L99" s="2" t="s">
        <v>1403</v>
      </c>
      <c r="M99" s="3" t="s">
        <v>1404</v>
      </c>
      <c r="O99" s="3" t="s">
        <v>64</v>
      </c>
      <c r="P99" s="3" t="s">
        <v>316</v>
      </c>
      <c r="Q99" s="2" t="s">
        <v>1405</v>
      </c>
      <c r="R99" s="3" t="s">
        <v>67</v>
      </c>
      <c r="S99" s="4">
        <v>1</v>
      </c>
      <c r="T99" s="4">
        <v>1</v>
      </c>
      <c r="U99" s="5" t="s">
        <v>1406</v>
      </c>
      <c r="V99" s="5" t="s">
        <v>1406</v>
      </c>
      <c r="W99" s="5" t="s">
        <v>1407</v>
      </c>
      <c r="X99" s="5" t="s">
        <v>1407</v>
      </c>
      <c r="Y99" s="4">
        <v>65</v>
      </c>
      <c r="Z99" s="4">
        <v>52</v>
      </c>
      <c r="AA99" s="4">
        <v>52</v>
      </c>
      <c r="AB99" s="4">
        <v>1</v>
      </c>
      <c r="AC99" s="4">
        <v>1</v>
      </c>
      <c r="AD99" s="4">
        <v>3</v>
      </c>
      <c r="AE99" s="4">
        <v>3</v>
      </c>
      <c r="AF99" s="4">
        <v>2</v>
      </c>
      <c r="AG99" s="4">
        <v>2</v>
      </c>
      <c r="AH99" s="4">
        <v>0</v>
      </c>
      <c r="AI99" s="4">
        <v>0</v>
      </c>
      <c r="AJ99" s="4">
        <v>1</v>
      </c>
      <c r="AK99" s="4">
        <v>1</v>
      </c>
      <c r="AL99" s="4">
        <v>0</v>
      </c>
      <c r="AM99" s="4">
        <v>0</v>
      </c>
      <c r="AN99" s="4">
        <v>0</v>
      </c>
      <c r="AO99" s="4">
        <v>0</v>
      </c>
      <c r="AP99" s="3" t="s">
        <v>58</v>
      </c>
      <c r="AQ99" s="3" t="s">
        <v>58</v>
      </c>
      <c r="AS99" s="6" t="str">
        <f>HYPERLINK("https://creighton-primo.hosted.exlibrisgroup.com/primo-explore/search?tab=default_tab&amp;search_scope=EVERYTHING&amp;vid=01CRU&amp;lang=en_US&amp;offset=0&amp;query=any,contains,991005189979702656","Catalog Record")</f>
        <v>Catalog Record</v>
      </c>
      <c r="AT99" s="6" t="str">
        <f>HYPERLINK("http://www.worldcat.org/oclc/206287426","WorldCat Record")</f>
        <v>WorldCat Record</v>
      </c>
      <c r="AU99" s="3" t="s">
        <v>1408</v>
      </c>
      <c r="AV99" s="3" t="s">
        <v>1409</v>
      </c>
      <c r="AW99" s="3" t="s">
        <v>1410</v>
      </c>
      <c r="AX99" s="3" t="s">
        <v>1410</v>
      </c>
      <c r="AY99" s="3" t="s">
        <v>1411</v>
      </c>
      <c r="AZ99" s="3" t="s">
        <v>74</v>
      </c>
      <c r="BB99" s="3" t="s">
        <v>1412</v>
      </c>
      <c r="BC99" s="3" t="s">
        <v>1413</v>
      </c>
      <c r="BD99" s="3" t="s">
        <v>1414</v>
      </c>
    </row>
    <row r="100" spans="1:56" ht="42.75" customHeight="1" x14ac:dyDescent="0.25">
      <c r="A100" s="7" t="s">
        <v>58</v>
      </c>
      <c r="B100" s="2" t="s">
        <v>1415</v>
      </c>
      <c r="C100" s="2" t="s">
        <v>1416</v>
      </c>
      <c r="D100" s="2" t="s">
        <v>1417</v>
      </c>
      <c r="E100" s="3" t="s">
        <v>1418</v>
      </c>
      <c r="F100" s="3" t="s">
        <v>58</v>
      </c>
      <c r="G100" s="3" t="s">
        <v>59</v>
      </c>
      <c r="H100" s="3" t="s">
        <v>58</v>
      </c>
      <c r="I100" s="3" t="s">
        <v>58</v>
      </c>
      <c r="J100" s="3" t="s">
        <v>60</v>
      </c>
      <c r="L100" s="2" t="s">
        <v>1419</v>
      </c>
      <c r="M100" s="3" t="s">
        <v>1404</v>
      </c>
      <c r="O100" s="3" t="s">
        <v>64</v>
      </c>
      <c r="P100" s="3" t="s">
        <v>316</v>
      </c>
      <c r="Q100" s="2" t="s">
        <v>1420</v>
      </c>
      <c r="R100" s="3" t="s">
        <v>67</v>
      </c>
      <c r="S100" s="4">
        <v>2</v>
      </c>
      <c r="T100" s="4">
        <v>2</v>
      </c>
      <c r="U100" s="5" t="s">
        <v>482</v>
      </c>
      <c r="V100" s="5" t="s">
        <v>482</v>
      </c>
      <c r="W100" s="5" t="s">
        <v>1421</v>
      </c>
      <c r="X100" s="5" t="s">
        <v>1421</v>
      </c>
      <c r="Y100" s="4">
        <v>65</v>
      </c>
      <c r="Z100" s="4">
        <v>50</v>
      </c>
      <c r="AA100" s="4">
        <v>50</v>
      </c>
      <c r="AB100" s="4">
        <v>1</v>
      </c>
      <c r="AC100" s="4">
        <v>1</v>
      </c>
      <c r="AD100" s="4">
        <v>3</v>
      </c>
      <c r="AE100" s="4">
        <v>3</v>
      </c>
      <c r="AF100" s="4">
        <v>2</v>
      </c>
      <c r="AG100" s="4">
        <v>2</v>
      </c>
      <c r="AH100" s="4">
        <v>0</v>
      </c>
      <c r="AI100" s="4">
        <v>0</v>
      </c>
      <c r="AJ100" s="4">
        <v>1</v>
      </c>
      <c r="AK100" s="4">
        <v>1</v>
      </c>
      <c r="AL100" s="4">
        <v>0</v>
      </c>
      <c r="AM100" s="4">
        <v>0</v>
      </c>
      <c r="AN100" s="4">
        <v>0</v>
      </c>
      <c r="AO100" s="4">
        <v>0</v>
      </c>
      <c r="AP100" s="3" t="s">
        <v>58</v>
      </c>
      <c r="AQ100" s="3" t="s">
        <v>58</v>
      </c>
      <c r="AS100" s="6" t="str">
        <f>HYPERLINK("https://creighton-primo.hosted.exlibrisgroup.com/primo-explore/search?tab=default_tab&amp;search_scope=EVERYTHING&amp;vid=01CRU&amp;lang=en_US&amp;offset=0&amp;query=any,contains,991005259759702656","Catalog Record")</f>
        <v>Catalog Record</v>
      </c>
      <c r="AT100" s="6" t="str">
        <f>HYPERLINK("http://www.worldcat.org/oclc/225874430","WorldCat Record")</f>
        <v>WorldCat Record</v>
      </c>
      <c r="AU100" s="3" t="s">
        <v>1422</v>
      </c>
      <c r="AV100" s="3" t="s">
        <v>1423</v>
      </c>
      <c r="AW100" s="3" t="s">
        <v>1424</v>
      </c>
      <c r="AX100" s="3" t="s">
        <v>1424</v>
      </c>
      <c r="AY100" s="3" t="s">
        <v>1425</v>
      </c>
      <c r="AZ100" s="3" t="s">
        <v>74</v>
      </c>
      <c r="BB100" s="3" t="s">
        <v>1426</v>
      </c>
      <c r="BC100" s="3" t="s">
        <v>1427</v>
      </c>
      <c r="BD100" s="3" t="s">
        <v>1428</v>
      </c>
    </row>
    <row r="101" spans="1:56" ht="42.75" customHeight="1" x14ac:dyDescent="0.25">
      <c r="A101" s="7" t="s">
        <v>58</v>
      </c>
      <c r="B101" s="2" t="s">
        <v>1429</v>
      </c>
      <c r="C101" s="2" t="s">
        <v>1430</v>
      </c>
      <c r="D101" s="2" t="s">
        <v>1431</v>
      </c>
      <c r="E101" s="3" t="s">
        <v>1432</v>
      </c>
      <c r="F101" s="3" t="s">
        <v>58</v>
      </c>
      <c r="G101" s="3" t="s">
        <v>59</v>
      </c>
      <c r="H101" s="3" t="s">
        <v>58</v>
      </c>
      <c r="I101" s="3" t="s">
        <v>58</v>
      </c>
      <c r="J101" s="3" t="s">
        <v>60</v>
      </c>
      <c r="L101" s="2" t="s">
        <v>1433</v>
      </c>
      <c r="M101" s="3" t="s">
        <v>1404</v>
      </c>
      <c r="O101" s="3" t="s">
        <v>64</v>
      </c>
      <c r="P101" s="3" t="s">
        <v>316</v>
      </c>
      <c r="Q101" s="2" t="s">
        <v>1434</v>
      </c>
      <c r="R101" s="3" t="s">
        <v>67</v>
      </c>
      <c r="S101" s="4">
        <v>1</v>
      </c>
      <c r="T101" s="4">
        <v>1</v>
      </c>
      <c r="U101" s="5" t="s">
        <v>1435</v>
      </c>
      <c r="V101" s="5" t="s">
        <v>1435</v>
      </c>
      <c r="W101" s="5" t="s">
        <v>1435</v>
      </c>
      <c r="X101" s="5" t="s">
        <v>1435</v>
      </c>
      <c r="Y101" s="4">
        <v>59</v>
      </c>
      <c r="Z101" s="4">
        <v>46</v>
      </c>
      <c r="AA101" s="4">
        <v>46</v>
      </c>
      <c r="AB101" s="4">
        <v>1</v>
      </c>
      <c r="AC101" s="4">
        <v>1</v>
      </c>
      <c r="AD101" s="4">
        <v>4</v>
      </c>
      <c r="AE101" s="4">
        <v>4</v>
      </c>
      <c r="AF101" s="4">
        <v>3</v>
      </c>
      <c r="AG101" s="4">
        <v>3</v>
      </c>
      <c r="AH101" s="4">
        <v>0</v>
      </c>
      <c r="AI101" s="4">
        <v>0</v>
      </c>
      <c r="AJ101" s="4">
        <v>2</v>
      </c>
      <c r="AK101" s="4">
        <v>2</v>
      </c>
      <c r="AL101" s="4">
        <v>0</v>
      </c>
      <c r="AM101" s="4">
        <v>0</v>
      </c>
      <c r="AN101" s="4">
        <v>0</v>
      </c>
      <c r="AO101" s="4">
        <v>0</v>
      </c>
      <c r="AP101" s="3" t="s">
        <v>58</v>
      </c>
      <c r="AQ101" s="3" t="s">
        <v>58</v>
      </c>
      <c r="AS101" s="6" t="str">
        <f>HYPERLINK("https://creighton-primo.hosted.exlibrisgroup.com/primo-explore/search?tab=default_tab&amp;search_scope=EVERYTHING&amp;vid=01CRU&amp;lang=en_US&amp;offset=0&amp;query=any,contains,991005290929702656","Catalog Record")</f>
        <v>Catalog Record</v>
      </c>
      <c r="AT101" s="6" t="str">
        <f>HYPERLINK("http://www.worldcat.org/oclc/244653172","WorldCat Record")</f>
        <v>WorldCat Record</v>
      </c>
      <c r="AU101" s="3" t="s">
        <v>1436</v>
      </c>
      <c r="AV101" s="3" t="s">
        <v>1437</v>
      </c>
      <c r="AW101" s="3" t="s">
        <v>1438</v>
      </c>
      <c r="AX101" s="3" t="s">
        <v>1438</v>
      </c>
      <c r="AY101" s="3" t="s">
        <v>1439</v>
      </c>
      <c r="AZ101" s="3" t="s">
        <v>74</v>
      </c>
      <c r="BB101" s="3" t="s">
        <v>1440</v>
      </c>
      <c r="BC101" s="3" t="s">
        <v>1441</v>
      </c>
      <c r="BD101" s="3" t="s">
        <v>1442</v>
      </c>
    </row>
    <row r="102" spans="1:56" ht="42.75" customHeight="1" x14ac:dyDescent="0.25">
      <c r="A102" s="7" t="s">
        <v>58</v>
      </c>
      <c r="B102" s="2" t="s">
        <v>1443</v>
      </c>
      <c r="C102" s="2" t="s">
        <v>1444</v>
      </c>
      <c r="D102" s="2" t="s">
        <v>1445</v>
      </c>
      <c r="E102" s="3" t="s">
        <v>1446</v>
      </c>
      <c r="F102" s="3" t="s">
        <v>58</v>
      </c>
      <c r="G102" s="3" t="s">
        <v>59</v>
      </c>
      <c r="H102" s="3" t="s">
        <v>58</v>
      </c>
      <c r="I102" s="3" t="s">
        <v>58</v>
      </c>
      <c r="J102" s="3" t="s">
        <v>60</v>
      </c>
      <c r="L102" s="2" t="s">
        <v>1447</v>
      </c>
      <c r="M102" s="3" t="s">
        <v>1448</v>
      </c>
      <c r="O102" s="3" t="s">
        <v>64</v>
      </c>
      <c r="P102" s="3" t="s">
        <v>316</v>
      </c>
      <c r="Q102" s="2" t="s">
        <v>1449</v>
      </c>
      <c r="R102" s="3" t="s">
        <v>67</v>
      </c>
      <c r="S102" s="4">
        <v>1</v>
      </c>
      <c r="T102" s="4">
        <v>1</v>
      </c>
      <c r="U102" s="5" t="s">
        <v>1450</v>
      </c>
      <c r="V102" s="5" t="s">
        <v>1450</v>
      </c>
      <c r="W102" s="5" t="s">
        <v>1450</v>
      </c>
      <c r="X102" s="5" t="s">
        <v>1450</v>
      </c>
      <c r="Y102" s="4">
        <v>58</v>
      </c>
      <c r="Z102" s="4">
        <v>47</v>
      </c>
      <c r="AA102" s="4">
        <v>47</v>
      </c>
      <c r="AB102" s="4">
        <v>1</v>
      </c>
      <c r="AC102" s="4">
        <v>1</v>
      </c>
      <c r="AD102" s="4">
        <v>3</v>
      </c>
      <c r="AE102" s="4">
        <v>3</v>
      </c>
      <c r="AF102" s="4">
        <v>2</v>
      </c>
      <c r="AG102" s="4">
        <v>2</v>
      </c>
      <c r="AH102" s="4">
        <v>0</v>
      </c>
      <c r="AI102" s="4">
        <v>0</v>
      </c>
      <c r="AJ102" s="4">
        <v>1</v>
      </c>
      <c r="AK102" s="4">
        <v>1</v>
      </c>
      <c r="AL102" s="4">
        <v>0</v>
      </c>
      <c r="AM102" s="4">
        <v>0</v>
      </c>
      <c r="AN102" s="4">
        <v>0</v>
      </c>
      <c r="AO102" s="4">
        <v>0</v>
      </c>
      <c r="AP102" s="3" t="s">
        <v>58</v>
      </c>
      <c r="AQ102" s="3" t="s">
        <v>58</v>
      </c>
      <c r="AS102" s="6" t="str">
        <f>HYPERLINK("https://creighton-primo.hosted.exlibrisgroup.com/primo-explore/search?tab=default_tab&amp;search_scope=EVERYTHING&amp;vid=01CRU&amp;lang=en_US&amp;offset=0&amp;query=any,contains,991005312419702656","Catalog Record")</f>
        <v>Catalog Record</v>
      </c>
      <c r="AT102" s="6" t="str">
        <f>HYPERLINK("http://www.worldcat.org/oclc/262883001","WorldCat Record")</f>
        <v>WorldCat Record</v>
      </c>
      <c r="AU102" s="3" t="s">
        <v>1451</v>
      </c>
      <c r="AV102" s="3" t="s">
        <v>1452</v>
      </c>
      <c r="AW102" s="3" t="s">
        <v>1453</v>
      </c>
      <c r="AX102" s="3" t="s">
        <v>1453</v>
      </c>
      <c r="AY102" s="3" t="s">
        <v>1454</v>
      </c>
      <c r="AZ102" s="3" t="s">
        <v>74</v>
      </c>
      <c r="BB102" s="3" t="s">
        <v>1455</v>
      </c>
      <c r="BC102" s="3" t="s">
        <v>1456</v>
      </c>
      <c r="BD102" s="3" t="s">
        <v>1457</v>
      </c>
    </row>
    <row r="103" spans="1:56" ht="42.75" customHeight="1" x14ac:dyDescent="0.25">
      <c r="A103" s="7" t="s">
        <v>58</v>
      </c>
      <c r="B103" s="2" t="s">
        <v>1458</v>
      </c>
      <c r="C103" s="2" t="s">
        <v>1459</v>
      </c>
      <c r="D103" s="2" t="s">
        <v>1460</v>
      </c>
      <c r="E103" s="3" t="s">
        <v>1461</v>
      </c>
      <c r="F103" s="3" t="s">
        <v>58</v>
      </c>
      <c r="G103" s="3" t="s">
        <v>59</v>
      </c>
      <c r="H103" s="3" t="s">
        <v>58</v>
      </c>
      <c r="I103" s="3" t="s">
        <v>58</v>
      </c>
      <c r="J103" s="3" t="s">
        <v>60</v>
      </c>
      <c r="L103" s="2" t="s">
        <v>1462</v>
      </c>
      <c r="M103" s="3" t="s">
        <v>1448</v>
      </c>
      <c r="O103" s="3" t="s">
        <v>64</v>
      </c>
      <c r="P103" s="3" t="s">
        <v>316</v>
      </c>
      <c r="Q103" s="2" t="s">
        <v>1463</v>
      </c>
      <c r="R103" s="3" t="s">
        <v>67</v>
      </c>
      <c r="S103" s="4">
        <v>1</v>
      </c>
      <c r="T103" s="4">
        <v>1</v>
      </c>
      <c r="U103" s="5" t="s">
        <v>1464</v>
      </c>
      <c r="V103" s="5" t="s">
        <v>1464</v>
      </c>
      <c r="W103" s="5" t="s">
        <v>1464</v>
      </c>
      <c r="X103" s="5" t="s">
        <v>1464</v>
      </c>
      <c r="Y103" s="4">
        <v>48</v>
      </c>
      <c r="Z103" s="4">
        <v>35</v>
      </c>
      <c r="AA103" s="4">
        <v>35</v>
      </c>
      <c r="AB103" s="4">
        <v>1</v>
      </c>
      <c r="AC103" s="4">
        <v>1</v>
      </c>
      <c r="AD103" s="4">
        <v>2</v>
      </c>
      <c r="AE103" s="4">
        <v>2</v>
      </c>
      <c r="AF103" s="4">
        <v>2</v>
      </c>
      <c r="AG103" s="4">
        <v>2</v>
      </c>
      <c r="AH103" s="4">
        <v>0</v>
      </c>
      <c r="AI103" s="4">
        <v>0</v>
      </c>
      <c r="AJ103" s="4">
        <v>0</v>
      </c>
      <c r="AK103" s="4">
        <v>0</v>
      </c>
      <c r="AL103" s="4">
        <v>0</v>
      </c>
      <c r="AM103" s="4">
        <v>0</v>
      </c>
      <c r="AN103" s="4">
        <v>0</v>
      </c>
      <c r="AO103" s="4">
        <v>0</v>
      </c>
      <c r="AP103" s="3" t="s">
        <v>58</v>
      </c>
      <c r="AQ103" s="3" t="s">
        <v>58</v>
      </c>
      <c r="AS103" s="6" t="str">
        <f>HYPERLINK("https://creighton-primo.hosted.exlibrisgroup.com/primo-explore/search?tab=default_tab&amp;search_scope=EVERYTHING&amp;vid=01CRU&amp;lang=en_US&amp;offset=0&amp;query=any,contains,991005319739702656","Catalog Record")</f>
        <v>Catalog Record</v>
      </c>
      <c r="AT103" s="6" t="str">
        <f>HYPERLINK("http://www.worldcat.org/oclc/312626525","WorldCat Record")</f>
        <v>WorldCat Record</v>
      </c>
      <c r="AU103" s="3" t="s">
        <v>1465</v>
      </c>
      <c r="AV103" s="3" t="s">
        <v>1466</v>
      </c>
      <c r="AW103" s="3" t="s">
        <v>1467</v>
      </c>
      <c r="AX103" s="3" t="s">
        <v>1467</v>
      </c>
      <c r="AY103" s="3" t="s">
        <v>1468</v>
      </c>
      <c r="AZ103" s="3" t="s">
        <v>74</v>
      </c>
      <c r="BB103" s="3" t="s">
        <v>1469</v>
      </c>
      <c r="BC103" s="3" t="s">
        <v>1470</v>
      </c>
      <c r="BD103" s="3" t="s">
        <v>1471</v>
      </c>
    </row>
    <row r="104" spans="1:56" ht="42.75" customHeight="1" x14ac:dyDescent="0.25">
      <c r="A104" s="7" t="s">
        <v>58</v>
      </c>
      <c r="B104" s="2" t="s">
        <v>1472</v>
      </c>
      <c r="C104" s="2" t="s">
        <v>1473</v>
      </c>
      <c r="D104" s="2" t="s">
        <v>1474</v>
      </c>
      <c r="E104" s="3" t="s">
        <v>1475</v>
      </c>
      <c r="F104" s="3" t="s">
        <v>58</v>
      </c>
      <c r="G104" s="3" t="s">
        <v>59</v>
      </c>
      <c r="H104" s="3" t="s">
        <v>58</v>
      </c>
      <c r="I104" s="3" t="s">
        <v>58</v>
      </c>
      <c r="J104" s="3" t="s">
        <v>60</v>
      </c>
      <c r="L104" s="2" t="s">
        <v>1476</v>
      </c>
      <c r="M104" s="3" t="s">
        <v>1448</v>
      </c>
      <c r="O104" s="3" t="s">
        <v>64</v>
      </c>
      <c r="P104" s="3" t="s">
        <v>316</v>
      </c>
      <c r="Q104" s="2" t="s">
        <v>1477</v>
      </c>
      <c r="R104" s="3" t="s">
        <v>67</v>
      </c>
      <c r="S104" s="4">
        <v>1</v>
      </c>
      <c r="T104" s="4">
        <v>1</v>
      </c>
      <c r="U104" s="5" t="s">
        <v>1478</v>
      </c>
      <c r="V104" s="5" t="s">
        <v>1478</v>
      </c>
      <c r="W104" s="5" t="s">
        <v>1479</v>
      </c>
      <c r="X104" s="5" t="s">
        <v>1479</v>
      </c>
      <c r="Y104" s="4">
        <v>63</v>
      </c>
      <c r="Z104" s="4">
        <v>47</v>
      </c>
      <c r="AA104" s="4">
        <v>47</v>
      </c>
      <c r="AB104" s="4">
        <v>1</v>
      </c>
      <c r="AC104" s="4">
        <v>1</v>
      </c>
      <c r="AD104" s="4">
        <v>3</v>
      </c>
      <c r="AE104" s="4">
        <v>3</v>
      </c>
      <c r="AF104" s="4">
        <v>3</v>
      </c>
      <c r="AG104" s="4">
        <v>3</v>
      </c>
      <c r="AH104" s="4">
        <v>0</v>
      </c>
      <c r="AI104" s="4">
        <v>0</v>
      </c>
      <c r="AJ104" s="4">
        <v>0</v>
      </c>
      <c r="AK104" s="4">
        <v>0</v>
      </c>
      <c r="AL104" s="4">
        <v>0</v>
      </c>
      <c r="AM104" s="4">
        <v>0</v>
      </c>
      <c r="AN104" s="4">
        <v>0</v>
      </c>
      <c r="AO104" s="4">
        <v>0</v>
      </c>
      <c r="AP104" s="3" t="s">
        <v>58</v>
      </c>
      <c r="AQ104" s="3" t="s">
        <v>58</v>
      </c>
      <c r="AS104" s="6" t="str">
        <f>HYPERLINK("https://creighton-primo.hosted.exlibrisgroup.com/primo-explore/search?tab=default_tab&amp;search_scope=EVERYTHING&amp;vid=01CRU&amp;lang=en_US&amp;offset=0&amp;query=any,contains,991005327529702656","Catalog Record")</f>
        <v>Catalog Record</v>
      </c>
      <c r="AT104" s="6" t="str">
        <f>HYPERLINK("http://www.worldcat.org/oclc/317917872","WorldCat Record")</f>
        <v>WorldCat Record</v>
      </c>
      <c r="AU104" s="3" t="s">
        <v>1480</v>
      </c>
      <c r="AV104" s="3" t="s">
        <v>1481</v>
      </c>
      <c r="AW104" s="3" t="s">
        <v>1482</v>
      </c>
      <c r="AX104" s="3" t="s">
        <v>1482</v>
      </c>
      <c r="AY104" s="3" t="s">
        <v>1483</v>
      </c>
      <c r="AZ104" s="3" t="s">
        <v>74</v>
      </c>
      <c r="BB104" s="3" t="s">
        <v>1484</v>
      </c>
      <c r="BC104" s="3" t="s">
        <v>1485</v>
      </c>
      <c r="BD104" s="3" t="s">
        <v>1486</v>
      </c>
    </row>
    <row r="105" spans="1:56" ht="42.75" customHeight="1" x14ac:dyDescent="0.25">
      <c r="A105" s="7" t="s">
        <v>58</v>
      </c>
      <c r="B105" s="2" t="s">
        <v>1487</v>
      </c>
      <c r="C105" s="2" t="s">
        <v>1488</v>
      </c>
      <c r="D105" s="2" t="s">
        <v>1489</v>
      </c>
      <c r="E105" s="3" t="s">
        <v>1490</v>
      </c>
      <c r="F105" s="3" t="s">
        <v>58</v>
      </c>
      <c r="G105" s="3" t="s">
        <v>59</v>
      </c>
      <c r="H105" s="3" t="s">
        <v>58</v>
      </c>
      <c r="I105" s="3" t="s">
        <v>58</v>
      </c>
      <c r="J105" s="3" t="s">
        <v>60</v>
      </c>
      <c r="L105" s="2" t="s">
        <v>1491</v>
      </c>
      <c r="M105" s="3" t="s">
        <v>1448</v>
      </c>
      <c r="O105" s="3" t="s">
        <v>64</v>
      </c>
      <c r="P105" s="3" t="s">
        <v>316</v>
      </c>
      <c r="Q105" s="2" t="s">
        <v>1492</v>
      </c>
      <c r="R105" s="3" t="s">
        <v>67</v>
      </c>
      <c r="S105" s="4">
        <v>1</v>
      </c>
      <c r="T105" s="4">
        <v>1</v>
      </c>
      <c r="U105" s="5" t="s">
        <v>1493</v>
      </c>
      <c r="V105" s="5" t="s">
        <v>1493</v>
      </c>
      <c r="W105" s="5" t="s">
        <v>1493</v>
      </c>
      <c r="X105" s="5" t="s">
        <v>1493</v>
      </c>
      <c r="Y105" s="4">
        <v>41</v>
      </c>
      <c r="Z105" s="4">
        <v>33</v>
      </c>
      <c r="AA105" s="4">
        <v>33</v>
      </c>
      <c r="AB105" s="4">
        <v>1</v>
      </c>
      <c r="AC105" s="4">
        <v>1</v>
      </c>
      <c r="AD105" s="4">
        <v>2</v>
      </c>
      <c r="AE105" s="4">
        <v>2</v>
      </c>
      <c r="AF105" s="4">
        <v>2</v>
      </c>
      <c r="AG105" s="4">
        <v>2</v>
      </c>
      <c r="AH105" s="4">
        <v>0</v>
      </c>
      <c r="AI105" s="4">
        <v>0</v>
      </c>
      <c r="AJ105" s="4">
        <v>0</v>
      </c>
      <c r="AK105" s="4">
        <v>0</v>
      </c>
      <c r="AL105" s="4">
        <v>0</v>
      </c>
      <c r="AM105" s="4">
        <v>0</v>
      </c>
      <c r="AN105" s="4">
        <v>0</v>
      </c>
      <c r="AO105" s="4">
        <v>0</v>
      </c>
      <c r="AP105" s="3" t="s">
        <v>58</v>
      </c>
      <c r="AQ105" s="3" t="s">
        <v>58</v>
      </c>
      <c r="AS105" s="6" t="str">
        <f>HYPERLINK("https://creighton-primo.hosted.exlibrisgroup.com/primo-explore/search?tab=default_tab&amp;search_scope=EVERYTHING&amp;vid=01CRU&amp;lang=en_US&amp;offset=0&amp;query=any,contains,991005360789702656","Catalog Record")</f>
        <v>Catalog Record</v>
      </c>
      <c r="AT105" s="6" t="str">
        <f>HYPERLINK("http://www.worldcat.org/oclc/319493112","WorldCat Record")</f>
        <v>WorldCat Record</v>
      </c>
      <c r="AU105" s="3" t="s">
        <v>1494</v>
      </c>
      <c r="AV105" s="3" t="s">
        <v>1495</v>
      </c>
      <c r="AW105" s="3" t="s">
        <v>1496</v>
      </c>
      <c r="AX105" s="3" t="s">
        <v>1496</v>
      </c>
      <c r="AY105" s="3" t="s">
        <v>1497</v>
      </c>
      <c r="AZ105" s="3" t="s">
        <v>74</v>
      </c>
      <c r="BB105" s="3" t="s">
        <v>1498</v>
      </c>
      <c r="BC105" s="3" t="s">
        <v>1499</v>
      </c>
      <c r="BD105" s="3" t="s">
        <v>1500</v>
      </c>
    </row>
    <row r="106" spans="1:56" ht="42.75" customHeight="1" x14ac:dyDescent="0.25">
      <c r="A106" s="7" t="s">
        <v>58</v>
      </c>
      <c r="B106" s="2" t="s">
        <v>1501</v>
      </c>
      <c r="C106" s="2" t="s">
        <v>1502</v>
      </c>
      <c r="D106" s="2" t="s">
        <v>1503</v>
      </c>
      <c r="E106" s="3" t="s">
        <v>1504</v>
      </c>
      <c r="F106" s="3" t="s">
        <v>58</v>
      </c>
      <c r="G106" s="3" t="s">
        <v>59</v>
      </c>
      <c r="H106" s="3" t="s">
        <v>58</v>
      </c>
      <c r="I106" s="3" t="s">
        <v>58</v>
      </c>
      <c r="J106" s="3" t="s">
        <v>60</v>
      </c>
      <c r="L106" s="2" t="s">
        <v>1505</v>
      </c>
      <c r="M106" s="3" t="s">
        <v>1506</v>
      </c>
      <c r="O106" s="3" t="s">
        <v>64</v>
      </c>
      <c r="P106" s="3" t="s">
        <v>316</v>
      </c>
      <c r="Q106" s="2" t="s">
        <v>1507</v>
      </c>
      <c r="R106" s="3" t="s">
        <v>67</v>
      </c>
      <c r="S106" s="4">
        <v>1</v>
      </c>
      <c r="T106" s="4">
        <v>1</v>
      </c>
      <c r="U106" s="5" t="s">
        <v>1493</v>
      </c>
      <c r="V106" s="5" t="s">
        <v>1493</v>
      </c>
      <c r="W106" s="5" t="s">
        <v>1493</v>
      </c>
      <c r="X106" s="5" t="s">
        <v>1493</v>
      </c>
      <c r="Y106" s="4">
        <v>8</v>
      </c>
      <c r="Z106" s="4">
        <v>6</v>
      </c>
      <c r="AA106" s="4">
        <v>6</v>
      </c>
      <c r="AB106" s="4">
        <v>1</v>
      </c>
      <c r="AC106" s="4">
        <v>1</v>
      </c>
      <c r="AD106" s="4">
        <v>0</v>
      </c>
      <c r="AE106" s="4">
        <v>0</v>
      </c>
      <c r="AF106" s="4">
        <v>0</v>
      </c>
      <c r="AG106" s="4">
        <v>0</v>
      </c>
      <c r="AH106" s="4">
        <v>0</v>
      </c>
      <c r="AI106" s="4">
        <v>0</v>
      </c>
      <c r="AJ106" s="4">
        <v>0</v>
      </c>
      <c r="AK106" s="4">
        <v>0</v>
      </c>
      <c r="AL106" s="4">
        <v>0</v>
      </c>
      <c r="AM106" s="4">
        <v>0</v>
      </c>
      <c r="AN106" s="4">
        <v>0</v>
      </c>
      <c r="AO106" s="4">
        <v>0</v>
      </c>
      <c r="AP106" s="3" t="s">
        <v>58</v>
      </c>
      <c r="AQ106" s="3" t="s">
        <v>58</v>
      </c>
      <c r="AS106" s="6" t="str">
        <f>HYPERLINK("https://creighton-primo.hosted.exlibrisgroup.com/primo-explore/search?tab=default_tab&amp;search_scope=EVERYTHING&amp;vid=01CRU&amp;lang=en_US&amp;offset=0&amp;query=any,contains,991005360799702656","Catalog Record")</f>
        <v>Catalog Record</v>
      </c>
      <c r="AT106" s="6" t="str">
        <f>HYPERLINK("http://www.worldcat.org/oclc/473464437","WorldCat Record")</f>
        <v>WorldCat Record</v>
      </c>
      <c r="AU106" s="3" t="s">
        <v>1508</v>
      </c>
      <c r="AV106" s="3" t="s">
        <v>1509</v>
      </c>
      <c r="AW106" s="3" t="s">
        <v>1510</v>
      </c>
      <c r="AX106" s="3" t="s">
        <v>1510</v>
      </c>
      <c r="AY106" s="3" t="s">
        <v>1511</v>
      </c>
      <c r="AZ106" s="3" t="s">
        <v>74</v>
      </c>
      <c r="BB106" s="3" t="s">
        <v>1512</v>
      </c>
      <c r="BC106" s="3" t="s">
        <v>1513</v>
      </c>
      <c r="BD106" s="3" t="s">
        <v>1514</v>
      </c>
    </row>
    <row r="107" spans="1:56" ht="42.75" customHeight="1" x14ac:dyDescent="0.25">
      <c r="A107" s="7" t="s">
        <v>58</v>
      </c>
      <c r="B107" s="2" t="s">
        <v>1515</v>
      </c>
      <c r="C107" s="2" t="s">
        <v>1516</v>
      </c>
      <c r="D107" s="2" t="s">
        <v>1517</v>
      </c>
      <c r="E107" s="3" t="s">
        <v>1518</v>
      </c>
      <c r="F107" s="3" t="s">
        <v>58</v>
      </c>
      <c r="G107" s="3" t="s">
        <v>59</v>
      </c>
      <c r="H107" s="3" t="s">
        <v>58</v>
      </c>
      <c r="I107" s="3" t="s">
        <v>58</v>
      </c>
      <c r="J107" s="3" t="s">
        <v>60</v>
      </c>
      <c r="L107" s="2" t="s">
        <v>1519</v>
      </c>
      <c r="M107" s="3" t="s">
        <v>1506</v>
      </c>
      <c r="O107" s="3" t="s">
        <v>64</v>
      </c>
      <c r="P107" s="3" t="s">
        <v>316</v>
      </c>
      <c r="Q107" s="2" t="s">
        <v>1520</v>
      </c>
      <c r="R107" s="3" t="s">
        <v>67</v>
      </c>
      <c r="S107" s="4">
        <v>1</v>
      </c>
      <c r="T107" s="4">
        <v>1</v>
      </c>
      <c r="U107" s="5" t="s">
        <v>1521</v>
      </c>
      <c r="V107" s="5" t="s">
        <v>1521</v>
      </c>
      <c r="W107" s="5" t="s">
        <v>1521</v>
      </c>
      <c r="X107" s="5" t="s">
        <v>1521</v>
      </c>
      <c r="Y107" s="4">
        <v>42</v>
      </c>
      <c r="Z107" s="4">
        <v>33</v>
      </c>
      <c r="AA107" s="4">
        <v>33</v>
      </c>
      <c r="AB107" s="4">
        <v>1</v>
      </c>
      <c r="AC107" s="4">
        <v>1</v>
      </c>
      <c r="AD107" s="4">
        <v>2</v>
      </c>
      <c r="AE107" s="4">
        <v>2</v>
      </c>
      <c r="AF107" s="4">
        <v>2</v>
      </c>
      <c r="AG107" s="4">
        <v>2</v>
      </c>
      <c r="AH107" s="4">
        <v>0</v>
      </c>
      <c r="AI107" s="4">
        <v>0</v>
      </c>
      <c r="AJ107" s="4">
        <v>0</v>
      </c>
      <c r="AK107" s="4">
        <v>0</v>
      </c>
      <c r="AL107" s="4">
        <v>0</v>
      </c>
      <c r="AM107" s="4">
        <v>0</v>
      </c>
      <c r="AN107" s="4">
        <v>0</v>
      </c>
      <c r="AO107" s="4">
        <v>0</v>
      </c>
      <c r="AP107" s="3" t="s">
        <v>58</v>
      </c>
      <c r="AQ107" s="3" t="s">
        <v>58</v>
      </c>
      <c r="AS107" s="6" t="str">
        <f>HYPERLINK("https://creighton-primo.hosted.exlibrisgroup.com/primo-explore/search?tab=default_tab&amp;search_scope=EVERYTHING&amp;vid=01CRU&amp;lang=en_US&amp;offset=0&amp;query=any,contains,991005387189702656","Catalog Record")</f>
        <v>Catalog Record</v>
      </c>
      <c r="AT107" s="6" t="str">
        <f>HYPERLINK("http://www.worldcat.org/oclc/607301958","WorldCat Record")</f>
        <v>WorldCat Record</v>
      </c>
      <c r="AU107" s="3" t="s">
        <v>1522</v>
      </c>
      <c r="AV107" s="3" t="s">
        <v>1523</v>
      </c>
      <c r="AW107" s="3" t="s">
        <v>1524</v>
      </c>
      <c r="AX107" s="3" t="s">
        <v>1524</v>
      </c>
      <c r="AY107" s="3" t="s">
        <v>1525</v>
      </c>
      <c r="AZ107" s="3" t="s">
        <v>74</v>
      </c>
      <c r="BB107" s="3" t="s">
        <v>1526</v>
      </c>
      <c r="BC107" s="3" t="s">
        <v>1527</v>
      </c>
      <c r="BD107" s="3" t="s">
        <v>1528</v>
      </c>
    </row>
    <row r="108" spans="1:56" ht="42.75" customHeight="1" x14ac:dyDescent="0.25">
      <c r="A108" s="7" t="s">
        <v>58</v>
      </c>
      <c r="B108" s="2" t="s">
        <v>1529</v>
      </c>
      <c r="C108" s="2" t="s">
        <v>1530</v>
      </c>
      <c r="D108" s="2" t="s">
        <v>1531</v>
      </c>
      <c r="E108" s="3" t="s">
        <v>1532</v>
      </c>
      <c r="F108" s="3" t="s">
        <v>58</v>
      </c>
      <c r="G108" s="3" t="s">
        <v>59</v>
      </c>
      <c r="H108" s="3" t="s">
        <v>58</v>
      </c>
      <c r="I108" s="3" t="s">
        <v>58</v>
      </c>
      <c r="J108" s="3" t="s">
        <v>60</v>
      </c>
      <c r="K108" s="2" t="s">
        <v>1533</v>
      </c>
      <c r="L108" s="2" t="s">
        <v>1534</v>
      </c>
      <c r="M108" s="3" t="s">
        <v>1506</v>
      </c>
      <c r="O108" s="3" t="s">
        <v>64</v>
      </c>
      <c r="P108" s="3" t="s">
        <v>316</v>
      </c>
      <c r="Q108" s="2" t="s">
        <v>1535</v>
      </c>
      <c r="R108" s="3" t="s">
        <v>67</v>
      </c>
      <c r="S108" s="4">
        <v>1</v>
      </c>
      <c r="T108" s="4">
        <v>1</v>
      </c>
      <c r="U108" s="5" t="s">
        <v>1536</v>
      </c>
      <c r="V108" s="5" t="s">
        <v>1536</v>
      </c>
      <c r="W108" s="5" t="s">
        <v>1536</v>
      </c>
      <c r="X108" s="5" t="s">
        <v>1536</v>
      </c>
      <c r="Y108" s="4">
        <v>47</v>
      </c>
      <c r="Z108" s="4">
        <v>32</v>
      </c>
      <c r="AA108" s="4">
        <v>54</v>
      </c>
      <c r="AB108" s="4">
        <v>1</v>
      </c>
      <c r="AC108" s="4">
        <v>1</v>
      </c>
      <c r="AD108" s="4">
        <v>2</v>
      </c>
      <c r="AE108" s="4">
        <v>2</v>
      </c>
      <c r="AF108" s="4">
        <v>2</v>
      </c>
      <c r="AG108" s="4">
        <v>2</v>
      </c>
      <c r="AH108" s="4">
        <v>0</v>
      </c>
      <c r="AI108" s="4">
        <v>0</v>
      </c>
      <c r="AJ108" s="4">
        <v>0</v>
      </c>
      <c r="AK108" s="4">
        <v>0</v>
      </c>
      <c r="AL108" s="4">
        <v>0</v>
      </c>
      <c r="AM108" s="4">
        <v>0</v>
      </c>
      <c r="AN108" s="4">
        <v>0</v>
      </c>
      <c r="AO108" s="4">
        <v>0</v>
      </c>
      <c r="AP108" s="3" t="s">
        <v>58</v>
      </c>
      <c r="AQ108" s="3" t="s">
        <v>58</v>
      </c>
      <c r="AS108" s="6" t="str">
        <f>HYPERLINK("https://creighton-primo.hosted.exlibrisgroup.com/primo-explore/search?tab=default_tab&amp;search_scope=EVERYTHING&amp;vid=01CRU&amp;lang=en_US&amp;offset=0&amp;query=any,contains,991000059929702656","Catalog Record")</f>
        <v>Catalog Record</v>
      </c>
      <c r="AT108" s="6" t="str">
        <f>HYPERLINK("http://www.worldcat.org/oclc/636915685","WorldCat Record")</f>
        <v>WorldCat Record</v>
      </c>
      <c r="AU108" s="3" t="s">
        <v>1537</v>
      </c>
      <c r="AV108" s="3" t="s">
        <v>1538</v>
      </c>
      <c r="AW108" s="3" t="s">
        <v>1539</v>
      </c>
      <c r="AX108" s="3" t="s">
        <v>1539</v>
      </c>
      <c r="AY108" s="3" t="s">
        <v>1540</v>
      </c>
      <c r="AZ108" s="3" t="s">
        <v>74</v>
      </c>
      <c r="BB108" s="3" t="s">
        <v>1541</v>
      </c>
      <c r="BC108" s="3" t="s">
        <v>1542</v>
      </c>
      <c r="BD108" s="3" t="s">
        <v>1543</v>
      </c>
    </row>
    <row r="109" spans="1:56" ht="42.75" customHeight="1" x14ac:dyDescent="0.25">
      <c r="A109" s="7" t="s">
        <v>58</v>
      </c>
      <c r="B109" s="2" t="s">
        <v>1544</v>
      </c>
      <c r="C109" s="2" t="s">
        <v>1545</v>
      </c>
      <c r="D109" s="2" t="s">
        <v>1546</v>
      </c>
      <c r="E109" s="3" t="s">
        <v>1547</v>
      </c>
      <c r="F109" s="3" t="s">
        <v>58</v>
      </c>
      <c r="G109" s="3" t="s">
        <v>59</v>
      </c>
      <c r="H109" s="3" t="s">
        <v>58</v>
      </c>
      <c r="I109" s="3" t="s">
        <v>58</v>
      </c>
      <c r="J109" s="3" t="s">
        <v>60</v>
      </c>
      <c r="L109" s="2" t="s">
        <v>1548</v>
      </c>
      <c r="M109" s="3" t="s">
        <v>1506</v>
      </c>
      <c r="O109" s="3" t="s">
        <v>64</v>
      </c>
      <c r="P109" s="3" t="s">
        <v>316</v>
      </c>
      <c r="Q109" s="2" t="s">
        <v>1549</v>
      </c>
      <c r="R109" s="3" t="s">
        <v>67</v>
      </c>
      <c r="S109" s="4">
        <v>1</v>
      </c>
      <c r="T109" s="4">
        <v>1</v>
      </c>
      <c r="U109" s="5" t="s">
        <v>1550</v>
      </c>
      <c r="V109" s="5" t="s">
        <v>1550</v>
      </c>
      <c r="W109" s="5" t="s">
        <v>1550</v>
      </c>
      <c r="X109" s="5" t="s">
        <v>1550</v>
      </c>
      <c r="Y109" s="4">
        <v>44</v>
      </c>
      <c r="Z109" s="4">
        <v>32</v>
      </c>
      <c r="AA109" s="4">
        <v>32</v>
      </c>
      <c r="AB109" s="4">
        <v>1</v>
      </c>
      <c r="AC109" s="4">
        <v>1</v>
      </c>
      <c r="AD109" s="4">
        <v>2</v>
      </c>
      <c r="AE109" s="4">
        <v>2</v>
      </c>
      <c r="AF109" s="4">
        <v>2</v>
      </c>
      <c r="AG109" s="4">
        <v>2</v>
      </c>
      <c r="AH109" s="4">
        <v>0</v>
      </c>
      <c r="AI109" s="4">
        <v>0</v>
      </c>
      <c r="AJ109" s="4">
        <v>0</v>
      </c>
      <c r="AK109" s="4">
        <v>0</v>
      </c>
      <c r="AL109" s="4">
        <v>0</v>
      </c>
      <c r="AM109" s="4">
        <v>0</v>
      </c>
      <c r="AN109" s="4">
        <v>0</v>
      </c>
      <c r="AO109" s="4">
        <v>0</v>
      </c>
      <c r="AP109" s="3" t="s">
        <v>58</v>
      </c>
      <c r="AQ109" s="3" t="s">
        <v>58</v>
      </c>
      <c r="AS109" s="6" t="str">
        <f>HYPERLINK("https://creighton-primo.hosted.exlibrisgroup.com/primo-explore/search?tab=default_tab&amp;search_scope=EVERYTHING&amp;vid=01CRU&amp;lang=en_US&amp;offset=0&amp;query=any,contains,991000368199702656","Catalog Record")</f>
        <v>Catalog Record</v>
      </c>
      <c r="AT109" s="6" t="str">
        <f>HYPERLINK("http://www.worldcat.org/oclc/630452437","WorldCat Record")</f>
        <v>WorldCat Record</v>
      </c>
      <c r="AU109" s="3" t="s">
        <v>1551</v>
      </c>
      <c r="AV109" s="3" t="s">
        <v>1552</v>
      </c>
      <c r="AW109" s="3" t="s">
        <v>1553</v>
      </c>
      <c r="AX109" s="3" t="s">
        <v>1553</v>
      </c>
      <c r="AY109" s="3" t="s">
        <v>1554</v>
      </c>
      <c r="AZ109" s="3" t="s">
        <v>74</v>
      </c>
      <c r="BB109" s="3" t="s">
        <v>1555</v>
      </c>
      <c r="BC109" s="3" t="s">
        <v>1556</v>
      </c>
      <c r="BD109" s="3" t="s">
        <v>1557</v>
      </c>
    </row>
    <row r="110" spans="1:56" ht="42.75" customHeight="1" x14ac:dyDescent="0.25">
      <c r="A110" s="7" t="s">
        <v>58</v>
      </c>
      <c r="B110" s="2" t="s">
        <v>1558</v>
      </c>
      <c r="C110" s="2" t="s">
        <v>1559</v>
      </c>
      <c r="D110" s="2" t="s">
        <v>1560</v>
      </c>
      <c r="F110" s="3" t="s">
        <v>58</v>
      </c>
      <c r="G110" s="3" t="s">
        <v>59</v>
      </c>
      <c r="H110" s="3" t="s">
        <v>58</v>
      </c>
      <c r="I110" s="3" t="s">
        <v>58</v>
      </c>
      <c r="J110" s="3" t="s">
        <v>60</v>
      </c>
      <c r="L110" s="2" t="s">
        <v>1561</v>
      </c>
      <c r="M110" s="3" t="s">
        <v>114</v>
      </c>
      <c r="O110" s="3" t="s">
        <v>64</v>
      </c>
      <c r="P110" s="3" t="s">
        <v>208</v>
      </c>
      <c r="R110" s="3" t="s">
        <v>67</v>
      </c>
      <c r="S110" s="4">
        <v>6</v>
      </c>
      <c r="T110" s="4">
        <v>6</v>
      </c>
      <c r="U110" s="5" t="s">
        <v>1562</v>
      </c>
      <c r="V110" s="5" t="s">
        <v>1562</v>
      </c>
      <c r="W110" s="5" t="s">
        <v>69</v>
      </c>
      <c r="X110" s="5" t="s">
        <v>69</v>
      </c>
      <c r="Y110" s="4">
        <v>184</v>
      </c>
      <c r="Z110" s="4">
        <v>158</v>
      </c>
      <c r="AA110" s="4">
        <v>160</v>
      </c>
      <c r="AB110" s="4">
        <v>3</v>
      </c>
      <c r="AC110" s="4">
        <v>3</v>
      </c>
      <c r="AD110" s="4">
        <v>4</v>
      </c>
      <c r="AE110" s="4">
        <v>4</v>
      </c>
      <c r="AF110" s="4">
        <v>1</v>
      </c>
      <c r="AG110" s="4">
        <v>1</v>
      </c>
      <c r="AH110" s="4">
        <v>1</v>
      </c>
      <c r="AI110" s="4">
        <v>1</v>
      </c>
      <c r="AJ110" s="4">
        <v>0</v>
      </c>
      <c r="AK110" s="4">
        <v>0</v>
      </c>
      <c r="AL110" s="4">
        <v>2</v>
      </c>
      <c r="AM110" s="4">
        <v>2</v>
      </c>
      <c r="AN110" s="4">
        <v>0</v>
      </c>
      <c r="AO110" s="4">
        <v>0</v>
      </c>
      <c r="AP110" s="3" t="s">
        <v>58</v>
      </c>
      <c r="AQ110" s="3" t="s">
        <v>86</v>
      </c>
      <c r="AR110" s="6" t="str">
        <f>HYPERLINK("http://catalog.hathitrust.org/Record/000204159","HathiTrust Record")</f>
        <v>HathiTrust Record</v>
      </c>
      <c r="AS110" s="6" t="str">
        <f>HYPERLINK("https://creighton-primo.hosted.exlibrisgroup.com/primo-explore/search?tab=default_tab&amp;search_scope=EVERYTHING&amp;vid=01CRU&amp;lang=en_US&amp;offset=0&amp;query=any,contains,991000299549702656","Catalog Record")</f>
        <v>Catalog Record</v>
      </c>
      <c r="AT110" s="6" t="str">
        <f>HYPERLINK("http://www.worldcat.org/oclc/10020630","WorldCat Record")</f>
        <v>WorldCat Record</v>
      </c>
      <c r="AU110" s="3" t="s">
        <v>1563</v>
      </c>
      <c r="AV110" s="3" t="s">
        <v>1564</v>
      </c>
      <c r="AW110" s="3" t="s">
        <v>1565</v>
      </c>
      <c r="AX110" s="3" t="s">
        <v>1565</v>
      </c>
      <c r="AY110" s="3" t="s">
        <v>1566</v>
      </c>
      <c r="AZ110" s="3" t="s">
        <v>74</v>
      </c>
      <c r="BB110" s="3" t="s">
        <v>1567</v>
      </c>
      <c r="BC110" s="3" t="s">
        <v>1568</v>
      </c>
      <c r="BD110" s="3" t="s">
        <v>1569</v>
      </c>
    </row>
    <row r="111" spans="1:56" ht="42.75" customHeight="1" x14ac:dyDescent="0.25">
      <c r="A111" s="7" t="s">
        <v>58</v>
      </c>
      <c r="B111" s="2" t="s">
        <v>1570</v>
      </c>
      <c r="C111" s="2" t="s">
        <v>1571</v>
      </c>
      <c r="D111" s="2" t="s">
        <v>1572</v>
      </c>
      <c r="F111" s="3" t="s">
        <v>58</v>
      </c>
      <c r="G111" s="3" t="s">
        <v>59</v>
      </c>
      <c r="H111" s="3" t="s">
        <v>58</v>
      </c>
      <c r="I111" s="3" t="s">
        <v>58</v>
      </c>
      <c r="J111" s="3" t="s">
        <v>60</v>
      </c>
      <c r="L111" s="2" t="s">
        <v>1573</v>
      </c>
      <c r="M111" s="3" t="s">
        <v>1574</v>
      </c>
      <c r="O111" s="3" t="s">
        <v>64</v>
      </c>
      <c r="P111" s="3" t="s">
        <v>208</v>
      </c>
      <c r="R111" s="3" t="s">
        <v>67</v>
      </c>
      <c r="S111" s="4">
        <v>14</v>
      </c>
      <c r="T111" s="4">
        <v>14</v>
      </c>
      <c r="U111" s="5" t="s">
        <v>1575</v>
      </c>
      <c r="V111" s="5" t="s">
        <v>1575</v>
      </c>
      <c r="W111" s="5" t="s">
        <v>1576</v>
      </c>
      <c r="X111" s="5" t="s">
        <v>1576</v>
      </c>
      <c r="Y111" s="4">
        <v>279</v>
      </c>
      <c r="Z111" s="4">
        <v>229</v>
      </c>
      <c r="AA111" s="4">
        <v>296</v>
      </c>
      <c r="AB111" s="4">
        <v>2</v>
      </c>
      <c r="AC111" s="4">
        <v>2</v>
      </c>
      <c r="AD111" s="4">
        <v>5</v>
      </c>
      <c r="AE111" s="4">
        <v>7</v>
      </c>
      <c r="AF111" s="4">
        <v>2</v>
      </c>
      <c r="AG111" s="4">
        <v>2</v>
      </c>
      <c r="AH111" s="4">
        <v>2</v>
      </c>
      <c r="AI111" s="4">
        <v>2</v>
      </c>
      <c r="AJ111" s="4">
        <v>1</v>
      </c>
      <c r="AK111" s="4">
        <v>3</v>
      </c>
      <c r="AL111" s="4">
        <v>1</v>
      </c>
      <c r="AM111" s="4">
        <v>1</v>
      </c>
      <c r="AN111" s="4">
        <v>0</v>
      </c>
      <c r="AO111" s="4">
        <v>0</v>
      </c>
      <c r="AP111" s="3" t="s">
        <v>58</v>
      </c>
      <c r="AQ111" s="3" t="s">
        <v>86</v>
      </c>
      <c r="AR111" s="6" t="str">
        <f>HYPERLINK("http://catalog.hathitrust.org/Record/000224529","HathiTrust Record")</f>
        <v>HathiTrust Record</v>
      </c>
      <c r="AS111" s="6" t="str">
        <f>HYPERLINK("https://creighton-primo.hosted.exlibrisgroup.com/primo-explore/search?tab=default_tab&amp;search_scope=EVERYTHING&amp;vid=01CRU&amp;lang=en_US&amp;offset=0&amp;query=any,contains,991005141279702656","Catalog Record")</f>
        <v>Catalog Record</v>
      </c>
      <c r="AT111" s="6" t="str">
        <f>HYPERLINK("http://www.worldcat.org/oclc/7614508","WorldCat Record")</f>
        <v>WorldCat Record</v>
      </c>
      <c r="AU111" s="3" t="s">
        <v>1577</v>
      </c>
      <c r="AV111" s="3" t="s">
        <v>1578</v>
      </c>
      <c r="AW111" s="3" t="s">
        <v>1579</v>
      </c>
      <c r="AX111" s="3" t="s">
        <v>1579</v>
      </c>
      <c r="AY111" s="3" t="s">
        <v>1580</v>
      </c>
      <c r="AZ111" s="3" t="s">
        <v>74</v>
      </c>
      <c r="BB111" s="3" t="s">
        <v>1581</v>
      </c>
      <c r="BC111" s="3" t="s">
        <v>1582</v>
      </c>
      <c r="BD111" s="3" t="s">
        <v>1583</v>
      </c>
    </row>
    <row r="112" spans="1:56" ht="42.75" customHeight="1" x14ac:dyDescent="0.25">
      <c r="A112" s="7" t="s">
        <v>58</v>
      </c>
      <c r="B112" s="2" t="s">
        <v>1584</v>
      </c>
      <c r="C112" s="2" t="s">
        <v>1585</v>
      </c>
      <c r="D112" s="2" t="s">
        <v>1586</v>
      </c>
      <c r="F112" s="3" t="s">
        <v>58</v>
      </c>
      <c r="G112" s="3" t="s">
        <v>59</v>
      </c>
      <c r="H112" s="3" t="s">
        <v>58</v>
      </c>
      <c r="I112" s="3" t="s">
        <v>58</v>
      </c>
      <c r="J112" s="3" t="s">
        <v>60</v>
      </c>
      <c r="K112" s="2" t="s">
        <v>1587</v>
      </c>
      <c r="L112" s="2" t="s">
        <v>1588</v>
      </c>
      <c r="M112" s="3" t="s">
        <v>586</v>
      </c>
      <c r="O112" s="3" t="s">
        <v>64</v>
      </c>
      <c r="P112" s="3" t="s">
        <v>316</v>
      </c>
      <c r="R112" s="3" t="s">
        <v>67</v>
      </c>
      <c r="S112" s="4">
        <v>9</v>
      </c>
      <c r="T112" s="4">
        <v>9</v>
      </c>
      <c r="U112" s="5" t="s">
        <v>1277</v>
      </c>
      <c r="V112" s="5" t="s">
        <v>1277</v>
      </c>
      <c r="W112" s="5" t="s">
        <v>1589</v>
      </c>
      <c r="X112" s="5" t="s">
        <v>1589</v>
      </c>
      <c r="Y112" s="4">
        <v>171</v>
      </c>
      <c r="Z112" s="4">
        <v>135</v>
      </c>
      <c r="AA112" s="4">
        <v>136</v>
      </c>
      <c r="AB112" s="4">
        <v>2</v>
      </c>
      <c r="AC112" s="4">
        <v>2</v>
      </c>
      <c r="AD112" s="4">
        <v>4</v>
      </c>
      <c r="AE112" s="4">
        <v>4</v>
      </c>
      <c r="AF112" s="4">
        <v>1</v>
      </c>
      <c r="AG112" s="4">
        <v>1</v>
      </c>
      <c r="AH112" s="4">
        <v>2</v>
      </c>
      <c r="AI112" s="4">
        <v>2</v>
      </c>
      <c r="AJ112" s="4">
        <v>2</v>
      </c>
      <c r="AK112" s="4">
        <v>2</v>
      </c>
      <c r="AL112" s="4">
        <v>1</v>
      </c>
      <c r="AM112" s="4">
        <v>1</v>
      </c>
      <c r="AN112" s="4">
        <v>0</v>
      </c>
      <c r="AO112" s="4">
        <v>0</v>
      </c>
      <c r="AP112" s="3" t="s">
        <v>58</v>
      </c>
      <c r="AQ112" s="3" t="s">
        <v>86</v>
      </c>
      <c r="AR112" s="6" t="str">
        <f>HYPERLINK("http://catalog.hathitrust.org/Record/002469768","HathiTrust Record")</f>
        <v>HathiTrust Record</v>
      </c>
      <c r="AS112" s="6" t="str">
        <f>HYPERLINK("https://creighton-primo.hosted.exlibrisgroup.com/primo-explore/search?tab=default_tab&amp;search_scope=EVERYTHING&amp;vid=01CRU&amp;lang=en_US&amp;offset=0&amp;query=any,contains,991001855619702656","Catalog Record")</f>
        <v>Catalog Record</v>
      </c>
      <c r="AT112" s="6" t="str">
        <f>HYPERLINK("http://www.worldcat.org/oclc/23286836","WorldCat Record")</f>
        <v>WorldCat Record</v>
      </c>
      <c r="AU112" s="3" t="s">
        <v>1590</v>
      </c>
      <c r="AV112" s="3" t="s">
        <v>1591</v>
      </c>
      <c r="AW112" s="3" t="s">
        <v>1592</v>
      </c>
      <c r="AX112" s="3" t="s">
        <v>1592</v>
      </c>
      <c r="AY112" s="3" t="s">
        <v>1593</v>
      </c>
      <c r="AZ112" s="3" t="s">
        <v>74</v>
      </c>
      <c r="BB112" s="3" t="s">
        <v>1594</v>
      </c>
      <c r="BC112" s="3" t="s">
        <v>1595</v>
      </c>
      <c r="BD112" s="3" t="s">
        <v>1596</v>
      </c>
    </row>
    <row r="113" spans="1:56" ht="42.75" customHeight="1" x14ac:dyDescent="0.25">
      <c r="A113" s="7" t="s">
        <v>58</v>
      </c>
      <c r="B113" s="2" t="s">
        <v>1597</v>
      </c>
      <c r="C113" s="2" t="s">
        <v>1598</v>
      </c>
      <c r="D113" s="2" t="s">
        <v>1599</v>
      </c>
      <c r="F113" s="3" t="s">
        <v>58</v>
      </c>
      <c r="G113" s="3" t="s">
        <v>59</v>
      </c>
      <c r="H113" s="3" t="s">
        <v>58</v>
      </c>
      <c r="I113" s="3" t="s">
        <v>58</v>
      </c>
      <c r="J113" s="3" t="s">
        <v>60</v>
      </c>
      <c r="K113" s="2" t="s">
        <v>1600</v>
      </c>
      <c r="L113" s="2" t="s">
        <v>1601</v>
      </c>
      <c r="M113" s="3" t="s">
        <v>238</v>
      </c>
      <c r="O113" s="3" t="s">
        <v>64</v>
      </c>
      <c r="P113" s="3" t="s">
        <v>83</v>
      </c>
      <c r="R113" s="3" t="s">
        <v>67</v>
      </c>
      <c r="S113" s="4">
        <v>5</v>
      </c>
      <c r="T113" s="4">
        <v>5</v>
      </c>
      <c r="U113" s="5" t="s">
        <v>1562</v>
      </c>
      <c r="V113" s="5" t="s">
        <v>1562</v>
      </c>
      <c r="W113" s="5" t="s">
        <v>69</v>
      </c>
      <c r="X113" s="5" t="s">
        <v>69</v>
      </c>
      <c r="Y113" s="4">
        <v>252</v>
      </c>
      <c r="Z113" s="4">
        <v>199</v>
      </c>
      <c r="AA113" s="4">
        <v>206</v>
      </c>
      <c r="AB113" s="4">
        <v>1</v>
      </c>
      <c r="AC113" s="4">
        <v>1</v>
      </c>
      <c r="AD113" s="4">
        <v>3</v>
      </c>
      <c r="AE113" s="4">
        <v>3</v>
      </c>
      <c r="AF113" s="4">
        <v>2</v>
      </c>
      <c r="AG113" s="4">
        <v>2</v>
      </c>
      <c r="AH113" s="4">
        <v>1</v>
      </c>
      <c r="AI113" s="4">
        <v>1</v>
      </c>
      <c r="AJ113" s="4">
        <v>1</v>
      </c>
      <c r="AK113" s="4">
        <v>1</v>
      </c>
      <c r="AL113" s="4">
        <v>0</v>
      </c>
      <c r="AM113" s="4">
        <v>0</v>
      </c>
      <c r="AN113" s="4">
        <v>0</v>
      </c>
      <c r="AO113" s="4">
        <v>0</v>
      </c>
      <c r="AP113" s="3" t="s">
        <v>58</v>
      </c>
      <c r="AQ113" s="3" t="s">
        <v>86</v>
      </c>
      <c r="AR113" s="6" t="str">
        <f>HYPERLINK("http://catalog.hathitrust.org/Record/000036705","HathiTrust Record")</f>
        <v>HathiTrust Record</v>
      </c>
      <c r="AS113" s="6" t="str">
        <f>HYPERLINK("https://creighton-primo.hosted.exlibrisgroup.com/primo-explore/search?tab=default_tab&amp;search_scope=EVERYTHING&amp;vid=01CRU&amp;lang=en_US&amp;offset=0&amp;query=any,contains,991005257579702656","Catalog Record")</f>
        <v>Catalog Record</v>
      </c>
      <c r="AT113" s="6" t="str">
        <f>HYPERLINK("http://www.worldcat.org/oclc/4883790","WorldCat Record")</f>
        <v>WorldCat Record</v>
      </c>
      <c r="AU113" s="3" t="s">
        <v>1602</v>
      </c>
      <c r="AV113" s="3" t="s">
        <v>1603</v>
      </c>
      <c r="AW113" s="3" t="s">
        <v>1604</v>
      </c>
      <c r="AX113" s="3" t="s">
        <v>1604</v>
      </c>
      <c r="AY113" s="3" t="s">
        <v>1605</v>
      </c>
      <c r="AZ113" s="3" t="s">
        <v>74</v>
      </c>
      <c r="BB113" s="3" t="s">
        <v>1606</v>
      </c>
      <c r="BC113" s="3" t="s">
        <v>1607</v>
      </c>
      <c r="BD113" s="3" t="s">
        <v>1608</v>
      </c>
    </row>
    <row r="114" spans="1:56" ht="42.75" customHeight="1" x14ac:dyDescent="0.25">
      <c r="A114" s="7" t="s">
        <v>58</v>
      </c>
      <c r="B114" s="2" t="s">
        <v>1609</v>
      </c>
      <c r="C114" s="2" t="s">
        <v>1610</v>
      </c>
      <c r="D114" s="2" t="s">
        <v>1611</v>
      </c>
      <c r="F114" s="3" t="s">
        <v>58</v>
      </c>
      <c r="G114" s="3" t="s">
        <v>59</v>
      </c>
      <c r="H114" s="3" t="s">
        <v>58</v>
      </c>
      <c r="I114" s="3" t="s">
        <v>58</v>
      </c>
      <c r="J114" s="3" t="s">
        <v>60</v>
      </c>
      <c r="L114" s="2" t="s">
        <v>1612</v>
      </c>
      <c r="M114" s="3" t="s">
        <v>942</v>
      </c>
      <c r="N114" s="2" t="s">
        <v>1613</v>
      </c>
      <c r="O114" s="3" t="s">
        <v>64</v>
      </c>
      <c r="P114" s="3" t="s">
        <v>83</v>
      </c>
      <c r="R114" s="3" t="s">
        <v>67</v>
      </c>
      <c r="S114" s="4">
        <v>1</v>
      </c>
      <c r="T114" s="4">
        <v>1</v>
      </c>
      <c r="U114" s="5" t="s">
        <v>1614</v>
      </c>
      <c r="V114" s="5" t="s">
        <v>1614</v>
      </c>
      <c r="W114" s="5" t="s">
        <v>1615</v>
      </c>
      <c r="X114" s="5" t="s">
        <v>1615</v>
      </c>
      <c r="Y114" s="4">
        <v>230</v>
      </c>
      <c r="Z114" s="4">
        <v>191</v>
      </c>
      <c r="AA114" s="4">
        <v>193</v>
      </c>
      <c r="AB114" s="4">
        <v>2</v>
      </c>
      <c r="AC114" s="4">
        <v>2</v>
      </c>
      <c r="AD114" s="4">
        <v>7</v>
      </c>
      <c r="AE114" s="4">
        <v>7</v>
      </c>
      <c r="AF114" s="4">
        <v>3</v>
      </c>
      <c r="AG114" s="4">
        <v>3</v>
      </c>
      <c r="AH114" s="4">
        <v>2</v>
      </c>
      <c r="AI114" s="4">
        <v>2</v>
      </c>
      <c r="AJ114" s="4">
        <v>1</v>
      </c>
      <c r="AK114" s="4">
        <v>1</v>
      </c>
      <c r="AL114" s="4">
        <v>1</v>
      </c>
      <c r="AM114" s="4">
        <v>1</v>
      </c>
      <c r="AN114" s="4">
        <v>0</v>
      </c>
      <c r="AO114" s="4">
        <v>0</v>
      </c>
      <c r="AP114" s="3" t="s">
        <v>58</v>
      </c>
      <c r="AQ114" s="3" t="s">
        <v>86</v>
      </c>
      <c r="AR114" s="6" t="str">
        <f>HYPERLINK("http://catalog.hathitrust.org/Record/004094910","HathiTrust Record")</f>
        <v>HathiTrust Record</v>
      </c>
      <c r="AS114" s="6" t="str">
        <f>HYPERLINK("https://creighton-primo.hosted.exlibrisgroup.com/primo-explore/search?tab=default_tab&amp;search_scope=EVERYTHING&amp;vid=01CRU&amp;lang=en_US&amp;offset=0&amp;query=any,contains,991003780839702656","Catalog Record")</f>
        <v>Catalog Record</v>
      </c>
      <c r="AT114" s="6" t="str">
        <f>HYPERLINK("http://www.worldcat.org/oclc/41018367","WorldCat Record")</f>
        <v>WorldCat Record</v>
      </c>
      <c r="AU114" s="3" t="s">
        <v>1616</v>
      </c>
      <c r="AV114" s="3" t="s">
        <v>1617</v>
      </c>
      <c r="AW114" s="3" t="s">
        <v>1618</v>
      </c>
      <c r="AX114" s="3" t="s">
        <v>1618</v>
      </c>
      <c r="AY114" s="3" t="s">
        <v>1619</v>
      </c>
      <c r="AZ114" s="3" t="s">
        <v>74</v>
      </c>
      <c r="BB114" s="3" t="s">
        <v>1620</v>
      </c>
      <c r="BC114" s="3" t="s">
        <v>1621</v>
      </c>
      <c r="BD114" s="3" t="s">
        <v>1622</v>
      </c>
    </row>
    <row r="115" spans="1:56" ht="42.75" customHeight="1" x14ac:dyDescent="0.25">
      <c r="A115" s="7" t="s">
        <v>58</v>
      </c>
      <c r="B115" s="2" t="s">
        <v>1623</v>
      </c>
      <c r="C115" s="2" t="s">
        <v>1624</v>
      </c>
      <c r="D115" s="2" t="s">
        <v>1625</v>
      </c>
      <c r="F115" s="3" t="s">
        <v>58</v>
      </c>
      <c r="G115" s="3" t="s">
        <v>59</v>
      </c>
      <c r="H115" s="3" t="s">
        <v>58</v>
      </c>
      <c r="I115" s="3" t="s">
        <v>58</v>
      </c>
      <c r="J115" s="3" t="s">
        <v>60</v>
      </c>
      <c r="L115" s="2" t="s">
        <v>1626</v>
      </c>
      <c r="M115" s="3" t="s">
        <v>371</v>
      </c>
      <c r="O115" s="3" t="s">
        <v>64</v>
      </c>
      <c r="P115" s="3" t="s">
        <v>99</v>
      </c>
      <c r="R115" s="3" t="s">
        <v>67</v>
      </c>
      <c r="S115" s="4">
        <v>7</v>
      </c>
      <c r="T115" s="4">
        <v>7</v>
      </c>
      <c r="U115" s="5" t="s">
        <v>1627</v>
      </c>
      <c r="V115" s="5" t="s">
        <v>1627</v>
      </c>
      <c r="W115" s="5" t="s">
        <v>1628</v>
      </c>
      <c r="X115" s="5" t="s">
        <v>1628</v>
      </c>
      <c r="Y115" s="4">
        <v>296</v>
      </c>
      <c r="Z115" s="4">
        <v>260</v>
      </c>
      <c r="AA115" s="4">
        <v>260</v>
      </c>
      <c r="AB115" s="4">
        <v>2</v>
      </c>
      <c r="AC115" s="4">
        <v>2</v>
      </c>
      <c r="AD115" s="4">
        <v>4</v>
      </c>
      <c r="AE115" s="4">
        <v>4</v>
      </c>
      <c r="AF115" s="4">
        <v>1</v>
      </c>
      <c r="AG115" s="4">
        <v>1</v>
      </c>
      <c r="AH115" s="4">
        <v>2</v>
      </c>
      <c r="AI115" s="4">
        <v>2</v>
      </c>
      <c r="AJ115" s="4">
        <v>0</v>
      </c>
      <c r="AK115" s="4">
        <v>0</v>
      </c>
      <c r="AL115" s="4">
        <v>1</v>
      </c>
      <c r="AM115" s="4">
        <v>1</v>
      </c>
      <c r="AN115" s="4">
        <v>0</v>
      </c>
      <c r="AO115" s="4">
        <v>0</v>
      </c>
      <c r="AP115" s="3" t="s">
        <v>58</v>
      </c>
      <c r="AQ115" s="3" t="s">
        <v>58</v>
      </c>
      <c r="AS115" s="6" t="str">
        <f>HYPERLINK("https://creighton-primo.hosted.exlibrisgroup.com/primo-explore/search?tab=default_tab&amp;search_scope=EVERYTHING&amp;vid=01CRU&amp;lang=en_US&amp;offset=0&amp;query=any,contains,991000765219702656","Catalog Record")</f>
        <v>Catalog Record</v>
      </c>
      <c r="AT115" s="6" t="str">
        <f>HYPERLINK("http://www.worldcat.org/oclc/12985741","WorldCat Record")</f>
        <v>WorldCat Record</v>
      </c>
      <c r="AU115" s="3" t="s">
        <v>1629</v>
      </c>
      <c r="AV115" s="3" t="s">
        <v>1630</v>
      </c>
      <c r="AW115" s="3" t="s">
        <v>1631</v>
      </c>
      <c r="AX115" s="3" t="s">
        <v>1631</v>
      </c>
      <c r="AY115" s="3" t="s">
        <v>1632</v>
      </c>
      <c r="AZ115" s="3" t="s">
        <v>74</v>
      </c>
      <c r="BB115" s="3" t="s">
        <v>1633</v>
      </c>
      <c r="BC115" s="3" t="s">
        <v>1634</v>
      </c>
      <c r="BD115" s="3" t="s">
        <v>1635</v>
      </c>
    </row>
    <row r="116" spans="1:56" ht="42.75" customHeight="1" x14ac:dyDescent="0.25">
      <c r="A116" s="7" t="s">
        <v>58</v>
      </c>
      <c r="B116" s="2" t="s">
        <v>1636</v>
      </c>
      <c r="C116" s="2" t="s">
        <v>1637</v>
      </c>
      <c r="D116" s="2" t="s">
        <v>1638</v>
      </c>
      <c r="F116" s="3" t="s">
        <v>58</v>
      </c>
      <c r="G116" s="3" t="s">
        <v>59</v>
      </c>
      <c r="H116" s="3" t="s">
        <v>58</v>
      </c>
      <c r="I116" s="3" t="s">
        <v>58</v>
      </c>
      <c r="J116" s="3" t="s">
        <v>60</v>
      </c>
      <c r="K116" s="2" t="s">
        <v>1639</v>
      </c>
      <c r="L116" s="2" t="s">
        <v>1640</v>
      </c>
      <c r="M116" s="3" t="s">
        <v>1574</v>
      </c>
      <c r="O116" s="3" t="s">
        <v>64</v>
      </c>
      <c r="P116" s="3" t="s">
        <v>208</v>
      </c>
      <c r="R116" s="3" t="s">
        <v>67</v>
      </c>
      <c r="S116" s="4">
        <v>3</v>
      </c>
      <c r="T116" s="4">
        <v>3</v>
      </c>
      <c r="U116" s="5" t="s">
        <v>1562</v>
      </c>
      <c r="V116" s="5" t="s">
        <v>1562</v>
      </c>
      <c r="W116" s="5" t="s">
        <v>1641</v>
      </c>
      <c r="X116" s="5" t="s">
        <v>1641</v>
      </c>
      <c r="Y116" s="4">
        <v>207</v>
      </c>
      <c r="Z116" s="4">
        <v>168</v>
      </c>
      <c r="AA116" s="4">
        <v>169</v>
      </c>
      <c r="AB116" s="4">
        <v>2</v>
      </c>
      <c r="AC116" s="4">
        <v>2</v>
      </c>
      <c r="AD116" s="4">
        <v>4</v>
      </c>
      <c r="AE116" s="4">
        <v>4</v>
      </c>
      <c r="AF116" s="4">
        <v>1</v>
      </c>
      <c r="AG116" s="4">
        <v>1</v>
      </c>
      <c r="AH116" s="4">
        <v>2</v>
      </c>
      <c r="AI116" s="4">
        <v>2</v>
      </c>
      <c r="AJ116" s="4">
        <v>1</v>
      </c>
      <c r="AK116" s="4">
        <v>1</v>
      </c>
      <c r="AL116" s="4">
        <v>1</v>
      </c>
      <c r="AM116" s="4">
        <v>1</v>
      </c>
      <c r="AN116" s="4">
        <v>0</v>
      </c>
      <c r="AO116" s="4">
        <v>0</v>
      </c>
      <c r="AP116" s="3" t="s">
        <v>58</v>
      </c>
      <c r="AQ116" s="3" t="s">
        <v>58</v>
      </c>
      <c r="AS116" s="6" t="str">
        <f>HYPERLINK("https://creighton-primo.hosted.exlibrisgroup.com/primo-explore/search?tab=default_tab&amp;search_scope=EVERYTHING&amp;vid=01CRU&amp;lang=en_US&amp;offset=0&amp;query=any,contains,991005204499702656","Catalog Record")</f>
        <v>Catalog Record</v>
      </c>
      <c r="AT116" s="6" t="str">
        <f>HYPERLINK("http://www.worldcat.org/oclc/8111738","WorldCat Record")</f>
        <v>WorldCat Record</v>
      </c>
      <c r="AU116" s="3" t="s">
        <v>1642</v>
      </c>
      <c r="AV116" s="3" t="s">
        <v>1643</v>
      </c>
      <c r="AW116" s="3" t="s">
        <v>1644</v>
      </c>
      <c r="AX116" s="3" t="s">
        <v>1644</v>
      </c>
      <c r="AY116" s="3" t="s">
        <v>1645</v>
      </c>
      <c r="AZ116" s="3" t="s">
        <v>74</v>
      </c>
      <c r="BB116" s="3" t="s">
        <v>1646</v>
      </c>
      <c r="BC116" s="3" t="s">
        <v>1647</v>
      </c>
      <c r="BD116" s="3" t="s">
        <v>1648</v>
      </c>
    </row>
    <row r="117" spans="1:56" ht="42.75" customHeight="1" x14ac:dyDescent="0.25">
      <c r="A117" s="7" t="s">
        <v>58</v>
      </c>
      <c r="B117" s="2" t="s">
        <v>1649</v>
      </c>
      <c r="C117" s="2" t="s">
        <v>1650</v>
      </c>
      <c r="D117" s="2" t="s">
        <v>1651</v>
      </c>
      <c r="F117" s="3" t="s">
        <v>58</v>
      </c>
      <c r="G117" s="3" t="s">
        <v>59</v>
      </c>
      <c r="H117" s="3" t="s">
        <v>58</v>
      </c>
      <c r="I117" s="3" t="s">
        <v>58</v>
      </c>
      <c r="J117" s="3" t="s">
        <v>60</v>
      </c>
      <c r="L117" s="2" t="s">
        <v>1652</v>
      </c>
      <c r="M117" s="3" t="s">
        <v>534</v>
      </c>
      <c r="N117" s="2" t="s">
        <v>1653</v>
      </c>
      <c r="O117" s="3" t="s">
        <v>64</v>
      </c>
      <c r="P117" s="3" t="s">
        <v>1654</v>
      </c>
      <c r="Q117" s="2" t="s">
        <v>1655</v>
      </c>
      <c r="R117" s="3" t="s">
        <v>67</v>
      </c>
      <c r="S117" s="4">
        <v>8</v>
      </c>
      <c r="T117" s="4">
        <v>8</v>
      </c>
      <c r="U117" s="5" t="s">
        <v>1656</v>
      </c>
      <c r="V117" s="5" t="s">
        <v>1656</v>
      </c>
      <c r="W117" s="5" t="s">
        <v>1657</v>
      </c>
      <c r="X117" s="5" t="s">
        <v>1657</v>
      </c>
      <c r="Y117" s="4">
        <v>116</v>
      </c>
      <c r="Z117" s="4">
        <v>100</v>
      </c>
      <c r="AA117" s="4">
        <v>105</v>
      </c>
      <c r="AB117" s="4">
        <v>2</v>
      </c>
      <c r="AC117" s="4">
        <v>2</v>
      </c>
      <c r="AD117" s="4">
        <v>3</v>
      </c>
      <c r="AE117" s="4">
        <v>3</v>
      </c>
      <c r="AF117" s="4">
        <v>1</v>
      </c>
      <c r="AG117" s="4">
        <v>1</v>
      </c>
      <c r="AH117" s="4">
        <v>0</v>
      </c>
      <c r="AI117" s="4">
        <v>0</v>
      </c>
      <c r="AJ117" s="4">
        <v>2</v>
      </c>
      <c r="AK117" s="4">
        <v>2</v>
      </c>
      <c r="AL117" s="4">
        <v>1</v>
      </c>
      <c r="AM117" s="4">
        <v>1</v>
      </c>
      <c r="AN117" s="4">
        <v>0</v>
      </c>
      <c r="AO117" s="4">
        <v>0</v>
      </c>
      <c r="AP117" s="3" t="s">
        <v>58</v>
      </c>
      <c r="AQ117" s="3" t="s">
        <v>58</v>
      </c>
      <c r="AS117" s="6" t="str">
        <f>HYPERLINK("https://creighton-primo.hosted.exlibrisgroup.com/primo-explore/search?tab=default_tab&amp;search_scope=EVERYTHING&amp;vid=01CRU&amp;lang=en_US&amp;offset=0&amp;query=any,contains,991001579629702656","Catalog Record")</f>
        <v>Catalog Record</v>
      </c>
      <c r="AT117" s="6" t="str">
        <f>HYPERLINK("http://www.worldcat.org/oclc/20463225","WorldCat Record")</f>
        <v>WorldCat Record</v>
      </c>
      <c r="AU117" s="3" t="s">
        <v>1658</v>
      </c>
      <c r="AV117" s="3" t="s">
        <v>1659</v>
      </c>
      <c r="AW117" s="3" t="s">
        <v>1660</v>
      </c>
      <c r="AX117" s="3" t="s">
        <v>1660</v>
      </c>
      <c r="AY117" s="3" t="s">
        <v>1661</v>
      </c>
      <c r="AZ117" s="3" t="s">
        <v>74</v>
      </c>
      <c r="BB117" s="3" t="s">
        <v>1662</v>
      </c>
      <c r="BC117" s="3" t="s">
        <v>1663</v>
      </c>
      <c r="BD117" s="3" t="s">
        <v>1664</v>
      </c>
    </row>
    <row r="118" spans="1:56" ht="42.75" customHeight="1" x14ac:dyDescent="0.25">
      <c r="A118" s="7" t="s">
        <v>58</v>
      </c>
      <c r="B118" s="2" t="s">
        <v>1665</v>
      </c>
      <c r="C118" s="2" t="s">
        <v>1666</v>
      </c>
      <c r="D118" s="2" t="s">
        <v>1667</v>
      </c>
      <c r="F118" s="3" t="s">
        <v>58</v>
      </c>
      <c r="G118" s="3" t="s">
        <v>59</v>
      </c>
      <c r="H118" s="3" t="s">
        <v>58</v>
      </c>
      <c r="I118" s="3" t="s">
        <v>58</v>
      </c>
      <c r="J118" s="3" t="s">
        <v>60</v>
      </c>
      <c r="K118" s="2" t="s">
        <v>1668</v>
      </c>
      <c r="L118" s="2" t="s">
        <v>1669</v>
      </c>
      <c r="M118" s="3" t="s">
        <v>98</v>
      </c>
      <c r="O118" s="3" t="s">
        <v>64</v>
      </c>
      <c r="P118" s="3" t="s">
        <v>115</v>
      </c>
      <c r="Q118" s="2" t="s">
        <v>1670</v>
      </c>
      <c r="R118" s="3" t="s">
        <v>67</v>
      </c>
      <c r="S118" s="4">
        <v>12</v>
      </c>
      <c r="T118" s="4">
        <v>12</v>
      </c>
      <c r="U118" s="5" t="s">
        <v>1671</v>
      </c>
      <c r="V118" s="5" t="s">
        <v>1671</v>
      </c>
      <c r="W118" s="5" t="s">
        <v>69</v>
      </c>
      <c r="X118" s="5" t="s">
        <v>69</v>
      </c>
      <c r="Y118" s="4">
        <v>664</v>
      </c>
      <c r="Z118" s="4">
        <v>619</v>
      </c>
      <c r="AA118" s="4">
        <v>757</v>
      </c>
      <c r="AB118" s="4">
        <v>6</v>
      </c>
      <c r="AC118" s="4">
        <v>6</v>
      </c>
      <c r="AD118" s="4">
        <v>3</v>
      </c>
      <c r="AE118" s="4">
        <v>3</v>
      </c>
      <c r="AF118" s="4">
        <v>1</v>
      </c>
      <c r="AG118" s="4">
        <v>1</v>
      </c>
      <c r="AH118" s="4">
        <v>1</v>
      </c>
      <c r="AI118" s="4">
        <v>1</v>
      </c>
      <c r="AJ118" s="4">
        <v>2</v>
      </c>
      <c r="AK118" s="4">
        <v>2</v>
      </c>
      <c r="AL118" s="4">
        <v>0</v>
      </c>
      <c r="AM118" s="4">
        <v>0</v>
      </c>
      <c r="AN118" s="4">
        <v>0</v>
      </c>
      <c r="AO118" s="4">
        <v>0</v>
      </c>
      <c r="AP118" s="3" t="s">
        <v>58</v>
      </c>
      <c r="AQ118" s="3" t="s">
        <v>58</v>
      </c>
      <c r="AS118" s="6" t="str">
        <f>HYPERLINK("https://creighton-primo.hosted.exlibrisgroup.com/primo-explore/search?tab=default_tab&amp;search_scope=EVERYTHING&amp;vid=01CRU&amp;lang=en_US&amp;offset=0&amp;query=any,contains,991001219669702656","Catalog Record")</f>
        <v>Catalog Record</v>
      </c>
      <c r="AT118" s="6" t="str">
        <f>HYPERLINK("http://www.worldcat.org/oclc/17441611","WorldCat Record")</f>
        <v>WorldCat Record</v>
      </c>
      <c r="AU118" s="3" t="s">
        <v>1672</v>
      </c>
      <c r="AV118" s="3" t="s">
        <v>1673</v>
      </c>
      <c r="AW118" s="3" t="s">
        <v>1674</v>
      </c>
      <c r="AX118" s="3" t="s">
        <v>1674</v>
      </c>
      <c r="AY118" s="3" t="s">
        <v>1675</v>
      </c>
      <c r="AZ118" s="3" t="s">
        <v>74</v>
      </c>
      <c r="BB118" s="3" t="s">
        <v>1676</v>
      </c>
      <c r="BC118" s="3" t="s">
        <v>1677</v>
      </c>
      <c r="BD118" s="3" t="s">
        <v>1678</v>
      </c>
    </row>
    <row r="119" spans="1:56" ht="42.75" customHeight="1" x14ac:dyDescent="0.25">
      <c r="A119" s="7" t="s">
        <v>58</v>
      </c>
      <c r="B119" s="2" t="s">
        <v>1679</v>
      </c>
      <c r="C119" s="2" t="s">
        <v>1680</v>
      </c>
      <c r="D119" s="2" t="s">
        <v>1681</v>
      </c>
      <c r="F119" s="3" t="s">
        <v>58</v>
      </c>
      <c r="G119" s="3" t="s">
        <v>59</v>
      </c>
      <c r="H119" s="3" t="s">
        <v>86</v>
      </c>
      <c r="I119" s="3" t="s">
        <v>58</v>
      </c>
      <c r="J119" s="3" t="s">
        <v>60</v>
      </c>
      <c r="L119" s="2" t="s">
        <v>1682</v>
      </c>
      <c r="M119" s="3" t="s">
        <v>63</v>
      </c>
      <c r="O119" s="3" t="s">
        <v>64</v>
      </c>
      <c r="P119" s="3" t="s">
        <v>115</v>
      </c>
      <c r="R119" s="3" t="s">
        <v>67</v>
      </c>
      <c r="S119" s="4">
        <v>5</v>
      </c>
      <c r="T119" s="4">
        <v>5</v>
      </c>
      <c r="U119" s="5" t="s">
        <v>1683</v>
      </c>
      <c r="V119" s="5" t="s">
        <v>1683</v>
      </c>
      <c r="W119" s="5" t="s">
        <v>69</v>
      </c>
      <c r="X119" s="5" t="s">
        <v>69</v>
      </c>
      <c r="Y119" s="4">
        <v>477</v>
      </c>
      <c r="Z119" s="4">
        <v>383</v>
      </c>
      <c r="AA119" s="4">
        <v>418</v>
      </c>
      <c r="AB119" s="4">
        <v>6</v>
      </c>
      <c r="AC119" s="4">
        <v>6</v>
      </c>
      <c r="AD119" s="4">
        <v>15</v>
      </c>
      <c r="AE119" s="4">
        <v>17</v>
      </c>
      <c r="AF119" s="4">
        <v>5</v>
      </c>
      <c r="AG119" s="4">
        <v>6</v>
      </c>
      <c r="AH119" s="4">
        <v>7</v>
      </c>
      <c r="AI119" s="4">
        <v>8</v>
      </c>
      <c r="AJ119" s="4">
        <v>6</v>
      </c>
      <c r="AK119" s="4">
        <v>6</v>
      </c>
      <c r="AL119" s="4">
        <v>4</v>
      </c>
      <c r="AM119" s="4">
        <v>4</v>
      </c>
      <c r="AN119" s="4">
        <v>0</v>
      </c>
      <c r="AO119" s="4">
        <v>0</v>
      </c>
      <c r="AP119" s="3" t="s">
        <v>58</v>
      </c>
      <c r="AQ119" s="3" t="s">
        <v>86</v>
      </c>
      <c r="AR119" s="6" t="str">
        <f>HYPERLINK("http://catalog.hathitrust.org/Record/000204394","HathiTrust Record")</f>
        <v>HathiTrust Record</v>
      </c>
      <c r="AS119" s="6" t="str">
        <f>HYPERLINK("https://creighton-primo.hosted.exlibrisgroup.com/primo-explore/search?tab=default_tab&amp;search_scope=EVERYTHING&amp;vid=01CRU&amp;lang=en_US&amp;offset=0&amp;query=any,contains,991000198149702656","Catalog Record")</f>
        <v>Catalog Record</v>
      </c>
      <c r="AT119" s="6" t="str">
        <f>HYPERLINK("http://www.worldcat.org/oclc/9442440","WorldCat Record")</f>
        <v>WorldCat Record</v>
      </c>
      <c r="AU119" s="3" t="s">
        <v>1684</v>
      </c>
      <c r="AV119" s="3" t="s">
        <v>1685</v>
      </c>
      <c r="AW119" s="3" t="s">
        <v>1686</v>
      </c>
      <c r="AX119" s="3" t="s">
        <v>1686</v>
      </c>
      <c r="AY119" s="3" t="s">
        <v>1687</v>
      </c>
      <c r="AZ119" s="3" t="s">
        <v>74</v>
      </c>
      <c r="BB119" s="3" t="s">
        <v>1688</v>
      </c>
      <c r="BC119" s="3" t="s">
        <v>1689</v>
      </c>
      <c r="BD119" s="3" t="s">
        <v>1690</v>
      </c>
    </row>
    <row r="120" spans="1:56" ht="42.75" customHeight="1" x14ac:dyDescent="0.25">
      <c r="A120" s="7" t="s">
        <v>58</v>
      </c>
      <c r="B120" s="2" t="s">
        <v>1691</v>
      </c>
      <c r="C120" s="2" t="s">
        <v>1692</v>
      </c>
      <c r="D120" s="2" t="s">
        <v>1693</v>
      </c>
      <c r="F120" s="3" t="s">
        <v>58</v>
      </c>
      <c r="G120" s="3" t="s">
        <v>59</v>
      </c>
      <c r="H120" s="3" t="s">
        <v>58</v>
      </c>
      <c r="I120" s="3" t="s">
        <v>58</v>
      </c>
      <c r="J120" s="3" t="s">
        <v>60</v>
      </c>
      <c r="K120" s="2" t="s">
        <v>1694</v>
      </c>
      <c r="L120" s="2" t="s">
        <v>1695</v>
      </c>
      <c r="M120" s="3" t="s">
        <v>996</v>
      </c>
      <c r="O120" s="3" t="s">
        <v>64</v>
      </c>
      <c r="P120" s="3" t="s">
        <v>99</v>
      </c>
      <c r="R120" s="3" t="s">
        <v>67</v>
      </c>
      <c r="S120" s="4">
        <v>3</v>
      </c>
      <c r="T120" s="4">
        <v>3</v>
      </c>
      <c r="U120" s="5" t="s">
        <v>1696</v>
      </c>
      <c r="V120" s="5" t="s">
        <v>1696</v>
      </c>
      <c r="W120" s="5" t="s">
        <v>1697</v>
      </c>
      <c r="X120" s="5" t="s">
        <v>1697</v>
      </c>
      <c r="Y120" s="4">
        <v>821</v>
      </c>
      <c r="Z120" s="4">
        <v>755</v>
      </c>
      <c r="AA120" s="4">
        <v>763</v>
      </c>
      <c r="AB120" s="4">
        <v>4</v>
      </c>
      <c r="AC120" s="4">
        <v>5</v>
      </c>
      <c r="AD120" s="4">
        <v>4</v>
      </c>
      <c r="AE120" s="4">
        <v>4</v>
      </c>
      <c r="AF120" s="4">
        <v>1</v>
      </c>
      <c r="AG120" s="4">
        <v>1</v>
      </c>
      <c r="AH120" s="4">
        <v>0</v>
      </c>
      <c r="AI120" s="4">
        <v>0</v>
      </c>
      <c r="AJ120" s="4">
        <v>1</v>
      </c>
      <c r="AK120" s="4">
        <v>1</v>
      </c>
      <c r="AL120" s="4">
        <v>2</v>
      </c>
      <c r="AM120" s="4">
        <v>2</v>
      </c>
      <c r="AN120" s="4">
        <v>0</v>
      </c>
      <c r="AO120" s="4">
        <v>0</v>
      </c>
      <c r="AP120" s="3" t="s">
        <v>58</v>
      </c>
      <c r="AQ120" s="3" t="s">
        <v>58</v>
      </c>
      <c r="AS120" s="6" t="str">
        <f>HYPERLINK("https://creighton-primo.hosted.exlibrisgroup.com/primo-explore/search?tab=default_tab&amp;search_scope=EVERYTHING&amp;vid=01CRU&amp;lang=en_US&amp;offset=0&amp;query=any,contains,991003267219702656","Catalog Record")</f>
        <v>Catalog Record</v>
      </c>
      <c r="AT120" s="6" t="str">
        <f>HYPERLINK("http://www.worldcat.org/oclc/44441519","WorldCat Record")</f>
        <v>WorldCat Record</v>
      </c>
      <c r="AU120" s="3" t="s">
        <v>1698</v>
      </c>
      <c r="AV120" s="3" t="s">
        <v>1699</v>
      </c>
      <c r="AW120" s="3" t="s">
        <v>1700</v>
      </c>
      <c r="AX120" s="3" t="s">
        <v>1700</v>
      </c>
      <c r="AY120" s="3" t="s">
        <v>1701</v>
      </c>
      <c r="AZ120" s="3" t="s">
        <v>74</v>
      </c>
      <c r="BB120" s="3" t="s">
        <v>1702</v>
      </c>
      <c r="BC120" s="3" t="s">
        <v>1703</v>
      </c>
      <c r="BD120" s="3" t="s">
        <v>1704</v>
      </c>
    </row>
    <row r="121" spans="1:56" ht="42.75" customHeight="1" x14ac:dyDescent="0.25">
      <c r="A121" s="7" t="s">
        <v>58</v>
      </c>
      <c r="B121" s="2" t="s">
        <v>1705</v>
      </c>
      <c r="C121" s="2" t="s">
        <v>1706</v>
      </c>
      <c r="D121" s="2" t="s">
        <v>1707</v>
      </c>
      <c r="F121" s="3" t="s">
        <v>58</v>
      </c>
      <c r="G121" s="3" t="s">
        <v>59</v>
      </c>
      <c r="H121" s="3" t="s">
        <v>58</v>
      </c>
      <c r="I121" s="3" t="s">
        <v>58</v>
      </c>
      <c r="J121" s="3" t="s">
        <v>60</v>
      </c>
      <c r="K121" s="2" t="s">
        <v>1708</v>
      </c>
      <c r="L121" s="2" t="s">
        <v>1709</v>
      </c>
      <c r="M121" s="3" t="s">
        <v>114</v>
      </c>
      <c r="O121" s="3" t="s">
        <v>64</v>
      </c>
      <c r="P121" s="3" t="s">
        <v>1710</v>
      </c>
      <c r="R121" s="3" t="s">
        <v>67</v>
      </c>
      <c r="S121" s="4">
        <v>1</v>
      </c>
      <c r="T121" s="4">
        <v>1</v>
      </c>
      <c r="U121" s="5" t="s">
        <v>1711</v>
      </c>
      <c r="V121" s="5" t="s">
        <v>1711</v>
      </c>
      <c r="W121" s="5" t="s">
        <v>69</v>
      </c>
      <c r="X121" s="5" t="s">
        <v>69</v>
      </c>
      <c r="Y121" s="4">
        <v>36</v>
      </c>
      <c r="Z121" s="4">
        <v>34</v>
      </c>
      <c r="AA121" s="4">
        <v>34</v>
      </c>
      <c r="AB121" s="4">
        <v>1</v>
      </c>
      <c r="AC121" s="4">
        <v>1</v>
      </c>
      <c r="AD121" s="4">
        <v>0</v>
      </c>
      <c r="AE121" s="4">
        <v>0</v>
      </c>
      <c r="AF121" s="4">
        <v>0</v>
      </c>
      <c r="AG121" s="4">
        <v>0</v>
      </c>
      <c r="AH121" s="4">
        <v>0</v>
      </c>
      <c r="AI121" s="4">
        <v>0</v>
      </c>
      <c r="AJ121" s="4">
        <v>0</v>
      </c>
      <c r="AK121" s="4">
        <v>0</v>
      </c>
      <c r="AL121" s="4">
        <v>0</v>
      </c>
      <c r="AM121" s="4">
        <v>0</v>
      </c>
      <c r="AN121" s="4">
        <v>0</v>
      </c>
      <c r="AO121" s="4">
        <v>0</v>
      </c>
      <c r="AP121" s="3" t="s">
        <v>58</v>
      </c>
      <c r="AQ121" s="3" t="s">
        <v>58</v>
      </c>
      <c r="AS121" s="6" t="str">
        <f>HYPERLINK("https://creighton-primo.hosted.exlibrisgroup.com/primo-explore/search?tab=default_tab&amp;search_scope=EVERYTHING&amp;vid=01CRU&amp;lang=en_US&amp;offset=0&amp;query=any,contains,991000451339702656","Catalog Record")</f>
        <v>Catalog Record</v>
      </c>
      <c r="AT121" s="6" t="str">
        <f>HYPERLINK("http://www.worldcat.org/oclc/11345226","WorldCat Record")</f>
        <v>WorldCat Record</v>
      </c>
      <c r="AU121" s="3" t="s">
        <v>1712</v>
      </c>
      <c r="AV121" s="3" t="s">
        <v>1713</v>
      </c>
      <c r="AW121" s="3" t="s">
        <v>1714</v>
      </c>
      <c r="AX121" s="3" t="s">
        <v>1714</v>
      </c>
      <c r="AY121" s="3" t="s">
        <v>1715</v>
      </c>
      <c r="AZ121" s="3" t="s">
        <v>74</v>
      </c>
      <c r="BC121" s="3" t="s">
        <v>1716</v>
      </c>
      <c r="BD121" s="3" t="s">
        <v>1717</v>
      </c>
    </row>
    <row r="122" spans="1:56" ht="42.75" customHeight="1" x14ac:dyDescent="0.25">
      <c r="A122" s="7" t="s">
        <v>58</v>
      </c>
      <c r="B122" s="2" t="s">
        <v>1718</v>
      </c>
      <c r="C122" s="2" t="s">
        <v>1719</v>
      </c>
      <c r="D122" s="2" t="s">
        <v>1720</v>
      </c>
      <c r="F122" s="3" t="s">
        <v>58</v>
      </c>
      <c r="G122" s="3" t="s">
        <v>59</v>
      </c>
      <c r="H122" s="3" t="s">
        <v>58</v>
      </c>
      <c r="I122" s="3" t="s">
        <v>58</v>
      </c>
      <c r="J122" s="3" t="s">
        <v>60</v>
      </c>
      <c r="L122" s="2" t="s">
        <v>1721</v>
      </c>
      <c r="M122" s="3" t="s">
        <v>207</v>
      </c>
      <c r="O122" s="3" t="s">
        <v>64</v>
      </c>
      <c r="P122" s="3" t="s">
        <v>208</v>
      </c>
      <c r="R122" s="3" t="s">
        <v>67</v>
      </c>
      <c r="S122" s="4">
        <v>5</v>
      </c>
      <c r="T122" s="4">
        <v>5</v>
      </c>
      <c r="U122" s="5" t="s">
        <v>1722</v>
      </c>
      <c r="V122" s="5" t="s">
        <v>1722</v>
      </c>
      <c r="W122" s="5" t="s">
        <v>1723</v>
      </c>
      <c r="X122" s="5" t="s">
        <v>1723</v>
      </c>
      <c r="Y122" s="4">
        <v>172</v>
      </c>
      <c r="Z122" s="4">
        <v>147</v>
      </c>
      <c r="AA122" s="4">
        <v>151</v>
      </c>
      <c r="AB122" s="4">
        <v>2</v>
      </c>
      <c r="AC122" s="4">
        <v>2</v>
      </c>
      <c r="AD122" s="4">
        <v>3</v>
      </c>
      <c r="AE122" s="4">
        <v>3</v>
      </c>
      <c r="AF122" s="4">
        <v>1</v>
      </c>
      <c r="AG122" s="4">
        <v>1</v>
      </c>
      <c r="AH122" s="4">
        <v>1</v>
      </c>
      <c r="AI122" s="4">
        <v>1</v>
      </c>
      <c r="AJ122" s="4">
        <v>0</v>
      </c>
      <c r="AK122" s="4">
        <v>0</v>
      </c>
      <c r="AL122" s="4">
        <v>1</v>
      </c>
      <c r="AM122" s="4">
        <v>1</v>
      </c>
      <c r="AN122" s="4">
        <v>0</v>
      </c>
      <c r="AO122" s="4">
        <v>0</v>
      </c>
      <c r="AP122" s="3" t="s">
        <v>58</v>
      </c>
      <c r="AQ122" s="3" t="s">
        <v>58</v>
      </c>
      <c r="AS122" s="6" t="str">
        <f>HYPERLINK("https://creighton-primo.hosted.exlibrisgroup.com/primo-explore/search?tab=default_tab&amp;search_scope=EVERYTHING&amp;vid=01CRU&amp;lang=en_US&amp;offset=0&amp;query=any,contains,991004969389702656","Catalog Record")</f>
        <v>Catalog Record</v>
      </c>
      <c r="AT122" s="6" t="str">
        <f>HYPERLINK("http://www.worldcat.org/oclc/6356312","WorldCat Record")</f>
        <v>WorldCat Record</v>
      </c>
      <c r="AU122" s="3" t="s">
        <v>1724</v>
      </c>
      <c r="AV122" s="3" t="s">
        <v>1725</v>
      </c>
      <c r="AW122" s="3" t="s">
        <v>1726</v>
      </c>
      <c r="AX122" s="3" t="s">
        <v>1726</v>
      </c>
      <c r="AY122" s="3" t="s">
        <v>1727</v>
      </c>
      <c r="AZ122" s="3" t="s">
        <v>74</v>
      </c>
      <c r="BB122" s="3" t="s">
        <v>1728</v>
      </c>
      <c r="BC122" s="3" t="s">
        <v>1729</v>
      </c>
      <c r="BD122" s="3" t="s">
        <v>1730</v>
      </c>
    </row>
    <row r="123" spans="1:56" ht="42.75" customHeight="1" x14ac:dyDescent="0.25">
      <c r="A123" s="7" t="s">
        <v>58</v>
      </c>
      <c r="B123" s="2" t="s">
        <v>1731</v>
      </c>
      <c r="C123" s="2" t="s">
        <v>1732</v>
      </c>
      <c r="D123" s="2" t="s">
        <v>1733</v>
      </c>
      <c r="F123" s="3" t="s">
        <v>58</v>
      </c>
      <c r="G123" s="3" t="s">
        <v>59</v>
      </c>
      <c r="H123" s="3" t="s">
        <v>58</v>
      </c>
      <c r="I123" s="3" t="s">
        <v>58</v>
      </c>
      <c r="J123" s="3" t="s">
        <v>60</v>
      </c>
      <c r="K123" s="2" t="s">
        <v>1734</v>
      </c>
      <c r="L123" s="2" t="s">
        <v>1735</v>
      </c>
      <c r="M123" s="3" t="s">
        <v>63</v>
      </c>
      <c r="N123" s="2" t="s">
        <v>1736</v>
      </c>
      <c r="O123" s="3" t="s">
        <v>64</v>
      </c>
      <c r="P123" s="3" t="s">
        <v>115</v>
      </c>
      <c r="R123" s="3" t="s">
        <v>67</v>
      </c>
      <c r="S123" s="4">
        <v>3</v>
      </c>
      <c r="T123" s="4">
        <v>3</v>
      </c>
      <c r="U123" s="5" t="s">
        <v>1737</v>
      </c>
      <c r="V123" s="5" t="s">
        <v>1737</v>
      </c>
      <c r="W123" s="5" t="s">
        <v>69</v>
      </c>
      <c r="X123" s="5" t="s">
        <v>69</v>
      </c>
      <c r="Y123" s="4">
        <v>325</v>
      </c>
      <c r="Z123" s="4">
        <v>277</v>
      </c>
      <c r="AA123" s="4">
        <v>284</v>
      </c>
      <c r="AB123" s="4">
        <v>4</v>
      </c>
      <c r="AC123" s="4">
        <v>4</v>
      </c>
      <c r="AD123" s="4">
        <v>8</v>
      </c>
      <c r="AE123" s="4">
        <v>8</v>
      </c>
      <c r="AF123" s="4">
        <v>4</v>
      </c>
      <c r="AG123" s="4">
        <v>4</v>
      </c>
      <c r="AH123" s="4">
        <v>1</v>
      </c>
      <c r="AI123" s="4">
        <v>1</v>
      </c>
      <c r="AJ123" s="4">
        <v>2</v>
      </c>
      <c r="AK123" s="4">
        <v>2</v>
      </c>
      <c r="AL123" s="4">
        <v>3</v>
      </c>
      <c r="AM123" s="4">
        <v>3</v>
      </c>
      <c r="AN123" s="4">
        <v>0</v>
      </c>
      <c r="AO123" s="4">
        <v>0</v>
      </c>
      <c r="AP123" s="3" t="s">
        <v>58</v>
      </c>
      <c r="AQ123" s="3" t="s">
        <v>86</v>
      </c>
      <c r="AR123" s="6" t="str">
        <f>HYPERLINK("http://catalog.hathitrust.org/Record/000416627","HathiTrust Record")</f>
        <v>HathiTrust Record</v>
      </c>
      <c r="AS123" s="6" t="str">
        <f>HYPERLINK("https://creighton-primo.hosted.exlibrisgroup.com/primo-explore/search?tab=default_tab&amp;search_scope=EVERYTHING&amp;vid=01CRU&amp;lang=en_US&amp;offset=0&amp;query=any,contains,991000394899702656","Catalog Record")</f>
        <v>Catalog Record</v>
      </c>
      <c r="AT123" s="6" t="str">
        <f>HYPERLINK("http://www.worldcat.org/oclc/10566075","WorldCat Record")</f>
        <v>WorldCat Record</v>
      </c>
      <c r="AU123" s="3" t="s">
        <v>1738</v>
      </c>
      <c r="AV123" s="3" t="s">
        <v>1739</v>
      </c>
      <c r="AW123" s="3" t="s">
        <v>1740</v>
      </c>
      <c r="AX123" s="3" t="s">
        <v>1740</v>
      </c>
      <c r="AY123" s="3" t="s">
        <v>1741</v>
      </c>
      <c r="AZ123" s="3" t="s">
        <v>74</v>
      </c>
      <c r="BB123" s="3" t="s">
        <v>1742</v>
      </c>
      <c r="BC123" s="3" t="s">
        <v>1743</v>
      </c>
      <c r="BD123" s="3" t="s">
        <v>1744</v>
      </c>
    </row>
    <row r="124" spans="1:56" ht="42.75" customHeight="1" x14ac:dyDescent="0.25">
      <c r="A124" s="7" t="s">
        <v>58</v>
      </c>
      <c r="B124" s="2" t="s">
        <v>1745</v>
      </c>
      <c r="C124" s="2" t="s">
        <v>1746</v>
      </c>
      <c r="D124" s="2" t="s">
        <v>1747</v>
      </c>
      <c r="F124" s="3" t="s">
        <v>58</v>
      </c>
      <c r="G124" s="3" t="s">
        <v>59</v>
      </c>
      <c r="H124" s="3" t="s">
        <v>58</v>
      </c>
      <c r="I124" s="3" t="s">
        <v>58</v>
      </c>
      <c r="J124" s="3" t="s">
        <v>60</v>
      </c>
      <c r="L124" s="2" t="s">
        <v>1748</v>
      </c>
      <c r="M124" s="3" t="s">
        <v>642</v>
      </c>
      <c r="O124" s="3" t="s">
        <v>64</v>
      </c>
      <c r="P124" s="3" t="s">
        <v>1749</v>
      </c>
      <c r="Q124" s="2" t="s">
        <v>1750</v>
      </c>
      <c r="R124" s="3" t="s">
        <v>67</v>
      </c>
      <c r="S124" s="4">
        <v>11</v>
      </c>
      <c r="T124" s="4">
        <v>11</v>
      </c>
      <c r="U124" s="5" t="s">
        <v>969</v>
      </c>
      <c r="V124" s="5" t="s">
        <v>969</v>
      </c>
      <c r="W124" s="5" t="s">
        <v>69</v>
      </c>
      <c r="X124" s="5" t="s">
        <v>69</v>
      </c>
      <c r="Y124" s="4">
        <v>187</v>
      </c>
      <c r="Z124" s="4">
        <v>118</v>
      </c>
      <c r="AA124" s="4">
        <v>135</v>
      </c>
      <c r="AB124" s="4">
        <v>1</v>
      </c>
      <c r="AC124" s="4">
        <v>1</v>
      </c>
      <c r="AD124" s="4">
        <v>3</v>
      </c>
      <c r="AE124" s="4">
        <v>3</v>
      </c>
      <c r="AF124" s="4">
        <v>1</v>
      </c>
      <c r="AG124" s="4">
        <v>1</v>
      </c>
      <c r="AH124" s="4">
        <v>2</v>
      </c>
      <c r="AI124" s="4">
        <v>2</v>
      </c>
      <c r="AJ124" s="4">
        <v>0</v>
      </c>
      <c r="AK124" s="4">
        <v>0</v>
      </c>
      <c r="AL124" s="4">
        <v>0</v>
      </c>
      <c r="AM124" s="4">
        <v>0</v>
      </c>
      <c r="AN124" s="4">
        <v>0</v>
      </c>
      <c r="AO124" s="4">
        <v>0</v>
      </c>
      <c r="AP124" s="3" t="s">
        <v>58</v>
      </c>
      <c r="AQ124" s="3" t="s">
        <v>86</v>
      </c>
      <c r="AR124" s="6" t="str">
        <f>HYPERLINK("http://catalog.hathitrust.org/Record/002570514","HathiTrust Record")</f>
        <v>HathiTrust Record</v>
      </c>
      <c r="AS124" s="6" t="str">
        <f>HYPERLINK("https://creighton-primo.hosted.exlibrisgroup.com/primo-explore/search?tab=default_tab&amp;search_scope=EVERYTHING&amp;vid=01CRU&amp;lang=en_US&amp;offset=0&amp;query=any,contains,991002015399702656","Catalog Record")</f>
        <v>Catalog Record</v>
      </c>
      <c r="AT124" s="6" t="str">
        <f>HYPERLINK("http://www.worldcat.org/oclc/25631378","WorldCat Record")</f>
        <v>WorldCat Record</v>
      </c>
      <c r="AU124" s="3" t="s">
        <v>1751</v>
      </c>
      <c r="AV124" s="3" t="s">
        <v>1752</v>
      </c>
      <c r="AW124" s="3" t="s">
        <v>1753</v>
      </c>
      <c r="AX124" s="3" t="s">
        <v>1753</v>
      </c>
      <c r="AY124" s="3" t="s">
        <v>1754</v>
      </c>
      <c r="AZ124" s="3" t="s">
        <v>74</v>
      </c>
      <c r="BB124" s="3" t="s">
        <v>1755</v>
      </c>
      <c r="BC124" s="3" t="s">
        <v>1756</v>
      </c>
      <c r="BD124" s="3" t="s">
        <v>1757</v>
      </c>
    </row>
    <row r="125" spans="1:56" ht="42.75" customHeight="1" x14ac:dyDescent="0.25">
      <c r="A125" s="7" t="s">
        <v>58</v>
      </c>
      <c r="B125" s="2" t="s">
        <v>1758</v>
      </c>
      <c r="C125" s="2" t="s">
        <v>1759</v>
      </c>
      <c r="D125" s="2" t="s">
        <v>1760</v>
      </c>
      <c r="F125" s="3" t="s">
        <v>58</v>
      </c>
      <c r="G125" s="3" t="s">
        <v>59</v>
      </c>
      <c r="H125" s="3" t="s">
        <v>58</v>
      </c>
      <c r="I125" s="3" t="s">
        <v>58</v>
      </c>
      <c r="J125" s="3" t="s">
        <v>60</v>
      </c>
      <c r="K125" s="2" t="s">
        <v>1761</v>
      </c>
      <c r="L125" s="2" t="s">
        <v>1762</v>
      </c>
      <c r="M125" s="3" t="s">
        <v>114</v>
      </c>
      <c r="O125" s="3" t="s">
        <v>64</v>
      </c>
      <c r="P125" s="3" t="s">
        <v>1763</v>
      </c>
      <c r="R125" s="3" t="s">
        <v>67</v>
      </c>
      <c r="S125" s="4">
        <v>1</v>
      </c>
      <c r="T125" s="4">
        <v>1</v>
      </c>
      <c r="U125" s="5" t="s">
        <v>1764</v>
      </c>
      <c r="V125" s="5" t="s">
        <v>1764</v>
      </c>
      <c r="W125" s="5" t="s">
        <v>69</v>
      </c>
      <c r="X125" s="5" t="s">
        <v>69</v>
      </c>
      <c r="Y125" s="4">
        <v>234</v>
      </c>
      <c r="Z125" s="4">
        <v>188</v>
      </c>
      <c r="AA125" s="4">
        <v>195</v>
      </c>
      <c r="AB125" s="4">
        <v>2</v>
      </c>
      <c r="AC125" s="4">
        <v>2</v>
      </c>
      <c r="AD125" s="4">
        <v>7</v>
      </c>
      <c r="AE125" s="4">
        <v>7</v>
      </c>
      <c r="AF125" s="4">
        <v>2</v>
      </c>
      <c r="AG125" s="4">
        <v>2</v>
      </c>
      <c r="AH125" s="4">
        <v>2</v>
      </c>
      <c r="AI125" s="4">
        <v>2</v>
      </c>
      <c r="AJ125" s="4">
        <v>4</v>
      </c>
      <c r="AK125" s="4">
        <v>4</v>
      </c>
      <c r="AL125" s="4">
        <v>1</v>
      </c>
      <c r="AM125" s="4">
        <v>1</v>
      </c>
      <c r="AN125" s="4">
        <v>0</v>
      </c>
      <c r="AO125" s="4">
        <v>0</v>
      </c>
      <c r="AP125" s="3" t="s">
        <v>58</v>
      </c>
      <c r="AQ125" s="3" t="s">
        <v>86</v>
      </c>
      <c r="AR125" s="6" t="str">
        <f>HYPERLINK("http://catalog.hathitrust.org/Record/000779788","HathiTrust Record")</f>
        <v>HathiTrust Record</v>
      </c>
      <c r="AS125" s="6" t="str">
        <f>HYPERLINK("https://creighton-primo.hosted.exlibrisgroup.com/primo-explore/search?tab=default_tab&amp;search_scope=EVERYTHING&amp;vid=01CRU&amp;lang=en_US&amp;offset=0&amp;query=any,contains,991000360419702656","Catalog Record")</f>
        <v>Catalog Record</v>
      </c>
      <c r="AT125" s="6" t="str">
        <f>HYPERLINK("http://www.worldcat.org/oclc/10358992","WorldCat Record")</f>
        <v>WorldCat Record</v>
      </c>
      <c r="AU125" s="3" t="s">
        <v>1765</v>
      </c>
      <c r="AV125" s="3" t="s">
        <v>1766</v>
      </c>
      <c r="AW125" s="3" t="s">
        <v>1767</v>
      </c>
      <c r="AX125" s="3" t="s">
        <v>1767</v>
      </c>
      <c r="AY125" s="3" t="s">
        <v>1768</v>
      </c>
      <c r="AZ125" s="3" t="s">
        <v>74</v>
      </c>
      <c r="BB125" s="3" t="s">
        <v>1769</v>
      </c>
      <c r="BC125" s="3" t="s">
        <v>1770</v>
      </c>
      <c r="BD125" s="3" t="s">
        <v>1771</v>
      </c>
    </row>
    <row r="126" spans="1:56" ht="42.75" customHeight="1" x14ac:dyDescent="0.25">
      <c r="A126" s="7" t="s">
        <v>58</v>
      </c>
      <c r="B126" s="2" t="s">
        <v>1772</v>
      </c>
      <c r="C126" s="2" t="s">
        <v>1773</v>
      </c>
      <c r="D126" s="2" t="s">
        <v>1774</v>
      </c>
      <c r="F126" s="3" t="s">
        <v>58</v>
      </c>
      <c r="G126" s="3" t="s">
        <v>59</v>
      </c>
      <c r="H126" s="3" t="s">
        <v>58</v>
      </c>
      <c r="I126" s="3" t="s">
        <v>86</v>
      </c>
      <c r="J126" s="3" t="s">
        <v>60</v>
      </c>
      <c r="L126" s="2" t="s">
        <v>1775</v>
      </c>
      <c r="M126" s="3" t="s">
        <v>737</v>
      </c>
      <c r="O126" s="3" t="s">
        <v>64</v>
      </c>
      <c r="P126" s="3" t="s">
        <v>115</v>
      </c>
      <c r="Q126" s="2" t="s">
        <v>1776</v>
      </c>
      <c r="R126" s="3" t="s">
        <v>67</v>
      </c>
      <c r="S126" s="4">
        <v>6</v>
      </c>
      <c r="T126" s="4">
        <v>6</v>
      </c>
      <c r="U126" s="5" t="s">
        <v>428</v>
      </c>
      <c r="V126" s="5" t="s">
        <v>428</v>
      </c>
      <c r="W126" s="5" t="s">
        <v>1777</v>
      </c>
      <c r="X126" s="5" t="s">
        <v>1777</v>
      </c>
      <c r="Y126" s="4">
        <v>531</v>
      </c>
      <c r="Z126" s="4">
        <v>406</v>
      </c>
      <c r="AA126" s="4">
        <v>526</v>
      </c>
      <c r="AB126" s="4">
        <v>4</v>
      </c>
      <c r="AC126" s="4">
        <v>5</v>
      </c>
      <c r="AD126" s="4">
        <v>16</v>
      </c>
      <c r="AE126" s="4">
        <v>19</v>
      </c>
      <c r="AF126" s="4">
        <v>8</v>
      </c>
      <c r="AG126" s="4">
        <v>9</v>
      </c>
      <c r="AH126" s="4">
        <v>4</v>
      </c>
      <c r="AI126" s="4">
        <v>4</v>
      </c>
      <c r="AJ126" s="4">
        <v>6</v>
      </c>
      <c r="AK126" s="4">
        <v>8</v>
      </c>
      <c r="AL126" s="4">
        <v>3</v>
      </c>
      <c r="AM126" s="4">
        <v>3</v>
      </c>
      <c r="AN126" s="4">
        <v>0</v>
      </c>
      <c r="AO126" s="4">
        <v>0</v>
      </c>
      <c r="AP126" s="3" t="s">
        <v>58</v>
      </c>
      <c r="AQ126" s="3" t="s">
        <v>86</v>
      </c>
      <c r="AR126" s="6" t="str">
        <f>HYPERLINK("http://catalog.hathitrust.org/Record/002810176","HathiTrust Record")</f>
        <v>HathiTrust Record</v>
      </c>
      <c r="AS126" s="6" t="str">
        <f>HYPERLINK("https://creighton-primo.hosted.exlibrisgroup.com/primo-explore/search?tab=default_tab&amp;search_scope=EVERYTHING&amp;vid=01CRU&amp;lang=en_US&amp;offset=0&amp;query=any,contains,991002247259702656","Catalog Record")</f>
        <v>Catalog Record</v>
      </c>
      <c r="AT126" s="6" t="str">
        <f>HYPERLINK("http://www.worldcat.org/oclc/28968069","WorldCat Record")</f>
        <v>WorldCat Record</v>
      </c>
      <c r="AU126" s="3" t="s">
        <v>1778</v>
      </c>
      <c r="AV126" s="3" t="s">
        <v>1779</v>
      </c>
      <c r="AW126" s="3" t="s">
        <v>1780</v>
      </c>
      <c r="AX126" s="3" t="s">
        <v>1780</v>
      </c>
      <c r="AY126" s="3" t="s">
        <v>1781</v>
      </c>
      <c r="AZ126" s="3" t="s">
        <v>74</v>
      </c>
      <c r="BB126" s="3" t="s">
        <v>1782</v>
      </c>
      <c r="BC126" s="3" t="s">
        <v>1783</v>
      </c>
      <c r="BD126" s="3" t="s">
        <v>1784</v>
      </c>
    </row>
    <row r="127" spans="1:56" ht="42.75" customHeight="1" x14ac:dyDescent="0.25">
      <c r="A127" s="7" t="s">
        <v>58</v>
      </c>
      <c r="B127" s="2" t="s">
        <v>1785</v>
      </c>
      <c r="C127" s="2" t="s">
        <v>1786</v>
      </c>
      <c r="D127" s="2" t="s">
        <v>1787</v>
      </c>
      <c r="F127" s="3" t="s">
        <v>58</v>
      </c>
      <c r="G127" s="3" t="s">
        <v>59</v>
      </c>
      <c r="H127" s="3" t="s">
        <v>86</v>
      </c>
      <c r="I127" s="3" t="s">
        <v>58</v>
      </c>
      <c r="J127" s="3" t="s">
        <v>60</v>
      </c>
      <c r="L127" s="2" t="s">
        <v>1788</v>
      </c>
      <c r="M127" s="3" t="s">
        <v>114</v>
      </c>
      <c r="N127" s="2" t="s">
        <v>1736</v>
      </c>
      <c r="O127" s="3" t="s">
        <v>64</v>
      </c>
      <c r="P127" s="3" t="s">
        <v>208</v>
      </c>
      <c r="Q127" s="2" t="s">
        <v>1789</v>
      </c>
      <c r="R127" s="3" t="s">
        <v>67</v>
      </c>
      <c r="S127" s="4">
        <v>2</v>
      </c>
      <c r="T127" s="4">
        <v>7</v>
      </c>
      <c r="U127" s="5" t="s">
        <v>1671</v>
      </c>
      <c r="V127" s="5" t="s">
        <v>1790</v>
      </c>
      <c r="W127" s="5" t="s">
        <v>69</v>
      </c>
      <c r="X127" s="5" t="s">
        <v>69</v>
      </c>
      <c r="Y127" s="4">
        <v>261</v>
      </c>
      <c r="Z127" s="4">
        <v>195</v>
      </c>
      <c r="AA127" s="4">
        <v>197</v>
      </c>
      <c r="AB127" s="4">
        <v>3</v>
      </c>
      <c r="AC127" s="4">
        <v>3</v>
      </c>
      <c r="AD127" s="4">
        <v>1</v>
      </c>
      <c r="AE127" s="4">
        <v>1</v>
      </c>
      <c r="AF127" s="4">
        <v>0</v>
      </c>
      <c r="AG127" s="4">
        <v>0</v>
      </c>
      <c r="AH127" s="4">
        <v>0</v>
      </c>
      <c r="AI127" s="4">
        <v>0</v>
      </c>
      <c r="AJ127" s="4">
        <v>0</v>
      </c>
      <c r="AK127" s="4">
        <v>0</v>
      </c>
      <c r="AL127" s="4">
        <v>1</v>
      </c>
      <c r="AM127" s="4">
        <v>1</v>
      </c>
      <c r="AN127" s="4">
        <v>0</v>
      </c>
      <c r="AO127" s="4">
        <v>0</v>
      </c>
      <c r="AP127" s="3" t="s">
        <v>58</v>
      </c>
      <c r="AQ127" s="3" t="s">
        <v>86</v>
      </c>
      <c r="AR127" s="6" t="str">
        <f>HYPERLINK("http://catalog.hathitrust.org/Record/000122470","HathiTrust Record")</f>
        <v>HathiTrust Record</v>
      </c>
      <c r="AS127" s="6" t="str">
        <f>HYPERLINK("https://creighton-primo.hosted.exlibrisgroup.com/primo-explore/search?tab=default_tab&amp;search_scope=EVERYTHING&amp;vid=01CRU&amp;lang=en_US&amp;offset=0&amp;query=any,contains,991001771839702656","Catalog Record")</f>
        <v>Catalog Record</v>
      </c>
      <c r="AT127" s="6" t="str">
        <f>HYPERLINK("http://www.worldcat.org/oclc/10398413","WorldCat Record")</f>
        <v>WorldCat Record</v>
      </c>
      <c r="AU127" s="3" t="s">
        <v>1791</v>
      </c>
      <c r="AV127" s="3" t="s">
        <v>1792</v>
      </c>
      <c r="AW127" s="3" t="s">
        <v>1793</v>
      </c>
      <c r="AX127" s="3" t="s">
        <v>1793</v>
      </c>
      <c r="AY127" s="3" t="s">
        <v>1794</v>
      </c>
      <c r="AZ127" s="3" t="s">
        <v>74</v>
      </c>
      <c r="BB127" s="3" t="s">
        <v>1795</v>
      </c>
      <c r="BC127" s="3" t="s">
        <v>1796</v>
      </c>
      <c r="BD127" s="3" t="s">
        <v>1797</v>
      </c>
    </row>
    <row r="128" spans="1:56" ht="42.75" customHeight="1" x14ac:dyDescent="0.25">
      <c r="A128" s="7" t="s">
        <v>58</v>
      </c>
      <c r="B128" s="2" t="s">
        <v>1798</v>
      </c>
      <c r="C128" s="2" t="s">
        <v>1799</v>
      </c>
      <c r="D128" s="2" t="s">
        <v>1800</v>
      </c>
      <c r="F128" s="3" t="s">
        <v>58</v>
      </c>
      <c r="G128" s="3" t="s">
        <v>59</v>
      </c>
      <c r="H128" s="3" t="s">
        <v>58</v>
      </c>
      <c r="I128" s="3" t="s">
        <v>86</v>
      </c>
      <c r="J128" s="3" t="s">
        <v>60</v>
      </c>
      <c r="K128" s="2" t="s">
        <v>1801</v>
      </c>
      <c r="L128" s="2" t="s">
        <v>1802</v>
      </c>
      <c r="M128" s="3" t="s">
        <v>765</v>
      </c>
      <c r="O128" s="3" t="s">
        <v>64</v>
      </c>
      <c r="P128" s="3" t="s">
        <v>208</v>
      </c>
      <c r="R128" s="3" t="s">
        <v>67</v>
      </c>
      <c r="S128" s="4">
        <v>12</v>
      </c>
      <c r="T128" s="4">
        <v>12</v>
      </c>
      <c r="U128" s="5" t="s">
        <v>1803</v>
      </c>
      <c r="V128" s="5" t="s">
        <v>1803</v>
      </c>
      <c r="W128" s="5" t="s">
        <v>1804</v>
      </c>
      <c r="X128" s="5" t="s">
        <v>1804</v>
      </c>
      <c r="Y128" s="4">
        <v>129</v>
      </c>
      <c r="Z128" s="4">
        <v>107</v>
      </c>
      <c r="AA128" s="4">
        <v>1285</v>
      </c>
      <c r="AB128" s="4">
        <v>1</v>
      </c>
      <c r="AC128" s="4">
        <v>10</v>
      </c>
      <c r="AD128" s="4">
        <v>3</v>
      </c>
      <c r="AE128" s="4">
        <v>35</v>
      </c>
      <c r="AF128" s="4">
        <v>3</v>
      </c>
      <c r="AG128" s="4">
        <v>19</v>
      </c>
      <c r="AH128" s="4">
        <v>0</v>
      </c>
      <c r="AI128" s="4">
        <v>7</v>
      </c>
      <c r="AJ128" s="4">
        <v>1</v>
      </c>
      <c r="AK128" s="4">
        <v>11</v>
      </c>
      <c r="AL128" s="4">
        <v>0</v>
      </c>
      <c r="AM128" s="4">
        <v>7</v>
      </c>
      <c r="AN128" s="4">
        <v>0</v>
      </c>
      <c r="AO128" s="4">
        <v>0</v>
      </c>
      <c r="AP128" s="3" t="s">
        <v>58</v>
      </c>
      <c r="AQ128" s="3" t="s">
        <v>58</v>
      </c>
      <c r="AS128" s="6" t="str">
        <f>HYPERLINK("https://creighton-primo.hosted.exlibrisgroup.com/primo-explore/search?tab=default_tab&amp;search_scope=EVERYTHING&amp;vid=01CRU&amp;lang=en_US&amp;offset=0&amp;query=any,contains,991002445349702656","Catalog Record")</f>
        <v>Catalog Record</v>
      </c>
      <c r="AT128" s="6" t="str">
        <f>HYPERLINK("http://www.worldcat.org/oclc/31900188","WorldCat Record")</f>
        <v>WorldCat Record</v>
      </c>
      <c r="AU128" s="3" t="s">
        <v>1805</v>
      </c>
      <c r="AV128" s="3" t="s">
        <v>1806</v>
      </c>
      <c r="AW128" s="3" t="s">
        <v>1807</v>
      </c>
      <c r="AX128" s="3" t="s">
        <v>1807</v>
      </c>
      <c r="AY128" s="3" t="s">
        <v>1808</v>
      </c>
      <c r="AZ128" s="3" t="s">
        <v>74</v>
      </c>
      <c r="BC128" s="3" t="s">
        <v>1809</v>
      </c>
      <c r="BD128" s="3" t="s">
        <v>1810</v>
      </c>
    </row>
    <row r="129" spans="1:56" ht="42.75" customHeight="1" x14ac:dyDescent="0.25">
      <c r="A129" s="7" t="s">
        <v>58</v>
      </c>
      <c r="B129" s="2" t="s">
        <v>1811</v>
      </c>
      <c r="C129" s="2" t="s">
        <v>1812</v>
      </c>
      <c r="D129" s="2" t="s">
        <v>1813</v>
      </c>
      <c r="F129" s="3" t="s">
        <v>58</v>
      </c>
      <c r="G129" s="3" t="s">
        <v>59</v>
      </c>
      <c r="H129" s="3" t="s">
        <v>86</v>
      </c>
      <c r="I129" s="3" t="s">
        <v>58</v>
      </c>
      <c r="J129" s="3" t="s">
        <v>60</v>
      </c>
      <c r="K129" s="2" t="s">
        <v>1814</v>
      </c>
      <c r="L129" s="2" t="s">
        <v>1815</v>
      </c>
      <c r="M129" s="3" t="s">
        <v>1101</v>
      </c>
      <c r="N129" s="2" t="s">
        <v>1816</v>
      </c>
      <c r="O129" s="3" t="s">
        <v>64</v>
      </c>
      <c r="P129" s="3" t="s">
        <v>1763</v>
      </c>
      <c r="R129" s="3" t="s">
        <v>67</v>
      </c>
      <c r="S129" s="4">
        <v>25</v>
      </c>
      <c r="T129" s="4">
        <v>28</v>
      </c>
      <c r="U129" s="5" t="s">
        <v>1817</v>
      </c>
      <c r="V129" s="5" t="s">
        <v>1817</v>
      </c>
      <c r="W129" s="5" t="s">
        <v>1818</v>
      </c>
      <c r="X129" s="5" t="s">
        <v>1819</v>
      </c>
      <c r="Y129" s="4">
        <v>155</v>
      </c>
      <c r="Z129" s="4">
        <v>106</v>
      </c>
      <c r="AA129" s="4">
        <v>340</v>
      </c>
      <c r="AB129" s="4">
        <v>1</v>
      </c>
      <c r="AC129" s="4">
        <v>3</v>
      </c>
      <c r="AD129" s="4">
        <v>2</v>
      </c>
      <c r="AE129" s="4">
        <v>9</v>
      </c>
      <c r="AF129" s="4">
        <v>1</v>
      </c>
      <c r="AG129" s="4">
        <v>5</v>
      </c>
      <c r="AH129" s="4">
        <v>1</v>
      </c>
      <c r="AI129" s="4">
        <v>1</v>
      </c>
      <c r="AJ129" s="4">
        <v>1</v>
      </c>
      <c r="AK129" s="4">
        <v>5</v>
      </c>
      <c r="AL129" s="4">
        <v>0</v>
      </c>
      <c r="AM129" s="4">
        <v>2</v>
      </c>
      <c r="AN129" s="4">
        <v>0</v>
      </c>
      <c r="AO129" s="4">
        <v>0</v>
      </c>
      <c r="AP129" s="3" t="s">
        <v>58</v>
      </c>
      <c r="AQ129" s="3" t="s">
        <v>86</v>
      </c>
      <c r="AR129" s="6" t="str">
        <f>HYPERLINK("http://catalog.hathitrust.org/Record/004732135","HathiTrust Record")</f>
        <v>HathiTrust Record</v>
      </c>
      <c r="AS129" s="6" t="str">
        <f>HYPERLINK("https://creighton-primo.hosted.exlibrisgroup.com/primo-explore/search?tab=default_tab&amp;search_scope=EVERYTHING&amp;vid=01CRU&amp;lang=en_US&amp;offset=0&amp;query=any,contains,991001721359702656","Catalog Record")</f>
        <v>Catalog Record</v>
      </c>
      <c r="AT129" s="6" t="str">
        <f>HYPERLINK("http://www.worldcat.org/oclc/49352195","WorldCat Record")</f>
        <v>WorldCat Record</v>
      </c>
      <c r="AU129" s="3" t="s">
        <v>1820</v>
      </c>
      <c r="AV129" s="3" t="s">
        <v>1821</v>
      </c>
      <c r="AW129" s="3" t="s">
        <v>1822</v>
      </c>
      <c r="AX129" s="3" t="s">
        <v>1822</v>
      </c>
      <c r="AY129" s="3" t="s">
        <v>1823</v>
      </c>
      <c r="AZ129" s="3" t="s">
        <v>74</v>
      </c>
      <c r="BB129" s="3" t="s">
        <v>1824</v>
      </c>
      <c r="BC129" s="3" t="s">
        <v>1825</v>
      </c>
      <c r="BD129" s="3" t="s">
        <v>1826</v>
      </c>
    </row>
    <row r="130" spans="1:56" ht="42.75" customHeight="1" x14ac:dyDescent="0.25">
      <c r="A130" s="7" t="s">
        <v>58</v>
      </c>
      <c r="B130" s="2" t="s">
        <v>1827</v>
      </c>
      <c r="C130" s="2" t="s">
        <v>1828</v>
      </c>
      <c r="D130" s="2" t="s">
        <v>1829</v>
      </c>
      <c r="F130" s="3" t="s">
        <v>58</v>
      </c>
      <c r="G130" s="3" t="s">
        <v>59</v>
      </c>
      <c r="H130" s="3" t="s">
        <v>58</v>
      </c>
      <c r="I130" s="3" t="s">
        <v>58</v>
      </c>
      <c r="J130" s="3" t="s">
        <v>60</v>
      </c>
      <c r="L130" s="2" t="s">
        <v>1830</v>
      </c>
      <c r="M130" s="3" t="s">
        <v>695</v>
      </c>
      <c r="O130" s="3" t="s">
        <v>64</v>
      </c>
      <c r="P130" s="3" t="s">
        <v>1763</v>
      </c>
      <c r="R130" s="3" t="s">
        <v>67</v>
      </c>
      <c r="S130" s="4">
        <v>4</v>
      </c>
      <c r="T130" s="4">
        <v>4</v>
      </c>
      <c r="U130" s="5" t="s">
        <v>1831</v>
      </c>
      <c r="V130" s="5" t="s">
        <v>1831</v>
      </c>
      <c r="W130" s="5" t="s">
        <v>1804</v>
      </c>
      <c r="X130" s="5" t="s">
        <v>1804</v>
      </c>
      <c r="Y130" s="4">
        <v>59</v>
      </c>
      <c r="Z130" s="4">
        <v>44</v>
      </c>
      <c r="AA130" s="4">
        <v>44</v>
      </c>
      <c r="AB130" s="4">
        <v>1</v>
      </c>
      <c r="AC130" s="4">
        <v>1</v>
      </c>
      <c r="AD130" s="4">
        <v>0</v>
      </c>
      <c r="AE130" s="4">
        <v>0</v>
      </c>
      <c r="AF130" s="4">
        <v>0</v>
      </c>
      <c r="AG130" s="4">
        <v>0</v>
      </c>
      <c r="AH130" s="4">
        <v>0</v>
      </c>
      <c r="AI130" s="4">
        <v>0</v>
      </c>
      <c r="AJ130" s="4">
        <v>0</v>
      </c>
      <c r="AK130" s="4">
        <v>0</v>
      </c>
      <c r="AL130" s="4">
        <v>0</v>
      </c>
      <c r="AM130" s="4">
        <v>0</v>
      </c>
      <c r="AN130" s="4">
        <v>0</v>
      </c>
      <c r="AO130" s="4">
        <v>0</v>
      </c>
      <c r="AP130" s="3" t="s">
        <v>58</v>
      </c>
      <c r="AQ130" s="3" t="s">
        <v>58</v>
      </c>
      <c r="AS130" s="6" t="str">
        <f>HYPERLINK("https://creighton-primo.hosted.exlibrisgroup.com/primo-explore/search?tab=default_tab&amp;search_scope=EVERYTHING&amp;vid=01CRU&amp;lang=en_US&amp;offset=0&amp;query=any,contains,991002224279702656","Catalog Record")</f>
        <v>Catalog Record</v>
      </c>
      <c r="AT130" s="6" t="str">
        <f>HYPERLINK("http://www.worldcat.org/oclc/28651470","WorldCat Record")</f>
        <v>WorldCat Record</v>
      </c>
      <c r="AU130" s="3" t="s">
        <v>1832</v>
      </c>
      <c r="AV130" s="3" t="s">
        <v>1833</v>
      </c>
      <c r="AW130" s="3" t="s">
        <v>1834</v>
      </c>
      <c r="AX130" s="3" t="s">
        <v>1834</v>
      </c>
      <c r="AY130" s="3" t="s">
        <v>1835</v>
      </c>
      <c r="AZ130" s="3" t="s">
        <v>74</v>
      </c>
      <c r="BB130" s="3" t="s">
        <v>1836</v>
      </c>
      <c r="BC130" s="3" t="s">
        <v>1837</v>
      </c>
      <c r="BD130" s="3" t="s">
        <v>1838</v>
      </c>
    </row>
    <row r="131" spans="1:56" ht="42.75" customHeight="1" x14ac:dyDescent="0.25">
      <c r="A131" s="7" t="s">
        <v>58</v>
      </c>
      <c r="B131" s="2" t="s">
        <v>1839</v>
      </c>
      <c r="C131" s="2" t="s">
        <v>1840</v>
      </c>
      <c r="D131" s="2" t="s">
        <v>1841</v>
      </c>
      <c r="F131" s="3" t="s">
        <v>58</v>
      </c>
      <c r="G131" s="3" t="s">
        <v>59</v>
      </c>
      <c r="H131" s="3" t="s">
        <v>58</v>
      </c>
      <c r="I131" s="3" t="s">
        <v>58</v>
      </c>
      <c r="J131" s="3" t="s">
        <v>60</v>
      </c>
      <c r="K131" s="2" t="s">
        <v>1842</v>
      </c>
      <c r="L131" s="2" t="s">
        <v>1843</v>
      </c>
      <c r="M131" s="3" t="s">
        <v>1035</v>
      </c>
      <c r="N131" s="2" t="s">
        <v>1844</v>
      </c>
      <c r="O131" s="3" t="s">
        <v>64</v>
      </c>
      <c r="P131" s="3" t="s">
        <v>208</v>
      </c>
      <c r="R131" s="3" t="s">
        <v>67</v>
      </c>
      <c r="S131" s="4">
        <v>4</v>
      </c>
      <c r="T131" s="4">
        <v>4</v>
      </c>
      <c r="U131" s="5" t="s">
        <v>1845</v>
      </c>
      <c r="V131" s="5" t="s">
        <v>1845</v>
      </c>
      <c r="W131" s="5" t="s">
        <v>1846</v>
      </c>
      <c r="X131" s="5" t="s">
        <v>1846</v>
      </c>
      <c r="Y131" s="4">
        <v>174</v>
      </c>
      <c r="Z131" s="4">
        <v>149</v>
      </c>
      <c r="AA131" s="4">
        <v>348</v>
      </c>
      <c r="AB131" s="4">
        <v>2</v>
      </c>
      <c r="AC131" s="4">
        <v>3</v>
      </c>
      <c r="AD131" s="4">
        <v>5</v>
      </c>
      <c r="AE131" s="4">
        <v>10</v>
      </c>
      <c r="AF131" s="4">
        <v>3</v>
      </c>
      <c r="AG131" s="4">
        <v>7</v>
      </c>
      <c r="AH131" s="4">
        <v>1</v>
      </c>
      <c r="AI131" s="4">
        <v>1</v>
      </c>
      <c r="AJ131" s="4">
        <v>0</v>
      </c>
      <c r="AK131" s="4">
        <v>1</v>
      </c>
      <c r="AL131" s="4">
        <v>1</v>
      </c>
      <c r="AM131" s="4">
        <v>2</v>
      </c>
      <c r="AN131" s="4">
        <v>0</v>
      </c>
      <c r="AO131" s="4">
        <v>0</v>
      </c>
      <c r="AP131" s="3" t="s">
        <v>58</v>
      </c>
      <c r="AQ131" s="3" t="s">
        <v>86</v>
      </c>
      <c r="AR131" s="6" t="str">
        <f>HYPERLINK("http://catalog.hathitrust.org/Record/004226101","HathiTrust Record")</f>
        <v>HathiTrust Record</v>
      </c>
      <c r="AS131" s="6" t="str">
        <f>HYPERLINK("https://creighton-primo.hosted.exlibrisgroup.com/primo-explore/search?tab=default_tab&amp;search_scope=EVERYTHING&amp;vid=01CRU&amp;lang=en_US&amp;offset=0&amp;query=any,contains,991003780909702656","Catalog Record")</f>
        <v>Catalog Record</v>
      </c>
      <c r="AT131" s="6" t="str">
        <f>HYPERLINK("http://www.worldcat.org/oclc/43729005","WorldCat Record")</f>
        <v>WorldCat Record</v>
      </c>
      <c r="AU131" s="3" t="s">
        <v>1847</v>
      </c>
      <c r="AV131" s="3" t="s">
        <v>1848</v>
      </c>
      <c r="AW131" s="3" t="s">
        <v>1849</v>
      </c>
      <c r="AX131" s="3" t="s">
        <v>1849</v>
      </c>
      <c r="AY131" s="3" t="s">
        <v>1850</v>
      </c>
      <c r="AZ131" s="3" t="s">
        <v>74</v>
      </c>
      <c r="BB131" s="3" t="s">
        <v>1851</v>
      </c>
      <c r="BC131" s="3" t="s">
        <v>1852</v>
      </c>
      <c r="BD131" s="3" t="s">
        <v>1853</v>
      </c>
    </row>
    <row r="132" spans="1:56" ht="42.75" customHeight="1" x14ac:dyDescent="0.25">
      <c r="A132" s="7" t="s">
        <v>58</v>
      </c>
      <c r="B132" s="2" t="s">
        <v>1854</v>
      </c>
      <c r="C132" s="2" t="s">
        <v>1855</v>
      </c>
      <c r="D132" s="2" t="s">
        <v>1856</v>
      </c>
      <c r="F132" s="3" t="s">
        <v>58</v>
      </c>
      <c r="G132" s="3" t="s">
        <v>59</v>
      </c>
      <c r="H132" s="3" t="s">
        <v>58</v>
      </c>
      <c r="I132" s="3" t="s">
        <v>58</v>
      </c>
      <c r="J132" s="3" t="s">
        <v>60</v>
      </c>
      <c r="K132" s="2" t="s">
        <v>1857</v>
      </c>
      <c r="L132" s="2" t="s">
        <v>1858</v>
      </c>
      <c r="M132" s="3" t="s">
        <v>642</v>
      </c>
      <c r="O132" s="3" t="s">
        <v>64</v>
      </c>
      <c r="P132" s="3" t="s">
        <v>115</v>
      </c>
      <c r="R132" s="3" t="s">
        <v>67</v>
      </c>
      <c r="S132" s="4">
        <v>12</v>
      </c>
      <c r="T132" s="4">
        <v>12</v>
      </c>
      <c r="U132" s="5" t="s">
        <v>482</v>
      </c>
      <c r="V132" s="5" t="s">
        <v>482</v>
      </c>
      <c r="W132" s="5" t="s">
        <v>1859</v>
      </c>
      <c r="X132" s="5" t="s">
        <v>1859</v>
      </c>
      <c r="Y132" s="4">
        <v>302</v>
      </c>
      <c r="Z132" s="4">
        <v>194</v>
      </c>
      <c r="AA132" s="4">
        <v>201</v>
      </c>
      <c r="AB132" s="4">
        <v>2</v>
      </c>
      <c r="AC132" s="4">
        <v>2</v>
      </c>
      <c r="AD132" s="4">
        <v>7</v>
      </c>
      <c r="AE132" s="4">
        <v>7</v>
      </c>
      <c r="AF132" s="4">
        <v>4</v>
      </c>
      <c r="AG132" s="4">
        <v>4</v>
      </c>
      <c r="AH132" s="4">
        <v>1</v>
      </c>
      <c r="AI132" s="4">
        <v>1</v>
      </c>
      <c r="AJ132" s="4">
        <v>2</v>
      </c>
      <c r="AK132" s="4">
        <v>2</v>
      </c>
      <c r="AL132" s="4">
        <v>1</v>
      </c>
      <c r="AM132" s="4">
        <v>1</v>
      </c>
      <c r="AN132" s="4">
        <v>0</v>
      </c>
      <c r="AO132" s="4">
        <v>0</v>
      </c>
      <c r="AP132" s="3" t="s">
        <v>58</v>
      </c>
      <c r="AQ132" s="3" t="s">
        <v>58</v>
      </c>
      <c r="AS132" s="6" t="str">
        <f>HYPERLINK("https://creighton-primo.hosted.exlibrisgroup.com/primo-explore/search?tab=default_tab&amp;search_scope=EVERYTHING&amp;vid=01CRU&amp;lang=en_US&amp;offset=0&amp;query=any,contains,991001933779702656","Catalog Record")</f>
        <v>Catalog Record</v>
      </c>
      <c r="AT132" s="6" t="str">
        <f>HYPERLINK("http://www.worldcat.org/oclc/24429778","WorldCat Record")</f>
        <v>WorldCat Record</v>
      </c>
      <c r="AU132" s="3" t="s">
        <v>1860</v>
      </c>
      <c r="AV132" s="3" t="s">
        <v>1861</v>
      </c>
      <c r="AW132" s="3" t="s">
        <v>1862</v>
      </c>
      <c r="AX132" s="3" t="s">
        <v>1862</v>
      </c>
      <c r="AY132" s="3" t="s">
        <v>1863</v>
      </c>
      <c r="AZ132" s="3" t="s">
        <v>74</v>
      </c>
      <c r="BB132" s="3" t="s">
        <v>1864</v>
      </c>
      <c r="BC132" s="3" t="s">
        <v>1865</v>
      </c>
      <c r="BD132" s="3" t="s">
        <v>1866</v>
      </c>
    </row>
    <row r="133" spans="1:56" ht="42.75" customHeight="1" x14ac:dyDescent="0.25">
      <c r="A133" s="7" t="s">
        <v>58</v>
      </c>
      <c r="B133" s="2" t="s">
        <v>1867</v>
      </c>
      <c r="C133" s="2" t="s">
        <v>1868</v>
      </c>
      <c r="D133" s="2" t="s">
        <v>1869</v>
      </c>
      <c r="F133" s="3" t="s">
        <v>58</v>
      </c>
      <c r="G133" s="3" t="s">
        <v>59</v>
      </c>
      <c r="H133" s="3" t="s">
        <v>58</v>
      </c>
      <c r="I133" s="3" t="s">
        <v>58</v>
      </c>
      <c r="J133" s="3" t="s">
        <v>60</v>
      </c>
      <c r="L133" s="2" t="s">
        <v>1870</v>
      </c>
      <c r="M133" s="3" t="s">
        <v>223</v>
      </c>
      <c r="O133" s="3" t="s">
        <v>64</v>
      </c>
      <c r="P133" s="3" t="s">
        <v>115</v>
      </c>
      <c r="R133" s="3" t="s">
        <v>67</v>
      </c>
      <c r="S133" s="4">
        <v>6</v>
      </c>
      <c r="T133" s="4">
        <v>6</v>
      </c>
      <c r="U133" s="5" t="s">
        <v>1871</v>
      </c>
      <c r="V133" s="5" t="s">
        <v>1871</v>
      </c>
      <c r="W133" s="5" t="s">
        <v>69</v>
      </c>
      <c r="X133" s="5" t="s">
        <v>69</v>
      </c>
      <c r="Y133" s="4">
        <v>231</v>
      </c>
      <c r="Z133" s="4">
        <v>169</v>
      </c>
      <c r="AA133" s="4">
        <v>169</v>
      </c>
      <c r="AB133" s="4">
        <v>3</v>
      </c>
      <c r="AC133" s="4">
        <v>3</v>
      </c>
      <c r="AD133" s="4">
        <v>2</v>
      </c>
      <c r="AE133" s="4">
        <v>2</v>
      </c>
      <c r="AF133" s="4">
        <v>0</v>
      </c>
      <c r="AG133" s="4">
        <v>0</v>
      </c>
      <c r="AH133" s="4">
        <v>0</v>
      </c>
      <c r="AI133" s="4">
        <v>0</v>
      </c>
      <c r="AJ133" s="4">
        <v>0</v>
      </c>
      <c r="AK133" s="4">
        <v>0</v>
      </c>
      <c r="AL133" s="4">
        <v>2</v>
      </c>
      <c r="AM133" s="4">
        <v>2</v>
      </c>
      <c r="AN133" s="4">
        <v>0</v>
      </c>
      <c r="AO133" s="4">
        <v>0</v>
      </c>
      <c r="AP133" s="3" t="s">
        <v>58</v>
      </c>
      <c r="AQ133" s="3" t="s">
        <v>58</v>
      </c>
      <c r="AS133" s="6" t="str">
        <f>HYPERLINK("https://creighton-primo.hosted.exlibrisgroup.com/primo-explore/search?tab=default_tab&amp;search_scope=EVERYTHING&amp;vid=01CRU&amp;lang=en_US&amp;offset=0&amp;query=any,contains,991004635269702656","Catalog Record")</f>
        <v>Catalog Record</v>
      </c>
      <c r="AT133" s="6" t="str">
        <f>HYPERLINK("http://www.worldcat.org/oclc/4405209","WorldCat Record")</f>
        <v>WorldCat Record</v>
      </c>
      <c r="AU133" s="3" t="s">
        <v>1872</v>
      </c>
      <c r="AV133" s="3" t="s">
        <v>1873</v>
      </c>
      <c r="AW133" s="3" t="s">
        <v>1874</v>
      </c>
      <c r="AX133" s="3" t="s">
        <v>1874</v>
      </c>
      <c r="AY133" s="3" t="s">
        <v>1875</v>
      </c>
      <c r="AZ133" s="3" t="s">
        <v>74</v>
      </c>
      <c r="BB133" s="3" t="s">
        <v>1876</v>
      </c>
      <c r="BC133" s="3" t="s">
        <v>1877</v>
      </c>
      <c r="BD133" s="3" t="s">
        <v>1878</v>
      </c>
    </row>
    <row r="134" spans="1:56" ht="42.75" customHeight="1" x14ac:dyDescent="0.25">
      <c r="A134" s="7" t="s">
        <v>58</v>
      </c>
      <c r="B134" s="2" t="s">
        <v>1879</v>
      </c>
      <c r="C134" s="2" t="s">
        <v>1880</v>
      </c>
      <c r="D134" s="2" t="s">
        <v>1881</v>
      </c>
      <c r="F134" s="3" t="s">
        <v>58</v>
      </c>
      <c r="G134" s="3" t="s">
        <v>59</v>
      </c>
      <c r="H134" s="3" t="s">
        <v>58</v>
      </c>
      <c r="I134" s="3" t="s">
        <v>58</v>
      </c>
      <c r="J134" s="3" t="s">
        <v>60</v>
      </c>
      <c r="K134" s="2" t="s">
        <v>1882</v>
      </c>
      <c r="L134" s="2" t="s">
        <v>1883</v>
      </c>
      <c r="M134" s="3" t="s">
        <v>238</v>
      </c>
      <c r="O134" s="3" t="s">
        <v>64</v>
      </c>
      <c r="P134" s="3" t="s">
        <v>83</v>
      </c>
      <c r="R134" s="3" t="s">
        <v>67</v>
      </c>
      <c r="S134" s="4">
        <v>1</v>
      </c>
      <c r="T134" s="4">
        <v>1</v>
      </c>
      <c r="U134" s="5" t="s">
        <v>1884</v>
      </c>
      <c r="V134" s="5" t="s">
        <v>1884</v>
      </c>
      <c r="W134" s="5" t="s">
        <v>1885</v>
      </c>
      <c r="X134" s="5" t="s">
        <v>1885</v>
      </c>
      <c r="Y134" s="4">
        <v>205</v>
      </c>
      <c r="Z134" s="4">
        <v>182</v>
      </c>
      <c r="AA134" s="4">
        <v>183</v>
      </c>
      <c r="AB134" s="4">
        <v>2</v>
      </c>
      <c r="AC134" s="4">
        <v>2</v>
      </c>
      <c r="AD134" s="4">
        <v>5</v>
      </c>
      <c r="AE134" s="4">
        <v>5</v>
      </c>
      <c r="AF134" s="4">
        <v>3</v>
      </c>
      <c r="AG134" s="4">
        <v>3</v>
      </c>
      <c r="AH134" s="4">
        <v>1</v>
      </c>
      <c r="AI134" s="4">
        <v>1</v>
      </c>
      <c r="AJ134" s="4">
        <v>1</v>
      </c>
      <c r="AK134" s="4">
        <v>1</v>
      </c>
      <c r="AL134" s="4">
        <v>1</v>
      </c>
      <c r="AM134" s="4">
        <v>1</v>
      </c>
      <c r="AN134" s="4">
        <v>0</v>
      </c>
      <c r="AO134" s="4">
        <v>0</v>
      </c>
      <c r="AP134" s="3" t="s">
        <v>58</v>
      </c>
      <c r="AQ134" s="3" t="s">
        <v>86</v>
      </c>
      <c r="AR134" s="6" t="str">
        <f>HYPERLINK("http://catalog.hathitrust.org/Record/101983900","HathiTrust Record")</f>
        <v>HathiTrust Record</v>
      </c>
      <c r="AS134" s="6" t="str">
        <f>HYPERLINK("https://creighton-primo.hosted.exlibrisgroup.com/primo-explore/search?tab=default_tab&amp;search_scope=EVERYTHING&amp;vid=01CRU&amp;lang=en_US&amp;offset=0&amp;query=any,contains,991004610229702656","Catalog Record")</f>
        <v>Catalog Record</v>
      </c>
      <c r="AT134" s="6" t="str">
        <f>HYPERLINK("http://www.worldcat.org/oclc/4211127","WorldCat Record")</f>
        <v>WorldCat Record</v>
      </c>
      <c r="AU134" s="3" t="s">
        <v>1886</v>
      </c>
      <c r="AV134" s="3" t="s">
        <v>1887</v>
      </c>
      <c r="AW134" s="3" t="s">
        <v>1888</v>
      </c>
      <c r="AX134" s="3" t="s">
        <v>1888</v>
      </c>
      <c r="AY134" s="3" t="s">
        <v>1889</v>
      </c>
      <c r="AZ134" s="3" t="s">
        <v>74</v>
      </c>
      <c r="BB134" s="3" t="s">
        <v>1890</v>
      </c>
      <c r="BC134" s="3" t="s">
        <v>1891</v>
      </c>
      <c r="BD134" s="3" t="s">
        <v>1892</v>
      </c>
    </row>
    <row r="135" spans="1:56" ht="42.75" customHeight="1" x14ac:dyDescent="0.25">
      <c r="A135" s="7" t="s">
        <v>58</v>
      </c>
      <c r="B135" s="2" t="s">
        <v>1893</v>
      </c>
      <c r="C135" s="2" t="s">
        <v>1894</v>
      </c>
      <c r="D135" s="2" t="s">
        <v>1895</v>
      </c>
      <c r="F135" s="3" t="s">
        <v>58</v>
      </c>
      <c r="G135" s="3" t="s">
        <v>59</v>
      </c>
      <c r="H135" s="3" t="s">
        <v>58</v>
      </c>
      <c r="I135" s="3" t="s">
        <v>58</v>
      </c>
      <c r="J135" s="3" t="s">
        <v>60</v>
      </c>
      <c r="K135" s="2" t="s">
        <v>1896</v>
      </c>
      <c r="L135" s="2" t="s">
        <v>1897</v>
      </c>
      <c r="M135" s="3" t="s">
        <v>63</v>
      </c>
      <c r="O135" s="3" t="s">
        <v>64</v>
      </c>
      <c r="P135" s="3" t="s">
        <v>1898</v>
      </c>
      <c r="R135" s="3" t="s">
        <v>67</v>
      </c>
      <c r="S135" s="4">
        <v>6</v>
      </c>
      <c r="T135" s="4">
        <v>6</v>
      </c>
      <c r="U135" s="5" t="s">
        <v>1011</v>
      </c>
      <c r="V135" s="5" t="s">
        <v>1011</v>
      </c>
      <c r="W135" s="5" t="s">
        <v>69</v>
      </c>
      <c r="X135" s="5" t="s">
        <v>69</v>
      </c>
      <c r="Y135" s="4">
        <v>556</v>
      </c>
      <c r="Z135" s="4">
        <v>462</v>
      </c>
      <c r="AA135" s="4">
        <v>464</v>
      </c>
      <c r="AB135" s="4">
        <v>4</v>
      </c>
      <c r="AC135" s="4">
        <v>4</v>
      </c>
      <c r="AD135" s="4">
        <v>13</v>
      </c>
      <c r="AE135" s="4">
        <v>13</v>
      </c>
      <c r="AF135" s="4">
        <v>8</v>
      </c>
      <c r="AG135" s="4">
        <v>8</v>
      </c>
      <c r="AH135" s="4">
        <v>3</v>
      </c>
      <c r="AI135" s="4">
        <v>3</v>
      </c>
      <c r="AJ135" s="4">
        <v>4</v>
      </c>
      <c r="AK135" s="4">
        <v>4</v>
      </c>
      <c r="AL135" s="4">
        <v>2</v>
      </c>
      <c r="AM135" s="4">
        <v>2</v>
      </c>
      <c r="AN135" s="4">
        <v>0</v>
      </c>
      <c r="AO135" s="4">
        <v>0</v>
      </c>
      <c r="AP135" s="3" t="s">
        <v>58</v>
      </c>
      <c r="AQ135" s="3" t="s">
        <v>86</v>
      </c>
      <c r="AR135" s="6" t="str">
        <f>HYPERLINK("http://catalog.hathitrust.org/Record/000781044","HathiTrust Record")</f>
        <v>HathiTrust Record</v>
      </c>
      <c r="AS135" s="6" t="str">
        <f>HYPERLINK("https://creighton-primo.hosted.exlibrisgroup.com/primo-explore/search?tab=default_tab&amp;search_scope=EVERYTHING&amp;vid=01CRU&amp;lang=en_US&amp;offset=0&amp;query=any,contains,991000080179702656","Catalog Record")</f>
        <v>Catalog Record</v>
      </c>
      <c r="AT135" s="6" t="str">
        <f>HYPERLINK("http://www.worldcat.org/oclc/8827476","WorldCat Record")</f>
        <v>WorldCat Record</v>
      </c>
      <c r="AU135" s="3" t="s">
        <v>1899</v>
      </c>
      <c r="AV135" s="3" t="s">
        <v>1900</v>
      </c>
      <c r="AW135" s="3" t="s">
        <v>1901</v>
      </c>
      <c r="AX135" s="3" t="s">
        <v>1901</v>
      </c>
      <c r="AY135" s="3" t="s">
        <v>1902</v>
      </c>
      <c r="AZ135" s="3" t="s">
        <v>74</v>
      </c>
      <c r="BB135" s="3" t="s">
        <v>1903</v>
      </c>
      <c r="BC135" s="3" t="s">
        <v>1904</v>
      </c>
      <c r="BD135" s="3" t="s">
        <v>1905</v>
      </c>
    </row>
    <row r="136" spans="1:56" ht="42.75" customHeight="1" x14ac:dyDescent="0.25">
      <c r="A136" s="7" t="s">
        <v>58</v>
      </c>
      <c r="B136" s="2" t="s">
        <v>1906</v>
      </c>
      <c r="C136" s="2" t="s">
        <v>1907</v>
      </c>
      <c r="D136" s="2" t="s">
        <v>1908</v>
      </c>
      <c r="F136" s="3" t="s">
        <v>58</v>
      </c>
      <c r="G136" s="3" t="s">
        <v>59</v>
      </c>
      <c r="H136" s="3" t="s">
        <v>58</v>
      </c>
      <c r="I136" s="3" t="s">
        <v>58</v>
      </c>
      <c r="J136" s="3" t="s">
        <v>60</v>
      </c>
      <c r="K136" s="2" t="s">
        <v>1909</v>
      </c>
      <c r="L136" s="2" t="s">
        <v>1910</v>
      </c>
      <c r="M136" s="3" t="s">
        <v>1101</v>
      </c>
      <c r="N136" s="2" t="s">
        <v>1613</v>
      </c>
      <c r="O136" s="3" t="s">
        <v>64</v>
      </c>
      <c r="P136" s="3" t="s">
        <v>316</v>
      </c>
      <c r="R136" s="3" t="s">
        <v>67</v>
      </c>
      <c r="S136" s="4">
        <v>1</v>
      </c>
      <c r="T136" s="4">
        <v>1</v>
      </c>
      <c r="U136" s="5" t="s">
        <v>1911</v>
      </c>
      <c r="V136" s="5" t="s">
        <v>1911</v>
      </c>
      <c r="W136" s="5" t="s">
        <v>1912</v>
      </c>
      <c r="X136" s="5" t="s">
        <v>1912</v>
      </c>
      <c r="Y136" s="4">
        <v>77</v>
      </c>
      <c r="Z136" s="4">
        <v>76</v>
      </c>
      <c r="AA136" s="4">
        <v>98</v>
      </c>
      <c r="AB136" s="4">
        <v>1</v>
      </c>
      <c r="AC136" s="4">
        <v>2</v>
      </c>
      <c r="AD136" s="4">
        <v>3</v>
      </c>
      <c r="AE136" s="4">
        <v>5</v>
      </c>
      <c r="AF136" s="4">
        <v>3</v>
      </c>
      <c r="AG136" s="4">
        <v>4</v>
      </c>
      <c r="AH136" s="4">
        <v>0</v>
      </c>
      <c r="AI136" s="4">
        <v>1</v>
      </c>
      <c r="AJ136" s="4">
        <v>0</v>
      </c>
      <c r="AK136" s="4">
        <v>0</v>
      </c>
      <c r="AL136" s="4">
        <v>0</v>
      </c>
      <c r="AM136" s="4">
        <v>1</v>
      </c>
      <c r="AN136" s="4">
        <v>0</v>
      </c>
      <c r="AO136" s="4">
        <v>0</v>
      </c>
      <c r="AP136" s="3" t="s">
        <v>58</v>
      </c>
      <c r="AQ136" s="3" t="s">
        <v>58</v>
      </c>
      <c r="AS136" s="6" t="str">
        <f>HYPERLINK("https://creighton-primo.hosted.exlibrisgroup.com/primo-explore/search?tab=default_tab&amp;search_scope=EVERYTHING&amp;vid=01CRU&amp;lang=en_US&amp;offset=0&amp;query=any,contains,991003781029702656","Catalog Record")</f>
        <v>Catalog Record</v>
      </c>
      <c r="AT136" s="6" t="str">
        <f>HYPERLINK("http://www.worldcat.org/oclc/48540711","WorldCat Record")</f>
        <v>WorldCat Record</v>
      </c>
      <c r="AU136" s="3" t="s">
        <v>1913</v>
      </c>
      <c r="AV136" s="3" t="s">
        <v>1914</v>
      </c>
      <c r="AW136" s="3" t="s">
        <v>1915</v>
      </c>
      <c r="AX136" s="3" t="s">
        <v>1915</v>
      </c>
      <c r="AY136" s="3" t="s">
        <v>1916</v>
      </c>
      <c r="AZ136" s="3" t="s">
        <v>74</v>
      </c>
      <c r="BB136" s="3" t="s">
        <v>1917</v>
      </c>
      <c r="BC136" s="3" t="s">
        <v>1918</v>
      </c>
      <c r="BD136" s="3" t="s">
        <v>1919</v>
      </c>
    </row>
    <row r="137" spans="1:56" ht="42.75" customHeight="1" x14ac:dyDescent="0.25">
      <c r="A137" s="7" t="s">
        <v>58</v>
      </c>
      <c r="B137" s="2" t="s">
        <v>1920</v>
      </c>
      <c r="C137" s="2" t="s">
        <v>1921</v>
      </c>
      <c r="D137" s="2" t="s">
        <v>1922</v>
      </c>
      <c r="F137" s="3" t="s">
        <v>58</v>
      </c>
      <c r="G137" s="3" t="s">
        <v>59</v>
      </c>
      <c r="H137" s="3" t="s">
        <v>58</v>
      </c>
      <c r="I137" s="3" t="s">
        <v>86</v>
      </c>
      <c r="J137" s="3" t="s">
        <v>60</v>
      </c>
      <c r="L137" s="2" t="s">
        <v>1923</v>
      </c>
      <c r="M137" s="3" t="s">
        <v>207</v>
      </c>
      <c r="O137" s="3" t="s">
        <v>64</v>
      </c>
      <c r="P137" s="3" t="s">
        <v>359</v>
      </c>
      <c r="R137" s="3" t="s">
        <v>67</v>
      </c>
      <c r="S137" s="4">
        <v>1</v>
      </c>
      <c r="T137" s="4">
        <v>1</v>
      </c>
      <c r="U137" s="5" t="s">
        <v>1924</v>
      </c>
      <c r="V137" s="5" t="s">
        <v>1924</v>
      </c>
      <c r="W137" s="5" t="s">
        <v>1925</v>
      </c>
      <c r="X137" s="5" t="s">
        <v>1925</v>
      </c>
      <c r="Y137" s="4">
        <v>252</v>
      </c>
      <c r="Z137" s="4">
        <v>205</v>
      </c>
      <c r="AA137" s="4">
        <v>581</v>
      </c>
      <c r="AB137" s="4">
        <v>3</v>
      </c>
      <c r="AC137" s="4">
        <v>6</v>
      </c>
      <c r="AD137" s="4">
        <v>4</v>
      </c>
      <c r="AE137" s="4">
        <v>16</v>
      </c>
      <c r="AF137" s="4">
        <v>2</v>
      </c>
      <c r="AG137" s="4">
        <v>8</v>
      </c>
      <c r="AH137" s="4">
        <v>0</v>
      </c>
      <c r="AI137" s="4">
        <v>3</v>
      </c>
      <c r="AJ137" s="4">
        <v>0</v>
      </c>
      <c r="AK137" s="4">
        <v>5</v>
      </c>
      <c r="AL137" s="4">
        <v>2</v>
      </c>
      <c r="AM137" s="4">
        <v>4</v>
      </c>
      <c r="AN137" s="4">
        <v>0</v>
      </c>
      <c r="AO137" s="4">
        <v>0</v>
      </c>
      <c r="AP137" s="3" t="s">
        <v>58</v>
      </c>
      <c r="AQ137" s="3" t="s">
        <v>86</v>
      </c>
      <c r="AR137" s="6" t="str">
        <f>HYPERLINK("http://catalog.hathitrust.org/Record/000105176","HathiTrust Record")</f>
        <v>HathiTrust Record</v>
      </c>
      <c r="AS137" s="6" t="str">
        <f>HYPERLINK("https://creighton-primo.hosted.exlibrisgroup.com/primo-explore/search?tab=default_tab&amp;search_scope=EVERYTHING&amp;vid=01CRU&amp;lang=en_US&amp;offset=0&amp;query=any,contains,991005133359702656","Catalog Record")</f>
        <v>Catalog Record</v>
      </c>
      <c r="AT137" s="6" t="str">
        <f>HYPERLINK("http://www.worldcat.org/oclc/7574387","WorldCat Record")</f>
        <v>WorldCat Record</v>
      </c>
      <c r="AU137" s="3" t="s">
        <v>1926</v>
      </c>
      <c r="AV137" s="3" t="s">
        <v>1927</v>
      </c>
      <c r="AW137" s="3" t="s">
        <v>1928</v>
      </c>
      <c r="AX137" s="3" t="s">
        <v>1928</v>
      </c>
      <c r="AY137" s="3" t="s">
        <v>1929</v>
      </c>
      <c r="AZ137" s="3" t="s">
        <v>74</v>
      </c>
      <c r="BB137" s="3" t="s">
        <v>1930</v>
      </c>
      <c r="BC137" s="3" t="s">
        <v>1931</v>
      </c>
      <c r="BD137" s="3" t="s">
        <v>1932</v>
      </c>
    </row>
    <row r="138" spans="1:56" ht="42.75" customHeight="1" x14ac:dyDescent="0.25">
      <c r="A138" s="7" t="s">
        <v>58</v>
      </c>
      <c r="B138" s="2" t="s">
        <v>1933</v>
      </c>
      <c r="C138" s="2" t="s">
        <v>1934</v>
      </c>
      <c r="D138" s="2" t="s">
        <v>1935</v>
      </c>
      <c r="F138" s="3" t="s">
        <v>58</v>
      </c>
      <c r="G138" s="3" t="s">
        <v>59</v>
      </c>
      <c r="H138" s="3" t="s">
        <v>86</v>
      </c>
      <c r="I138" s="3" t="s">
        <v>86</v>
      </c>
      <c r="J138" s="3" t="s">
        <v>60</v>
      </c>
      <c r="L138" s="2" t="s">
        <v>1936</v>
      </c>
      <c r="M138" s="3" t="s">
        <v>98</v>
      </c>
      <c r="N138" s="2" t="s">
        <v>1613</v>
      </c>
      <c r="O138" s="3" t="s">
        <v>64</v>
      </c>
      <c r="P138" s="3" t="s">
        <v>359</v>
      </c>
      <c r="R138" s="3" t="s">
        <v>67</v>
      </c>
      <c r="S138" s="4">
        <v>13</v>
      </c>
      <c r="T138" s="4">
        <v>13</v>
      </c>
      <c r="U138" s="5" t="s">
        <v>1937</v>
      </c>
      <c r="V138" s="5" t="s">
        <v>1937</v>
      </c>
      <c r="W138" s="5" t="s">
        <v>1938</v>
      </c>
      <c r="X138" s="5" t="s">
        <v>1938</v>
      </c>
      <c r="Y138" s="4">
        <v>411</v>
      </c>
      <c r="Z138" s="4">
        <v>326</v>
      </c>
      <c r="AA138" s="4">
        <v>581</v>
      </c>
      <c r="AB138" s="4">
        <v>3</v>
      </c>
      <c r="AC138" s="4">
        <v>6</v>
      </c>
      <c r="AD138" s="4">
        <v>7</v>
      </c>
      <c r="AE138" s="4">
        <v>16</v>
      </c>
      <c r="AF138" s="4">
        <v>4</v>
      </c>
      <c r="AG138" s="4">
        <v>8</v>
      </c>
      <c r="AH138" s="4">
        <v>1</v>
      </c>
      <c r="AI138" s="4">
        <v>3</v>
      </c>
      <c r="AJ138" s="4">
        <v>4</v>
      </c>
      <c r="AK138" s="4">
        <v>5</v>
      </c>
      <c r="AL138" s="4">
        <v>1</v>
      </c>
      <c r="AM138" s="4">
        <v>4</v>
      </c>
      <c r="AN138" s="4">
        <v>0</v>
      </c>
      <c r="AO138" s="4">
        <v>0</v>
      </c>
      <c r="AP138" s="3" t="s">
        <v>58</v>
      </c>
      <c r="AQ138" s="3" t="s">
        <v>86</v>
      </c>
      <c r="AR138" s="6" t="str">
        <f>HYPERLINK("http://catalog.hathitrust.org/Record/000917800","HathiTrust Record")</f>
        <v>HathiTrust Record</v>
      </c>
      <c r="AS138" s="6" t="str">
        <f>HYPERLINK("https://creighton-primo.hosted.exlibrisgroup.com/primo-explore/search?tab=default_tab&amp;search_scope=EVERYTHING&amp;vid=01CRU&amp;lang=en_US&amp;offset=0&amp;query=any,contains,991001266259702656","Catalog Record")</f>
        <v>Catalog Record</v>
      </c>
      <c r="AT138" s="6" t="str">
        <f>HYPERLINK("http://www.worldcat.org/oclc/17806126","WorldCat Record")</f>
        <v>WorldCat Record</v>
      </c>
      <c r="AU138" s="3" t="s">
        <v>1926</v>
      </c>
      <c r="AV138" s="3" t="s">
        <v>1939</v>
      </c>
      <c r="AW138" s="3" t="s">
        <v>1940</v>
      </c>
      <c r="AX138" s="3" t="s">
        <v>1940</v>
      </c>
      <c r="AY138" s="3" t="s">
        <v>1941</v>
      </c>
      <c r="AZ138" s="3" t="s">
        <v>74</v>
      </c>
      <c r="BB138" s="3" t="s">
        <v>1942</v>
      </c>
      <c r="BC138" s="3" t="s">
        <v>1943</v>
      </c>
      <c r="BD138" s="3" t="s">
        <v>1944</v>
      </c>
    </row>
    <row r="139" spans="1:56" ht="42.75" customHeight="1" x14ac:dyDescent="0.25">
      <c r="A139" s="7" t="s">
        <v>58</v>
      </c>
      <c r="B139" s="2" t="s">
        <v>1945</v>
      </c>
      <c r="C139" s="2" t="s">
        <v>1946</v>
      </c>
      <c r="D139" s="2" t="s">
        <v>1947</v>
      </c>
      <c r="F139" s="3" t="s">
        <v>58</v>
      </c>
      <c r="G139" s="3" t="s">
        <v>59</v>
      </c>
      <c r="H139" s="3" t="s">
        <v>58</v>
      </c>
      <c r="I139" s="3" t="s">
        <v>58</v>
      </c>
      <c r="J139" s="3" t="s">
        <v>60</v>
      </c>
      <c r="K139" s="2" t="s">
        <v>1948</v>
      </c>
      <c r="L139" s="2" t="s">
        <v>1949</v>
      </c>
      <c r="M139" s="3" t="s">
        <v>996</v>
      </c>
      <c r="O139" s="3" t="s">
        <v>64</v>
      </c>
      <c r="P139" s="3" t="s">
        <v>1898</v>
      </c>
      <c r="R139" s="3" t="s">
        <v>67</v>
      </c>
      <c r="S139" s="4">
        <v>3</v>
      </c>
      <c r="T139" s="4">
        <v>3</v>
      </c>
      <c r="U139" s="5" t="s">
        <v>1950</v>
      </c>
      <c r="V139" s="5" t="s">
        <v>1950</v>
      </c>
      <c r="W139" s="5" t="s">
        <v>1615</v>
      </c>
      <c r="X139" s="5" t="s">
        <v>1615</v>
      </c>
      <c r="Y139" s="4">
        <v>93</v>
      </c>
      <c r="Z139" s="4">
        <v>84</v>
      </c>
      <c r="AA139" s="4">
        <v>84</v>
      </c>
      <c r="AB139" s="4">
        <v>1</v>
      </c>
      <c r="AC139" s="4">
        <v>1</v>
      </c>
      <c r="AD139" s="4">
        <v>4</v>
      </c>
      <c r="AE139" s="4">
        <v>4</v>
      </c>
      <c r="AF139" s="4">
        <v>3</v>
      </c>
      <c r="AG139" s="4">
        <v>3</v>
      </c>
      <c r="AH139" s="4">
        <v>1</v>
      </c>
      <c r="AI139" s="4">
        <v>1</v>
      </c>
      <c r="AJ139" s="4">
        <v>1</v>
      </c>
      <c r="AK139" s="4">
        <v>1</v>
      </c>
      <c r="AL139" s="4">
        <v>0</v>
      </c>
      <c r="AM139" s="4">
        <v>0</v>
      </c>
      <c r="AN139" s="4">
        <v>0</v>
      </c>
      <c r="AO139" s="4">
        <v>0</v>
      </c>
      <c r="AP139" s="3" t="s">
        <v>58</v>
      </c>
      <c r="AQ139" s="3" t="s">
        <v>58</v>
      </c>
      <c r="AS139" s="6" t="str">
        <f>HYPERLINK("https://creighton-primo.hosted.exlibrisgroup.com/primo-explore/search?tab=default_tab&amp;search_scope=EVERYTHING&amp;vid=01CRU&amp;lang=en_US&amp;offset=0&amp;query=any,contains,991003781059702656","Catalog Record")</f>
        <v>Catalog Record</v>
      </c>
      <c r="AT139" s="6" t="str">
        <f>HYPERLINK("http://www.worldcat.org/oclc/43913105","WorldCat Record")</f>
        <v>WorldCat Record</v>
      </c>
      <c r="AU139" s="3" t="s">
        <v>1951</v>
      </c>
      <c r="AV139" s="3" t="s">
        <v>1952</v>
      </c>
      <c r="AW139" s="3" t="s">
        <v>1953</v>
      </c>
      <c r="AX139" s="3" t="s">
        <v>1953</v>
      </c>
      <c r="AY139" s="3" t="s">
        <v>1954</v>
      </c>
      <c r="AZ139" s="3" t="s">
        <v>74</v>
      </c>
      <c r="BB139" s="3" t="s">
        <v>1955</v>
      </c>
      <c r="BC139" s="3" t="s">
        <v>1956</v>
      </c>
      <c r="BD139" s="3" t="s">
        <v>1957</v>
      </c>
    </row>
    <row r="140" spans="1:56" ht="42.75" customHeight="1" x14ac:dyDescent="0.25">
      <c r="A140" s="7" t="s">
        <v>58</v>
      </c>
      <c r="B140" s="2" t="s">
        <v>1958</v>
      </c>
      <c r="C140" s="2" t="s">
        <v>1959</v>
      </c>
      <c r="D140" s="2" t="s">
        <v>1960</v>
      </c>
      <c r="F140" s="3" t="s">
        <v>58</v>
      </c>
      <c r="G140" s="3" t="s">
        <v>59</v>
      </c>
      <c r="H140" s="3" t="s">
        <v>86</v>
      </c>
      <c r="I140" s="3" t="s">
        <v>58</v>
      </c>
      <c r="J140" s="3" t="s">
        <v>60</v>
      </c>
      <c r="K140" s="2" t="s">
        <v>1961</v>
      </c>
      <c r="L140" s="2" t="s">
        <v>1962</v>
      </c>
      <c r="M140" s="3" t="s">
        <v>63</v>
      </c>
      <c r="O140" s="3" t="s">
        <v>64</v>
      </c>
      <c r="P140" s="3" t="s">
        <v>83</v>
      </c>
      <c r="R140" s="3" t="s">
        <v>67</v>
      </c>
      <c r="S140" s="4">
        <v>5</v>
      </c>
      <c r="T140" s="4">
        <v>8</v>
      </c>
      <c r="U140" s="5" t="s">
        <v>1963</v>
      </c>
      <c r="V140" s="5" t="s">
        <v>1963</v>
      </c>
      <c r="W140" s="5" t="s">
        <v>1964</v>
      </c>
      <c r="X140" s="5" t="s">
        <v>1964</v>
      </c>
      <c r="Y140" s="4">
        <v>236</v>
      </c>
      <c r="Z140" s="4">
        <v>208</v>
      </c>
      <c r="AA140" s="4">
        <v>211</v>
      </c>
      <c r="AB140" s="4">
        <v>4</v>
      </c>
      <c r="AC140" s="4">
        <v>4</v>
      </c>
      <c r="AD140" s="4">
        <v>3</v>
      </c>
      <c r="AE140" s="4">
        <v>3</v>
      </c>
      <c r="AF140" s="4">
        <v>0</v>
      </c>
      <c r="AG140" s="4">
        <v>0</v>
      </c>
      <c r="AH140" s="4">
        <v>1</v>
      </c>
      <c r="AI140" s="4">
        <v>1</v>
      </c>
      <c r="AJ140" s="4">
        <v>1</v>
      </c>
      <c r="AK140" s="4">
        <v>1</v>
      </c>
      <c r="AL140" s="4">
        <v>2</v>
      </c>
      <c r="AM140" s="4">
        <v>2</v>
      </c>
      <c r="AN140" s="4">
        <v>0</v>
      </c>
      <c r="AO140" s="4">
        <v>0</v>
      </c>
      <c r="AP140" s="3" t="s">
        <v>58</v>
      </c>
      <c r="AQ140" s="3" t="s">
        <v>86</v>
      </c>
      <c r="AR140" s="6" t="str">
        <f>HYPERLINK("http://catalog.hathitrust.org/Record/000119183","HathiTrust Record")</f>
        <v>HathiTrust Record</v>
      </c>
      <c r="AS140" s="6" t="str">
        <f>HYPERLINK("https://creighton-primo.hosted.exlibrisgroup.com/primo-explore/search?tab=default_tab&amp;search_scope=EVERYTHING&amp;vid=01CRU&amp;lang=en_US&amp;offset=0&amp;query=any,contains,991001771929702656","Catalog Record")</f>
        <v>Catalog Record</v>
      </c>
      <c r="AT140" s="6" t="str">
        <f>HYPERLINK("http://www.worldcat.org/oclc/10014559","WorldCat Record")</f>
        <v>WorldCat Record</v>
      </c>
      <c r="AU140" s="3" t="s">
        <v>1965</v>
      </c>
      <c r="AV140" s="3" t="s">
        <v>1966</v>
      </c>
      <c r="AW140" s="3" t="s">
        <v>1967</v>
      </c>
      <c r="AX140" s="3" t="s">
        <v>1967</v>
      </c>
      <c r="AY140" s="3" t="s">
        <v>1968</v>
      </c>
      <c r="AZ140" s="3" t="s">
        <v>74</v>
      </c>
      <c r="BB140" s="3" t="s">
        <v>1969</v>
      </c>
      <c r="BC140" s="3" t="s">
        <v>1970</v>
      </c>
      <c r="BD140" s="3" t="s">
        <v>1971</v>
      </c>
    </row>
    <row r="141" spans="1:56" ht="42.75" customHeight="1" x14ac:dyDescent="0.25">
      <c r="A141" s="7" t="s">
        <v>58</v>
      </c>
      <c r="B141" s="2" t="s">
        <v>1972</v>
      </c>
      <c r="C141" s="2" t="s">
        <v>1973</v>
      </c>
      <c r="D141" s="2" t="s">
        <v>1974</v>
      </c>
      <c r="F141" s="3" t="s">
        <v>58</v>
      </c>
      <c r="G141" s="3" t="s">
        <v>59</v>
      </c>
      <c r="H141" s="3" t="s">
        <v>58</v>
      </c>
      <c r="I141" s="3" t="s">
        <v>58</v>
      </c>
      <c r="J141" s="3" t="s">
        <v>60</v>
      </c>
      <c r="L141" s="2" t="s">
        <v>1975</v>
      </c>
      <c r="M141" s="3" t="s">
        <v>371</v>
      </c>
      <c r="O141" s="3" t="s">
        <v>64</v>
      </c>
      <c r="P141" s="3" t="s">
        <v>83</v>
      </c>
      <c r="Q141" s="2" t="s">
        <v>1976</v>
      </c>
      <c r="R141" s="3" t="s">
        <v>67</v>
      </c>
      <c r="S141" s="4">
        <v>8</v>
      </c>
      <c r="T141" s="4">
        <v>8</v>
      </c>
      <c r="U141" s="5" t="s">
        <v>1977</v>
      </c>
      <c r="V141" s="5" t="s">
        <v>1977</v>
      </c>
      <c r="W141" s="5" t="s">
        <v>1978</v>
      </c>
      <c r="X141" s="5" t="s">
        <v>1978</v>
      </c>
      <c r="Y141" s="4">
        <v>275</v>
      </c>
      <c r="Z141" s="4">
        <v>208</v>
      </c>
      <c r="AA141" s="4">
        <v>210</v>
      </c>
      <c r="AB141" s="4">
        <v>3</v>
      </c>
      <c r="AC141" s="4">
        <v>3</v>
      </c>
      <c r="AD141" s="4">
        <v>4</v>
      </c>
      <c r="AE141" s="4">
        <v>4</v>
      </c>
      <c r="AF141" s="4">
        <v>1</v>
      </c>
      <c r="AG141" s="4">
        <v>1</v>
      </c>
      <c r="AH141" s="4">
        <v>0</v>
      </c>
      <c r="AI141" s="4">
        <v>0</v>
      </c>
      <c r="AJ141" s="4">
        <v>1</v>
      </c>
      <c r="AK141" s="4">
        <v>1</v>
      </c>
      <c r="AL141" s="4">
        <v>2</v>
      </c>
      <c r="AM141" s="4">
        <v>2</v>
      </c>
      <c r="AN141" s="4">
        <v>0</v>
      </c>
      <c r="AO141" s="4">
        <v>0</v>
      </c>
      <c r="AP141" s="3" t="s">
        <v>58</v>
      </c>
      <c r="AQ141" s="3" t="s">
        <v>86</v>
      </c>
      <c r="AR141" s="6" t="str">
        <f>HYPERLINK("http://catalog.hathitrust.org/Record/010518072","HathiTrust Record")</f>
        <v>HathiTrust Record</v>
      </c>
      <c r="AS141" s="6" t="str">
        <f>HYPERLINK("https://creighton-primo.hosted.exlibrisgroup.com/primo-explore/search?tab=default_tab&amp;search_scope=EVERYTHING&amp;vid=01CRU&amp;lang=en_US&amp;offset=0&amp;query=any,contains,991000864219702656","Catalog Record")</f>
        <v>Catalog Record</v>
      </c>
      <c r="AT141" s="6" t="str">
        <f>HYPERLINK("http://www.worldcat.org/oclc/13703102","WorldCat Record")</f>
        <v>WorldCat Record</v>
      </c>
      <c r="AU141" s="3" t="s">
        <v>1979</v>
      </c>
      <c r="AV141" s="3" t="s">
        <v>1980</v>
      </c>
      <c r="AW141" s="3" t="s">
        <v>1981</v>
      </c>
      <c r="AX141" s="3" t="s">
        <v>1981</v>
      </c>
      <c r="AY141" s="3" t="s">
        <v>1982</v>
      </c>
      <c r="AZ141" s="3" t="s">
        <v>74</v>
      </c>
      <c r="BB141" s="3" t="s">
        <v>1983</v>
      </c>
      <c r="BC141" s="3" t="s">
        <v>1984</v>
      </c>
      <c r="BD141" s="3" t="s">
        <v>1985</v>
      </c>
    </row>
    <row r="142" spans="1:56" ht="42.75" customHeight="1" x14ac:dyDescent="0.25">
      <c r="A142" s="7" t="s">
        <v>58</v>
      </c>
      <c r="B142" s="2" t="s">
        <v>1986</v>
      </c>
      <c r="C142" s="2" t="s">
        <v>1987</v>
      </c>
      <c r="D142" s="2" t="s">
        <v>1988</v>
      </c>
      <c r="F142" s="3" t="s">
        <v>58</v>
      </c>
      <c r="G142" s="3" t="s">
        <v>59</v>
      </c>
      <c r="H142" s="3" t="s">
        <v>58</v>
      </c>
      <c r="I142" s="3" t="s">
        <v>58</v>
      </c>
      <c r="J142" s="3" t="s">
        <v>60</v>
      </c>
      <c r="K142" s="2" t="s">
        <v>1989</v>
      </c>
      <c r="L142" s="2" t="s">
        <v>1990</v>
      </c>
      <c r="M142" s="3" t="s">
        <v>98</v>
      </c>
      <c r="O142" s="3" t="s">
        <v>64</v>
      </c>
      <c r="P142" s="3" t="s">
        <v>83</v>
      </c>
      <c r="R142" s="3" t="s">
        <v>67</v>
      </c>
      <c r="S142" s="4">
        <v>12</v>
      </c>
      <c r="T142" s="4">
        <v>12</v>
      </c>
      <c r="U142" s="5" t="s">
        <v>1977</v>
      </c>
      <c r="V142" s="5" t="s">
        <v>1977</v>
      </c>
      <c r="W142" s="5" t="s">
        <v>1964</v>
      </c>
      <c r="X142" s="5" t="s">
        <v>1964</v>
      </c>
      <c r="Y142" s="4">
        <v>342</v>
      </c>
      <c r="Z142" s="4">
        <v>250</v>
      </c>
      <c r="AA142" s="4">
        <v>256</v>
      </c>
      <c r="AB142" s="4">
        <v>5</v>
      </c>
      <c r="AC142" s="4">
        <v>5</v>
      </c>
      <c r="AD142" s="4">
        <v>8</v>
      </c>
      <c r="AE142" s="4">
        <v>8</v>
      </c>
      <c r="AF142" s="4">
        <v>2</v>
      </c>
      <c r="AG142" s="4">
        <v>2</v>
      </c>
      <c r="AH142" s="4">
        <v>2</v>
      </c>
      <c r="AI142" s="4">
        <v>2</v>
      </c>
      <c r="AJ142" s="4">
        <v>2</v>
      </c>
      <c r="AK142" s="4">
        <v>2</v>
      </c>
      <c r="AL142" s="4">
        <v>4</v>
      </c>
      <c r="AM142" s="4">
        <v>4</v>
      </c>
      <c r="AN142" s="4">
        <v>0</v>
      </c>
      <c r="AO142" s="4">
        <v>0</v>
      </c>
      <c r="AP142" s="3" t="s">
        <v>58</v>
      </c>
      <c r="AQ142" s="3" t="s">
        <v>86</v>
      </c>
      <c r="AR142" s="6" t="str">
        <f>HYPERLINK("http://catalog.hathitrust.org/Record/101879229","HathiTrust Record")</f>
        <v>HathiTrust Record</v>
      </c>
      <c r="AS142" s="6" t="str">
        <f>HYPERLINK("https://creighton-primo.hosted.exlibrisgroup.com/primo-explore/search?tab=default_tab&amp;search_scope=EVERYTHING&amp;vid=01CRU&amp;lang=en_US&amp;offset=0&amp;query=any,contains,991001135749702656","Catalog Record")</f>
        <v>Catalog Record</v>
      </c>
      <c r="AT142" s="6" t="str">
        <f>HYPERLINK("http://www.worldcat.org/oclc/16711308","WorldCat Record")</f>
        <v>WorldCat Record</v>
      </c>
      <c r="AU142" s="3" t="s">
        <v>1991</v>
      </c>
      <c r="AV142" s="3" t="s">
        <v>1992</v>
      </c>
      <c r="AW142" s="3" t="s">
        <v>1993</v>
      </c>
      <c r="AX142" s="3" t="s">
        <v>1993</v>
      </c>
      <c r="AY142" s="3" t="s">
        <v>1994</v>
      </c>
      <c r="AZ142" s="3" t="s">
        <v>74</v>
      </c>
      <c r="BB142" s="3" t="s">
        <v>1995</v>
      </c>
      <c r="BC142" s="3" t="s">
        <v>1996</v>
      </c>
      <c r="BD142" s="3" t="s">
        <v>1997</v>
      </c>
    </row>
    <row r="143" spans="1:56" ht="42.75" customHeight="1" x14ac:dyDescent="0.25">
      <c r="A143" s="7" t="s">
        <v>58</v>
      </c>
      <c r="B143" s="2" t="s">
        <v>1998</v>
      </c>
      <c r="C143" s="2" t="s">
        <v>1999</v>
      </c>
      <c r="D143" s="2" t="s">
        <v>2000</v>
      </c>
      <c r="F143" s="3" t="s">
        <v>58</v>
      </c>
      <c r="G143" s="3" t="s">
        <v>59</v>
      </c>
      <c r="H143" s="3" t="s">
        <v>58</v>
      </c>
      <c r="I143" s="3" t="s">
        <v>58</v>
      </c>
      <c r="J143" s="3" t="s">
        <v>60</v>
      </c>
      <c r="L143" s="2" t="s">
        <v>2001</v>
      </c>
      <c r="M143" s="3" t="s">
        <v>98</v>
      </c>
      <c r="O143" s="3" t="s">
        <v>64</v>
      </c>
      <c r="P143" s="3" t="s">
        <v>83</v>
      </c>
      <c r="Q143" s="2" t="s">
        <v>2002</v>
      </c>
      <c r="R143" s="3" t="s">
        <v>67</v>
      </c>
      <c r="S143" s="4">
        <v>13</v>
      </c>
      <c r="T143" s="4">
        <v>13</v>
      </c>
      <c r="U143" s="5" t="s">
        <v>1977</v>
      </c>
      <c r="V143" s="5" t="s">
        <v>1977</v>
      </c>
      <c r="W143" s="5" t="s">
        <v>1964</v>
      </c>
      <c r="X143" s="5" t="s">
        <v>1964</v>
      </c>
      <c r="Y143" s="4">
        <v>485</v>
      </c>
      <c r="Z143" s="4">
        <v>376</v>
      </c>
      <c r="AA143" s="4">
        <v>385</v>
      </c>
      <c r="AB143" s="4">
        <v>7</v>
      </c>
      <c r="AC143" s="4">
        <v>7</v>
      </c>
      <c r="AD143" s="4">
        <v>20</v>
      </c>
      <c r="AE143" s="4">
        <v>20</v>
      </c>
      <c r="AF143" s="4">
        <v>7</v>
      </c>
      <c r="AG143" s="4">
        <v>7</v>
      </c>
      <c r="AH143" s="4">
        <v>4</v>
      </c>
      <c r="AI143" s="4">
        <v>4</v>
      </c>
      <c r="AJ143" s="4">
        <v>7</v>
      </c>
      <c r="AK143" s="4">
        <v>7</v>
      </c>
      <c r="AL143" s="4">
        <v>6</v>
      </c>
      <c r="AM143" s="4">
        <v>6</v>
      </c>
      <c r="AN143" s="4">
        <v>0</v>
      </c>
      <c r="AO143" s="4">
        <v>0</v>
      </c>
      <c r="AP143" s="3" t="s">
        <v>58</v>
      </c>
      <c r="AQ143" s="3" t="s">
        <v>86</v>
      </c>
      <c r="AR143" s="6" t="str">
        <f>HYPERLINK("http://catalog.hathitrust.org/Record/004384063","HathiTrust Record")</f>
        <v>HathiTrust Record</v>
      </c>
      <c r="AS143" s="6" t="str">
        <f>HYPERLINK("https://creighton-primo.hosted.exlibrisgroup.com/primo-explore/search?tab=default_tab&amp;search_scope=EVERYTHING&amp;vid=01CRU&amp;lang=en_US&amp;offset=0&amp;query=any,contains,991000983679702656","Catalog Record")</f>
        <v>Catalog Record</v>
      </c>
      <c r="AT143" s="6" t="str">
        <f>HYPERLINK("http://www.worldcat.org/oclc/15054726","WorldCat Record")</f>
        <v>WorldCat Record</v>
      </c>
      <c r="AU143" s="3" t="s">
        <v>2003</v>
      </c>
      <c r="AV143" s="3" t="s">
        <v>2004</v>
      </c>
      <c r="AW143" s="3" t="s">
        <v>2005</v>
      </c>
      <c r="AX143" s="3" t="s">
        <v>2005</v>
      </c>
      <c r="AY143" s="3" t="s">
        <v>2006</v>
      </c>
      <c r="AZ143" s="3" t="s">
        <v>74</v>
      </c>
      <c r="BB143" s="3" t="s">
        <v>2007</v>
      </c>
      <c r="BC143" s="3" t="s">
        <v>2008</v>
      </c>
      <c r="BD143" s="3" t="s">
        <v>2009</v>
      </c>
    </row>
    <row r="144" spans="1:56" ht="42.75" customHeight="1" x14ac:dyDescent="0.25">
      <c r="A144" s="7" t="s">
        <v>58</v>
      </c>
      <c r="B144" s="2" t="s">
        <v>2010</v>
      </c>
      <c r="C144" s="2" t="s">
        <v>2011</v>
      </c>
      <c r="D144" s="2" t="s">
        <v>2012</v>
      </c>
      <c r="F144" s="3" t="s">
        <v>58</v>
      </c>
      <c r="G144" s="3" t="s">
        <v>59</v>
      </c>
      <c r="H144" s="3" t="s">
        <v>58</v>
      </c>
      <c r="I144" s="3" t="s">
        <v>58</v>
      </c>
      <c r="J144" s="3" t="s">
        <v>60</v>
      </c>
      <c r="K144" s="2" t="s">
        <v>2013</v>
      </c>
      <c r="L144" s="2" t="s">
        <v>2014</v>
      </c>
      <c r="M144" s="3" t="s">
        <v>1235</v>
      </c>
      <c r="O144" s="3" t="s">
        <v>64</v>
      </c>
      <c r="P144" s="3" t="s">
        <v>178</v>
      </c>
      <c r="R144" s="3" t="s">
        <v>67</v>
      </c>
      <c r="S144" s="4">
        <v>1</v>
      </c>
      <c r="T144" s="4">
        <v>1</v>
      </c>
      <c r="U144" s="5" t="s">
        <v>2015</v>
      </c>
      <c r="V144" s="5" t="s">
        <v>2015</v>
      </c>
      <c r="W144" s="5" t="s">
        <v>2015</v>
      </c>
      <c r="X144" s="5" t="s">
        <v>2015</v>
      </c>
      <c r="Y144" s="4">
        <v>2</v>
      </c>
      <c r="Z144" s="4">
        <v>1</v>
      </c>
      <c r="AA144" s="4">
        <v>1</v>
      </c>
      <c r="AB144" s="4">
        <v>0</v>
      </c>
      <c r="AC144" s="4">
        <v>0</v>
      </c>
      <c r="AD144" s="4">
        <v>0</v>
      </c>
      <c r="AE144" s="4">
        <v>0</v>
      </c>
      <c r="AF144" s="4">
        <v>0</v>
      </c>
      <c r="AG144" s="4">
        <v>0</v>
      </c>
      <c r="AH144" s="4">
        <v>0</v>
      </c>
      <c r="AI144" s="4">
        <v>0</v>
      </c>
      <c r="AJ144" s="4">
        <v>0</v>
      </c>
      <c r="AK144" s="4">
        <v>0</v>
      </c>
      <c r="AL144" s="4">
        <v>0</v>
      </c>
      <c r="AM144" s="4">
        <v>0</v>
      </c>
      <c r="AN144" s="4">
        <v>0</v>
      </c>
      <c r="AO144" s="4">
        <v>0</v>
      </c>
      <c r="AP144" s="3" t="s">
        <v>58</v>
      </c>
      <c r="AQ144" s="3" t="s">
        <v>58</v>
      </c>
      <c r="AS144" s="6" t="str">
        <f>HYPERLINK("https://creighton-primo.hosted.exlibrisgroup.com/primo-explore/search?tab=default_tab&amp;search_scope=EVERYTHING&amp;vid=01CRU&amp;lang=en_US&amp;offset=0&amp;query=any,contains,991005334189702656","Catalog Record")</f>
        <v>Catalog Record</v>
      </c>
      <c r="AT144" s="6" t="str">
        <f>HYPERLINK("http://www.worldcat.org/oclc/770864368","WorldCat Record")</f>
        <v>WorldCat Record</v>
      </c>
      <c r="AU144" s="3" t="s">
        <v>2016</v>
      </c>
      <c r="AV144" s="3" t="s">
        <v>2017</v>
      </c>
      <c r="AW144" s="3" t="s">
        <v>2018</v>
      </c>
      <c r="AX144" s="3" t="s">
        <v>2018</v>
      </c>
      <c r="AY144" s="3" t="s">
        <v>2019</v>
      </c>
      <c r="AZ144" s="3" t="s">
        <v>74</v>
      </c>
      <c r="BB144" s="3" t="s">
        <v>2020</v>
      </c>
      <c r="BC144" s="3" t="s">
        <v>2021</v>
      </c>
      <c r="BD144" s="3" t="s">
        <v>2022</v>
      </c>
    </row>
    <row r="145" spans="1:56" ht="42.75" customHeight="1" x14ac:dyDescent="0.25">
      <c r="A145" s="7" t="s">
        <v>58</v>
      </c>
      <c r="B145" s="2" t="s">
        <v>2023</v>
      </c>
      <c r="C145" s="2" t="s">
        <v>2024</v>
      </c>
      <c r="D145" s="2" t="s">
        <v>2025</v>
      </c>
      <c r="F145" s="3" t="s">
        <v>58</v>
      </c>
      <c r="G145" s="3" t="s">
        <v>59</v>
      </c>
      <c r="H145" s="3" t="s">
        <v>58</v>
      </c>
      <c r="I145" s="3" t="s">
        <v>58</v>
      </c>
      <c r="J145" s="3" t="s">
        <v>60</v>
      </c>
      <c r="L145" s="2" t="s">
        <v>1975</v>
      </c>
      <c r="M145" s="3" t="s">
        <v>371</v>
      </c>
      <c r="O145" s="3" t="s">
        <v>64</v>
      </c>
      <c r="P145" s="3" t="s">
        <v>83</v>
      </c>
      <c r="R145" s="3" t="s">
        <v>67</v>
      </c>
      <c r="S145" s="4">
        <v>9</v>
      </c>
      <c r="T145" s="4">
        <v>9</v>
      </c>
      <c r="U145" s="5" t="s">
        <v>2026</v>
      </c>
      <c r="V145" s="5" t="s">
        <v>2026</v>
      </c>
      <c r="W145" s="5" t="s">
        <v>1964</v>
      </c>
      <c r="X145" s="5" t="s">
        <v>1964</v>
      </c>
      <c r="Y145" s="4">
        <v>506</v>
      </c>
      <c r="Z145" s="4">
        <v>427</v>
      </c>
      <c r="AA145" s="4">
        <v>433</v>
      </c>
      <c r="AB145" s="4">
        <v>7</v>
      </c>
      <c r="AC145" s="4">
        <v>7</v>
      </c>
      <c r="AD145" s="4">
        <v>14</v>
      </c>
      <c r="AE145" s="4">
        <v>14</v>
      </c>
      <c r="AF145" s="4">
        <v>4</v>
      </c>
      <c r="AG145" s="4">
        <v>4</v>
      </c>
      <c r="AH145" s="4">
        <v>2</v>
      </c>
      <c r="AI145" s="4">
        <v>2</v>
      </c>
      <c r="AJ145" s="4">
        <v>2</v>
      </c>
      <c r="AK145" s="4">
        <v>2</v>
      </c>
      <c r="AL145" s="4">
        <v>6</v>
      </c>
      <c r="AM145" s="4">
        <v>6</v>
      </c>
      <c r="AN145" s="4">
        <v>0</v>
      </c>
      <c r="AO145" s="4">
        <v>0</v>
      </c>
      <c r="AP145" s="3" t="s">
        <v>58</v>
      </c>
      <c r="AQ145" s="3" t="s">
        <v>86</v>
      </c>
      <c r="AR145" s="6" t="str">
        <f>HYPERLINK("http://catalog.hathitrust.org/Record/000832348","HathiTrust Record")</f>
        <v>HathiTrust Record</v>
      </c>
      <c r="AS145" s="6" t="str">
        <f>HYPERLINK("https://creighton-primo.hosted.exlibrisgroup.com/primo-explore/search?tab=default_tab&amp;search_scope=EVERYTHING&amp;vid=01CRU&amp;lang=en_US&amp;offset=0&amp;query=any,contains,991000774869702656","Catalog Record")</f>
        <v>Catalog Record</v>
      </c>
      <c r="AT145" s="6" t="str">
        <f>HYPERLINK("http://www.worldcat.org/oclc/13063102","WorldCat Record")</f>
        <v>WorldCat Record</v>
      </c>
      <c r="AU145" s="3" t="s">
        <v>2027</v>
      </c>
      <c r="AV145" s="3" t="s">
        <v>2028</v>
      </c>
      <c r="AW145" s="3" t="s">
        <v>2029</v>
      </c>
      <c r="AX145" s="3" t="s">
        <v>2029</v>
      </c>
      <c r="AY145" s="3" t="s">
        <v>2030</v>
      </c>
      <c r="AZ145" s="3" t="s">
        <v>74</v>
      </c>
      <c r="BB145" s="3" t="s">
        <v>2031</v>
      </c>
      <c r="BC145" s="3" t="s">
        <v>2032</v>
      </c>
      <c r="BD145" s="3" t="s">
        <v>2033</v>
      </c>
    </row>
    <row r="146" spans="1:56" ht="42.75" customHeight="1" x14ac:dyDescent="0.25">
      <c r="A146" s="7" t="s">
        <v>58</v>
      </c>
      <c r="B146" s="2" t="s">
        <v>2034</v>
      </c>
      <c r="C146" s="2" t="s">
        <v>2035</v>
      </c>
      <c r="D146" s="2" t="s">
        <v>2036</v>
      </c>
      <c r="F146" s="3" t="s">
        <v>58</v>
      </c>
      <c r="G146" s="3" t="s">
        <v>59</v>
      </c>
      <c r="H146" s="3" t="s">
        <v>58</v>
      </c>
      <c r="I146" s="3" t="s">
        <v>58</v>
      </c>
      <c r="J146" s="3" t="s">
        <v>60</v>
      </c>
      <c r="L146" s="2" t="s">
        <v>2037</v>
      </c>
      <c r="M146" s="3" t="s">
        <v>371</v>
      </c>
      <c r="O146" s="3" t="s">
        <v>64</v>
      </c>
      <c r="P146" s="3" t="s">
        <v>83</v>
      </c>
      <c r="R146" s="3" t="s">
        <v>67</v>
      </c>
      <c r="S146" s="4">
        <v>7</v>
      </c>
      <c r="T146" s="4">
        <v>7</v>
      </c>
      <c r="U146" s="5" t="s">
        <v>2038</v>
      </c>
      <c r="V146" s="5" t="s">
        <v>2038</v>
      </c>
      <c r="W146" s="5" t="s">
        <v>1964</v>
      </c>
      <c r="X146" s="5" t="s">
        <v>1964</v>
      </c>
      <c r="Y146" s="4">
        <v>324</v>
      </c>
      <c r="Z146" s="4">
        <v>279</v>
      </c>
      <c r="AA146" s="4">
        <v>293</v>
      </c>
      <c r="AB146" s="4">
        <v>4</v>
      </c>
      <c r="AC146" s="4">
        <v>4</v>
      </c>
      <c r="AD146" s="4">
        <v>8</v>
      </c>
      <c r="AE146" s="4">
        <v>8</v>
      </c>
      <c r="AF146" s="4">
        <v>2</v>
      </c>
      <c r="AG146" s="4">
        <v>2</v>
      </c>
      <c r="AH146" s="4">
        <v>2</v>
      </c>
      <c r="AI146" s="4">
        <v>2</v>
      </c>
      <c r="AJ146" s="4">
        <v>1</v>
      </c>
      <c r="AK146" s="4">
        <v>1</v>
      </c>
      <c r="AL146" s="4">
        <v>3</v>
      </c>
      <c r="AM146" s="4">
        <v>3</v>
      </c>
      <c r="AN146" s="4">
        <v>0</v>
      </c>
      <c r="AO146" s="4">
        <v>0</v>
      </c>
      <c r="AP146" s="3" t="s">
        <v>58</v>
      </c>
      <c r="AQ146" s="3" t="s">
        <v>86</v>
      </c>
      <c r="AR146" s="6" t="str">
        <f>HYPERLINK("http://catalog.hathitrust.org/Record/008852363","HathiTrust Record")</f>
        <v>HathiTrust Record</v>
      </c>
      <c r="AS146" s="6" t="str">
        <f>HYPERLINK("https://creighton-primo.hosted.exlibrisgroup.com/primo-explore/search?tab=default_tab&amp;search_scope=EVERYTHING&amp;vid=01CRU&amp;lang=en_US&amp;offset=0&amp;query=any,contains,991000719899702656","Catalog Record")</f>
        <v>Catalog Record</v>
      </c>
      <c r="AT146" s="6" t="str">
        <f>HYPERLINK("http://www.worldcat.org/oclc/12664455","WorldCat Record")</f>
        <v>WorldCat Record</v>
      </c>
      <c r="AU146" s="3" t="s">
        <v>2039</v>
      </c>
      <c r="AV146" s="3" t="s">
        <v>2040</v>
      </c>
      <c r="AW146" s="3" t="s">
        <v>2041</v>
      </c>
      <c r="AX146" s="3" t="s">
        <v>2041</v>
      </c>
      <c r="AY146" s="3" t="s">
        <v>2042</v>
      </c>
      <c r="AZ146" s="3" t="s">
        <v>74</v>
      </c>
      <c r="BB146" s="3" t="s">
        <v>2043</v>
      </c>
      <c r="BC146" s="3" t="s">
        <v>2044</v>
      </c>
      <c r="BD146" s="3" t="s">
        <v>2045</v>
      </c>
    </row>
    <row r="147" spans="1:56" ht="42.75" customHeight="1" x14ac:dyDescent="0.25">
      <c r="A147" s="7" t="s">
        <v>58</v>
      </c>
      <c r="B147" s="2" t="s">
        <v>2046</v>
      </c>
      <c r="C147" s="2" t="s">
        <v>2047</v>
      </c>
      <c r="D147" s="2" t="s">
        <v>2048</v>
      </c>
      <c r="F147" s="3" t="s">
        <v>58</v>
      </c>
      <c r="G147" s="3" t="s">
        <v>59</v>
      </c>
      <c r="H147" s="3" t="s">
        <v>58</v>
      </c>
      <c r="I147" s="3" t="s">
        <v>58</v>
      </c>
      <c r="J147" s="3" t="s">
        <v>60</v>
      </c>
      <c r="K147" s="2" t="s">
        <v>2049</v>
      </c>
      <c r="L147" s="2" t="s">
        <v>2050</v>
      </c>
      <c r="M147" s="3" t="s">
        <v>98</v>
      </c>
      <c r="O147" s="3" t="s">
        <v>64</v>
      </c>
      <c r="P147" s="3" t="s">
        <v>83</v>
      </c>
      <c r="R147" s="3" t="s">
        <v>67</v>
      </c>
      <c r="S147" s="4">
        <v>11</v>
      </c>
      <c r="T147" s="4">
        <v>11</v>
      </c>
      <c r="U147" s="5" t="s">
        <v>2038</v>
      </c>
      <c r="V147" s="5" t="s">
        <v>2038</v>
      </c>
      <c r="W147" s="5" t="s">
        <v>2051</v>
      </c>
      <c r="X147" s="5" t="s">
        <v>2051</v>
      </c>
      <c r="Y147" s="4">
        <v>322</v>
      </c>
      <c r="Z147" s="4">
        <v>256</v>
      </c>
      <c r="AA147" s="4">
        <v>275</v>
      </c>
      <c r="AB147" s="4">
        <v>4</v>
      </c>
      <c r="AC147" s="4">
        <v>4</v>
      </c>
      <c r="AD147" s="4">
        <v>9</v>
      </c>
      <c r="AE147" s="4">
        <v>9</v>
      </c>
      <c r="AF147" s="4">
        <v>1</v>
      </c>
      <c r="AG147" s="4">
        <v>1</v>
      </c>
      <c r="AH147" s="4">
        <v>2</v>
      </c>
      <c r="AI147" s="4">
        <v>2</v>
      </c>
      <c r="AJ147" s="4">
        <v>3</v>
      </c>
      <c r="AK147" s="4">
        <v>3</v>
      </c>
      <c r="AL147" s="4">
        <v>3</v>
      </c>
      <c r="AM147" s="4">
        <v>3</v>
      </c>
      <c r="AN147" s="4">
        <v>0</v>
      </c>
      <c r="AO147" s="4">
        <v>0</v>
      </c>
      <c r="AP147" s="3" t="s">
        <v>58</v>
      </c>
      <c r="AQ147" s="3" t="s">
        <v>58</v>
      </c>
      <c r="AS147" s="6" t="str">
        <f>HYPERLINK("https://creighton-primo.hosted.exlibrisgroup.com/primo-explore/search?tab=default_tab&amp;search_scope=EVERYTHING&amp;vid=01CRU&amp;lang=en_US&amp;offset=0&amp;query=any,contains,991001010899702656","Catalog Record")</f>
        <v>Catalog Record</v>
      </c>
      <c r="AT147" s="6" t="str">
        <f>HYPERLINK("http://www.worldcat.org/oclc/15283199","WorldCat Record")</f>
        <v>WorldCat Record</v>
      </c>
      <c r="AU147" s="3" t="s">
        <v>2052</v>
      </c>
      <c r="AV147" s="3" t="s">
        <v>2053</v>
      </c>
      <c r="AW147" s="3" t="s">
        <v>2054</v>
      </c>
      <c r="AX147" s="3" t="s">
        <v>2054</v>
      </c>
      <c r="AY147" s="3" t="s">
        <v>2055</v>
      </c>
      <c r="AZ147" s="3" t="s">
        <v>74</v>
      </c>
      <c r="BB147" s="3" t="s">
        <v>2056</v>
      </c>
      <c r="BC147" s="3" t="s">
        <v>2057</v>
      </c>
      <c r="BD147" s="3" t="s">
        <v>2058</v>
      </c>
    </row>
    <row r="148" spans="1:56" ht="42.75" customHeight="1" x14ac:dyDescent="0.25">
      <c r="A148" s="7" t="s">
        <v>58</v>
      </c>
      <c r="B148" s="2" t="s">
        <v>2059</v>
      </c>
      <c r="C148" s="2" t="s">
        <v>2060</v>
      </c>
      <c r="D148" s="2" t="s">
        <v>2061</v>
      </c>
      <c r="F148" s="3" t="s">
        <v>58</v>
      </c>
      <c r="G148" s="3" t="s">
        <v>59</v>
      </c>
      <c r="H148" s="3" t="s">
        <v>58</v>
      </c>
      <c r="I148" s="3" t="s">
        <v>58</v>
      </c>
      <c r="J148" s="3" t="s">
        <v>60</v>
      </c>
      <c r="K148" s="2" t="s">
        <v>2062</v>
      </c>
      <c r="L148" s="2" t="s">
        <v>2063</v>
      </c>
      <c r="M148" s="3" t="s">
        <v>480</v>
      </c>
      <c r="N148" s="2" t="s">
        <v>1844</v>
      </c>
      <c r="O148" s="3" t="s">
        <v>64</v>
      </c>
      <c r="P148" s="3" t="s">
        <v>1898</v>
      </c>
      <c r="R148" s="3" t="s">
        <v>67</v>
      </c>
      <c r="S148" s="4">
        <v>9</v>
      </c>
      <c r="T148" s="4">
        <v>9</v>
      </c>
      <c r="U148" s="5" t="s">
        <v>2064</v>
      </c>
      <c r="V148" s="5" t="s">
        <v>2064</v>
      </c>
      <c r="W148" s="5" t="s">
        <v>2065</v>
      </c>
      <c r="X148" s="5" t="s">
        <v>2065</v>
      </c>
      <c r="Y148" s="4">
        <v>188</v>
      </c>
      <c r="Z148" s="4">
        <v>163</v>
      </c>
      <c r="AA148" s="4">
        <v>163</v>
      </c>
      <c r="AB148" s="4">
        <v>2</v>
      </c>
      <c r="AC148" s="4">
        <v>2</v>
      </c>
      <c r="AD148" s="4">
        <v>4</v>
      </c>
      <c r="AE148" s="4">
        <v>4</v>
      </c>
      <c r="AF148" s="4">
        <v>3</v>
      </c>
      <c r="AG148" s="4">
        <v>3</v>
      </c>
      <c r="AH148" s="4">
        <v>0</v>
      </c>
      <c r="AI148" s="4">
        <v>0</v>
      </c>
      <c r="AJ148" s="4">
        <v>1</v>
      </c>
      <c r="AK148" s="4">
        <v>1</v>
      </c>
      <c r="AL148" s="4">
        <v>1</v>
      </c>
      <c r="AM148" s="4">
        <v>1</v>
      </c>
      <c r="AN148" s="4">
        <v>0</v>
      </c>
      <c r="AO148" s="4">
        <v>0</v>
      </c>
      <c r="AP148" s="3" t="s">
        <v>58</v>
      </c>
      <c r="AQ148" s="3" t="s">
        <v>58</v>
      </c>
      <c r="AS148" s="6" t="str">
        <f>HYPERLINK("https://creighton-primo.hosted.exlibrisgroup.com/primo-explore/search?tab=default_tab&amp;search_scope=EVERYTHING&amp;vid=01CRU&amp;lang=en_US&amp;offset=0&amp;query=any,contains,991001485209702656","Catalog Record")</f>
        <v>Catalog Record</v>
      </c>
      <c r="AT148" s="6" t="str">
        <f>HYPERLINK("http://www.worldcat.org/oclc/19632256","WorldCat Record")</f>
        <v>WorldCat Record</v>
      </c>
      <c r="AU148" s="3" t="s">
        <v>2066</v>
      </c>
      <c r="AV148" s="3" t="s">
        <v>2067</v>
      </c>
      <c r="AW148" s="3" t="s">
        <v>2068</v>
      </c>
      <c r="AX148" s="3" t="s">
        <v>2068</v>
      </c>
      <c r="AY148" s="3" t="s">
        <v>2069</v>
      </c>
      <c r="AZ148" s="3" t="s">
        <v>74</v>
      </c>
      <c r="BB148" s="3" t="s">
        <v>2070</v>
      </c>
      <c r="BC148" s="3" t="s">
        <v>2071</v>
      </c>
      <c r="BD148" s="3" t="s">
        <v>2072</v>
      </c>
    </row>
    <row r="149" spans="1:56" ht="42.75" customHeight="1" x14ac:dyDescent="0.25">
      <c r="A149" s="7" t="s">
        <v>58</v>
      </c>
      <c r="B149" s="2" t="s">
        <v>2073</v>
      </c>
      <c r="C149" s="2" t="s">
        <v>2074</v>
      </c>
      <c r="D149" s="2" t="s">
        <v>2075</v>
      </c>
      <c r="F149" s="3" t="s">
        <v>58</v>
      </c>
      <c r="G149" s="3" t="s">
        <v>59</v>
      </c>
      <c r="H149" s="3" t="s">
        <v>58</v>
      </c>
      <c r="I149" s="3" t="s">
        <v>58</v>
      </c>
      <c r="J149" s="3" t="s">
        <v>60</v>
      </c>
      <c r="L149" s="2" t="s">
        <v>2076</v>
      </c>
      <c r="M149" s="3" t="s">
        <v>98</v>
      </c>
      <c r="O149" s="3" t="s">
        <v>64</v>
      </c>
      <c r="P149" s="3" t="s">
        <v>83</v>
      </c>
      <c r="R149" s="3" t="s">
        <v>67</v>
      </c>
      <c r="S149" s="4">
        <v>9</v>
      </c>
      <c r="T149" s="4">
        <v>9</v>
      </c>
      <c r="U149" s="5" t="s">
        <v>2077</v>
      </c>
      <c r="V149" s="5" t="s">
        <v>2077</v>
      </c>
      <c r="W149" s="5" t="s">
        <v>2078</v>
      </c>
      <c r="X149" s="5" t="s">
        <v>2078</v>
      </c>
      <c r="Y149" s="4">
        <v>226</v>
      </c>
      <c r="Z149" s="4">
        <v>157</v>
      </c>
      <c r="AA149" s="4">
        <v>165</v>
      </c>
      <c r="AB149" s="4">
        <v>2</v>
      </c>
      <c r="AC149" s="4">
        <v>2</v>
      </c>
      <c r="AD149" s="4">
        <v>4</v>
      </c>
      <c r="AE149" s="4">
        <v>4</v>
      </c>
      <c r="AF149" s="4">
        <v>2</v>
      </c>
      <c r="AG149" s="4">
        <v>2</v>
      </c>
      <c r="AH149" s="4">
        <v>1</v>
      </c>
      <c r="AI149" s="4">
        <v>1</v>
      </c>
      <c r="AJ149" s="4">
        <v>1</v>
      </c>
      <c r="AK149" s="4">
        <v>1</v>
      </c>
      <c r="AL149" s="4">
        <v>1</v>
      </c>
      <c r="AM149" s="4">
        <v>1</v>
      </c>
      <c r="AN149" s="4">
        <v>0</v>
      </c>
      <c r="AO149" s="4">
        <v>0</v>
      </c>
      <c r="AP149" s="3" t="s">
        <v>58</v>
      </c>
      <c r="AQ149" s="3" t="s">
        <v>86</v>
      </c>
      <c r="AR149" s="6" t="str">
        <f>HYPERLINK("http://catalog.hathitrust.org/Record/008852365","HathiTrust Record")</f>
        <v>HathiTrust Record</v>
      </c>
      <c r="AS149" s="6" t="str">
        <f>HYPERLINK("https://creighton-primo.hosted.exlibrisgroup.com/primo-explore/search?tab=default_tab&amp;search_scope=EVERYTHING&amp;vid=01CRU&amp;lang=en_US&amp;offset=0&amp;query=any,contains,991001061589702656","Catalog Record")</f>
        <v>Catalog Record</v>
      </c>
      <c r="AT149" s="6" t="str">
        <f>HYPERLINK("http://www.worldcat.org/oclc/15790632","WorldCat Record")</f>
        <v>WorldCat Record</v>
      </c>
      <c r="AU149" s="3" t="s">
        <v>2079</v>
      </c>
      <c r="AV149" s="3" t="s">
        <v>2080</v>
      </c>
      <c r="AW149" s="3" t="s">
        <v>2081</v>
      </c>
      <c r="AX149" s="3" t="s">
        <v>2081</v>
      </c>
      <c r="AY149" s="3" t="s">
        <v>2082</v>
      </c>
      <c r="AZ149" s="3" t="s">
        <v>74</v>
      </c>
      <c r="BB149" s="3" t="s">
        <v>2083</v>
      </c>
      <c r="BC149" s="3" t="s">
        <v>2084</v>
      </c>
      <c r="BD149" s="3" t="s">
        <v>2085</v>
      </c>
    </row>
    <row r="150" spans="1:56" ht="42.75" customHeight="1" x14ac:dyDescent="0.25">
      <c r="A150" s="7" t="s">
        <v>58</v>
      </c>
      <c r="B150" s="2" t="s">
        <v>2086</v>
      </c>
      <c r="C150" s="2" t="s">
        <v>2087</v>
      </c>
      <c r="D150" s="2" t="s">
        <v>2088</v>
      </c>
      <c r="F150" s="3" t="s">
        <v>58</v>
      </c>
      <c r="G150" s="3" t="s">
        <v>59</v>
      </c>
      <c r="H150" s="3" t="s">
        <v>58</v>
      </c>
      <c r="I150" s="3" t="s">
        <v>58</v>
      </c>
      <c r="J150" s="3" t="s">
        <v>60</v>
      </c>
      <c r="K150" s="2" t="s">
        <v>2089</v>
      </c>
      <c r="L150" s="2" t="s">
        <v>2090</v>
      </c>
      <c r="M150" s="3" t="s">
        <v>534</v>
      </c>
      <c r="O150" s="3" t="s">
        <v>64</v>
      </c>
      <c r="P150" s="3" t="s">
        <v>1898</v>
      </c>
      <c r="R150" s="3" t="s">
        <v>67</v>
      </c>
      <c r="S150" s="4">
        <v>14</v>
      </c>
      <c r="T150" s="4">
        <v>14</v>
      </c>
      <c r="U150" s="5" t="s">
        <v>2091</v>
      </c>
      <c r="V150" s="5" t="s">
        <v>2091</v>
      </c>
      <c r="W150" s="5" t="s">
        <v>2092</v>
      </c>
      <c r="X150" s="5" t="s">
        <v>2092</v>
      </c>
      <c r="Y150" s="4">
        <v>160</v>
      </c>
      <c r="Z150" s="4">
        <v>147</v>
      </c>
      <c r="AA150" s="4">
        <v>271</v>
      </c>
      <c r="AB150" s="4">
        <v>2</v>
      </c>
      <c r="AC150" s="4">
        <v>2</v>
      </c>
      <c r="AD150" s="4">
        <v>5</v>
      </c>
      <c r="AE150" s="4">
        <v>9</v>
      </c>
      <c r="AF150" s="4">
        <v>4</v>
      </c>
      <c r="AG150" s="4">
        <v>7</v>
      </c>
      <c r="AH150" s="4">
        <v>2</v>
      </c>
      <c r="AI150" s="4">
        <v>2</v>
      </c>
      <c r="AJ150" s="4">
        <v>0</v>
      </c>
      <c r="AK150" s="4">
        <v>3</v>
      </c>
      <c r="AL150" s="4">
        <v>1</v>
      </c>
      <c r="AM150" s="4">
        <v>1</v>
      </c>
      <c r="AN150" s="4">
        <v>0</v>
      </c>
      <c r="AO150" s="4">
        <v>0</v>
      </c>
      <c r="AP150" s="3" t="s">
        <v>58</v>
      </c>
      <c r="AQ150" s="3" t="s">
        <v>58</v>
      </c>
      <c r="AS150" s="6" t="str">
        <f>HYPERLINK("https://creighton-primo.hosted.exlibrisgroup.com/primo-explore/search?tab=default_tab&amp;search_scope=EVERYTHING&amp;vid=01CRU&amp;lang=en_US&amp;offset=0&amp;query=any,contains,991001633139702656","Catalog Record")</f>
        <v>Catalog Record</v>
      </c>
      <c r="AT150" s="6" t="str">
        <f>HYPERLINK("http://www.worldcat.org/oclc/20932723","WorldCat Record")</f>
        <v>WorldCat Record</v>
      </c>
      <c r="AU150" s="3" t="s">
        <v>2093</v>
      </c>
      <c r="AV150" s="3" t="s">
        <v>2094</v>
      </c>
      <c r="AW150" s="3" t="s">
        <v>2095</v>
      </c>
      <c r="AX150" s="3" t="s">
        <v>2095</v>
      </c>
      <c r="AY150" s="3" t="s">
        <v>2096</v>
      </c>
      <c r="AZ150" s="3" t="s">
        <v>74</v>
      </c>
      <c r="BB150" s="3" t="s">
        <v>2097</v>
      </c>
      <c r="BC150" s="3" t="s">
        <v>2098</v>
      </c>
      <c r="BD150" s="3" t="s">
        <v>2099</v>
      </c>
    </row>
    <row r="151" spans="1:56" ht="42.75" customHeight="1" x14ac:dyDescent="0.25">
      <c r="A151" s="7" t="s">
        <v>58</v>
      </c>
      <c r="B151" s="2" t="s">
        <v>2100</v>
      </c>
      <c r="C151" s="2" t="s">
        <v>2101</v>
      </c>
      <c r="D151" s="2" t="s">
        <v>2102</v>
      </c>
      <c r="F151" s="3" t="s">
        <v>58</v>
      </c>
      <c r="G151" s="3" t="s">
        <v>59</v>
      </c>
      <c r="H151" s="3" t="s">
        <v>58</v>
      </c>
      <c r="I151" s="3" t="s">
        <v>58</v>
      </c>
      <c r="J151" s="3" t="s">
        <v>60</v>
      </c>
      <c r="K151" s="2" t="s">
        <v>2103</v>
      </c>
      <c r="L151" s="2" t="s">
        <v>2104</v>
      </c>
      <c r="M151" s="3" t="s">
        <v>996</v>
      </c>
      <c r="N151" s="2" t="s">
        <v>1613</v>
      </c>
      <c r="O151" s="3" t="s">
        <v>64</v>
      </c>
      <c r="P151" s="3" t="s">
        <v>115</v>
      </c>
      <c r="R151" s="3" t="s">
        <v>67</v>
      </c>
      <c r="S151" s="4">
        <v>1</v>
      </c>
      <c r="T151" s="4">
        <v>1</v>
      </c>
      <c r="U151" s="5" t="s">
        <v>2105</v>
      </c>
      <c r="V151" s="5" t="s">
        <v>2105</v>
      </c>
      <c r="W151" s="5" t="s">
        <v>2105</v>
      </c>
      <c r="X151" s="5" t="s">
        <v>2105</v>
      </c>
      <c r="Y151" s="4">
        <v>236</v>
      </c>
      <c r="Z151" s="4">
        <v>206</v>
      </c>
      <c r="AA151" s="4">
        <v>476</v>
      </c>
      <c r="AB151" s="4">
        <v>3</v>
      </c>
      <c r="AC151" s="4">
        <v>4</v>
      </c>
      <c r="AD151" s="4">
        <v>8</v>
      </c>
      <c r="AE151" s="4">
        <v>15</v>
      </c>
      <c r="AF151" s="4">
        <v>5</v>
      </c>
      <c r="AG151" s="4">
        <v>9</v>
      </c>
      <c r="AH151" s="4">
        <v>2</v>
      </c>
      <c r="AI151" s="4">
        <v>3</v>
      </c>
      <c r="AJ151" s="4">
        <v>1</v>
      </c>
      <c r="AK151" s="4">
        <v>3</v>
      </c>
      <c r="AL151" s="4">
        <v>2</v>
      </c>
      <c r="AM151" s="4">
        <v>3</v>
      </c>
      <c r="AN151" s="4">
        <v>0</v>
      </c>
      <c r="AO151" s="4">
        <v>0</v>
      </c>
      <c r="AP151" s="3" t="s">
        <v>58</v>
      </c>
      <c r="AQ151" s="3" t="s">
        <v>58</v>
      </c>
      <c r="AS151" s="6" t="str">
        <f>HYPERLINK("https://creighton-primo.hosted.exlibrisgroup.com/primo-explore/search?tab=default_tab&amp;search_scope=EVERYTHING&amp;vid=01CRU&amp;lang=en_US&amp;offset=0&amp;query=any,contains,991004136159702656","Catalog Record")</f>
        <v>Catalog Record</v>
      </c>
      <c r="AT151" s="6" t="str">
        <f>HYPERLINK("http://www.worldcat.org/oclc/45177817","WorldCat Record")</f>
        <v>WorldCat Record</v>
      </c>
      <c r="AU151" s="3" t="s">
        <v>2106</v>
      </c>
      <c r="AV151" s="3" t="s">
        <v>2107</v>
      </c>
      <c r="AW151" s="3" t="s">
        <v>2108</v>
      </c>
      <c r="AX151" s="3" t="s">
        <v>2108</v>
      </c>
      <c r="AY151" s="3" t="s">
        <v>2109</v>
      </c>
      <c r="AZ151" s="3" t="s">
        <v>74</v>
      </c>
      <c r="BB151" s="3" t="s">
        <v>2110</v>
      </c>
      <c r="BC151" s="3" t="s">
        <v>2111</v>
      </c>
      <c r="BD151" s="3" t="s">
        <v>2112</v>
      </c>
    </row>
    <row r="152" spans="1:56" ht="42.75" customHeight="1" x14ac:dyDescent="0.25">
      <c r="A152" s="7" t="s">
        <v>58</v>
      </c>
      <c r="B152" s="2" t="s">
        <v>2113</v>
      </c>
      <c r="C152" s="2" t="s">
        <v>2114</v>
      </c>
      <c r="D152" s="2" t="s">
        <v>2115</v>
      </c>
      <c r="F152" s="3" t="s">
        <v>58</v>
      </c>
      <c r="G152" s="3" t="s">
        <v>59</v>
      </c>
      <c r="H152" s="3" t="s">
        <v>58</v>
      </c>
      <c r="I152" s="3" t="s">
        <v>58</v>
      </c>
      <c r="J152" s="3" t="s">
        <v>60</v>
      </c>
      <c r="L152" s="2" t="s">
        <v>2116</v>
      </c>
      <c r="M152" s="3" t="s">
        <v>82</v>
      </c>
      <c r="O152" s="3" t="s">
        <v>64</v>
      </c>
      <c r="P152" s="3" t="s">
        <v>1654</v>
      </c>
      <c r="R152" s="3" t="s">
        <v>67</v>
      </c>
      <c r="S152" s="4">
        <v>11</v>
      </c>
      <c r="T152" s="4">
        <v>11</v>
      </c>
      <c r="U152" s="5" t="s">
        <v>2117</v>
      </c>
      <c r="V152" s="5" t="s">
        <v>2117</v>
      </c>
      <c r="W152" s="5" t="s">
        <v>1964</v>
      </c>
      <c r="X152" s="5" t="s">
        <v>1964</v>
      </c>
      <c r="Y152" s="4">
        <v>126</v>
      </c>
      <c r="Z152" s="4">
        <v>89</v>
      </c>
      <c r="AA152" s="4">
        <v>89</v>
      </c>
      <c r="AB152" s="4">
        <v>3</v>
      </c>
      <c r="AC152" s="4">
        <v>3</v>
      </c>
      <c r="AD152" s="4">
        <v>2</v>
      </c>
      <c r="AE152" s="4">
        <v>2</v>
      </c>
      <c r="AF152" s="4">
        <v>0</v>
      </c>
      <c r="AG152" s="4">
        <v>0</v>
      </c>
      <c r="AH152" s="4">
        <v>0</v>
      </c>
      <c r="AI152" s="4">
        <v>0</v>
      </c>
      <c r="AJ152" s="4">
        <v>0</v>
      </c>
      <c r="AK152" s="4">
        <v>0</v>
      </c>
      <c r="AL152" s="4">
        <v>2</v>
      </c>
      <c r="AM152" s="4">
        <v>2</v>
      </c>
      <c r="AN152" s="4">
        <v>0</v>
      </c>
      <c r="AO152" s="4">
        <v>0</v>
      </c>
      <c r="AP152" s="3" t="s">
        <v>58</v>
      </c>
      <c r="AQ152" s="3" t="s">
        <v>58</v>
      </c>
      <c r="AS152" s="6" t="str">
        <f>HYPERLINK("https://creighton-primo.hosted.exlibrisgroup.com/primo-explore/search?tab=default_tab&amp;search_scope=EVERYTHING&amp;vid=01CRU&amp;lang=en_US&amp;offset=0&amp;query=any,contains,991001188059702656","Catalog Record")</f>
        <v>Catalog Record</v>
      </c>
      <c r="AT152" s="6" t="str">
        <f>HYPERLINK("http://www.worldcat.org/oclc/17231830","WorldCat Record")</f>
        <v>WorldCat Record</v>
      </c>
      <c r="AU152" s="3" t="s">
        <v>2118</v>
      </c>
      <c r="AV152" s="3" t="s">
        <v>2119</v>
      </c>
      <c r="AW152" s="3" t="s">
        <v>2120</v>
      </c>
      <c r="AX152" s="3" t="s">
        <v>2120</v>
      </c>
      <c r="AY152" s="3" t="s">
        <v>2121</v>
      </c>
      <c r="AZ152" s="3" t="s">
        <v>74</v>
      </c>
      <c r="BB152" s="3" t="s">
        <v>2122</v>
      </c>
      <c r="BC152" s="3" t="s">
        <v>2123</v>
      </c>
      <c r="BD152" s="3" t="s">
        <v>2124</v>
      </c>
    </row>
    <row r="153" spans="1:56" ht="42.75" customHeight="1" x14ac:dyDescent="0.25">
      <c r="A153" s="7" t="s">
        <v>58</v>
      </c>
      <c r="B153" s="2" t="s">
        <v>2125</v>
      </c>
      <c r="C153" s="2" t="s">
        <v>2126</v>
      </c>
      <c r="D153" s="2" t="s">
        <v>2127</v>
      </c>
      <c r="F153" s="3" t="s">
        <v>58</v>
      </c>
      <c r="G153" s="3" t="s">
        <v>59</v>
      </c>
      <c r="H153" s="3" t="s">
        <v>58</v>
      </c>
      <c r="I153" s="3" t="s">
        <v>58</v>
      </c>
      <c r="J153" s="3" t="s">
        <v>60</v>
      </c>
      <c r="K153" s="2" t="s">
        <v>2128</v>
      </c>
      <c r="L153" s="2" t="s">
        <v>2129</v>
      </c>
      <c r="M153" s="3" t="s">
        <v>344</v>
      </c>
      <c r="O153" s="3" t="s">
        <v>64</v>
      </c>
      <c r="P153" s="3" t="s">
        <v>2130</v>
      </c>
      <c r="R153" s="3" t="s">
        <v>67</v>
      </c>
      <c r="S153" s="4">
        <v>10</v>
      </c>
      <c r="T153" s="4">
        <v>10</v>
      </c>
      <c r="U153" s="5" t="s">
        <v>2131</v>
      </c>
      <c r="V153" s="5" t="s">
        <v>2131</v>
      </c>
      <c r="W153" s="5" t="s">
        <v>1576</v>
      </c>
      <c r="X153" s="5" t="s">
        <v>1576</v>
      </c>
      <c r="Y153" s="4">
        <v>285</v>
      </c>
      <c r="Z153" s="4">
        <v>262</v>
      </c>
      <c r="AA153" s="4">
        <v>262</v>
      </c>
      <c r="AB153" s="4">
        <v>1</v>
      </c>
      <c r="AC153" s="4">
        <v>1</v>
      </c>
      <c r="AD153" s="4">
        <v>1</v>
      </c>
      <c r="AE153" s="4">
        <v>1</v>
      </c>
      <c r="AF153" s="4">
        <v>1</v>
      </c>
      <c r="AG153" s="4">
        <v>1</v>
      </c>
      <c r="AH153" s="4">
        <v>0</v>
      </c>
      <c r="AI153" s="4">
        <v>0</v>
      </c>
      <c r="AJ153" s="4">
        <v>0</v>
      </c>
      <c r="AK153" s="4">
        <v>0</v>
      </c>
      <c r="AL153" s="4">
        <v>0</v>
      </c>
      <c r="AM153" s="4">
        <v>0</v>
      </c>
      <c r="AN153" s="4">
        <v>0</v>
      </c>
      <c r="AO153" s="4">
        <v>0</v>
      </c>
      <c r="AP153" s="3" t="s">
        <v>58</v>
      </c>
      <c r="AQ153" s="3" t="s">
        <v>58</v>
      </c>
      <c r="AS153" s="6" t="str">
        <f>HYPERLINK("https://creighton-primo.hosted.exlibrisgroup.com/primo-explore/search?tab=default_tab&amp;search_scope=EVERYTHING&amp;vid=01CRU&amp;lang=en_US&amp;offset=0&amp;query=any,contains,991004935809702656","Catalog Record")</f>
        <v>Catalog Record</v>
      </c>
      <c r="AT153" s="6" t="str">
        <f>HYPERLINK("http://www.worldcat.org/oclc/6142922","WorldCat Record")</f>
        <v>WorldCat Record</v>
      </c>
      <c r="AU153" s="3" t="s">
        <v>2132</v>
      </c>
      <c r="AV153" s="3" t="s">
        <v>2133</v>
      </c>
      <c r="AW153" s="3" t="s">
        <v>2134</v>
      </c>
      <c r="AX153" s="3" t="s">
        <v>2134</v>
      </c>
      <c r="AY153" s="3" t="s">
        <v>2135</v>
      </c>
      <c r="AZ153" s="3" t="s">
        <v>74</v>
      </c>
      <c r="BB153" s="3" t="s">
        <v>2136</v>
      </c>
      <c r="BC153" s="3" t="s">
        <v>2137</v>
      </c>
      <c r="BD153" s="3" t="s">
        <v>2138</v>
      </c>
    </row>
    <row r="154" spans="1:56" ht="42.75" customHeight="1" x14ac:dyDescent="0.25">
      <c r="A154" s="7" t="s">
        <v>58</v>
      </c>
      <c r="B154" s="2" t="s">
        <v>2139</v>
      </c>
      <c r="C154" s="2" t="s">
        <v>2140</v>
      </c>
      <c r="D154" s="2" t="s">
        <v>2141</v>
      </c>
      <c r="F154" s="3" t="s">
        <v>58</v>
      </c>
      <c r="G154" s="3" t="s">
        <v>59</v>
      </c>
      <c r="H154" s="3" t="s">
        <v>58</v>
      </c>
      <c r="I154" s="3" t="s">
        <v>58</v>
      </c>
      <c r="J154" s="3" t="s">
        <v>60</v>
      </c>
      <c r="K154" s="2" t="s">
        <v>2142</v>
      </c>
      <c r="L154" s="2" t="s">
        <v>2143</v>
      </c>
      <c r="M154" s="3" t="s">
        <v>371</v>
      </c>
      <c r="O154" s="3" t="s">
        <v>64</v>
      </c>
      <c r="P154" s="3" t="s">
        <v>2144</v>
      </c>
      <c r="R154" s="3" t="s">
        <v>67</v>
      </c>
      <c r="S154" s="4">
        <v>9</v>
      </c>
      <c r="T154" s="4">
        <v>9</v>
      </c>
      <c r="U154" s="5" t="s">
        <v>2145</v>
      </c>
      <c r="V154" s="5" t="s">
        <v>2145</v>
      </c>
      <c r="W154" s="5" t="s">
        <v>1964</v>
      </c>
      <c r="X154" s="5" t="s">
        <v>1964</v>
      </c>
      <c r="Y154" s="4">
        <v>360</v>
      </c>
      <c r="Z154" s="4">
        <v>318</v>
      </c>
      <c r="AA154" s="4">
        <v>343</v>
      </c>
      <c r="AB154" s="4">
        <v>2</v>
      </c>
      <c r="AC154" s="4">
        <v>2</v>
      </c>
      <c r="AD154" s="4">
        <v>7</v>
      </c>
      <c r="AE154" s="4">
        <v>7</v>
      </c>
      <c r="AF154" s="4">
        <v>5</v>
      </c>
      <c r="AG154" s="4">
        <v>5</v>
      </c>
      <c r="AH154" s="4">
        <v>0</v>
      </c>
      <c r="AI154" s="4">
        <v>0</v>
      </c>
      <c r="AJ154" s="4">
        <v>2</v>
      </c>
      <c r="AK154" s="4">
        <v>2</v>
      </c>
      <c r="AL154" s="4">
        <v>1</v>
      </c>
      <c r="AM154" s="4">
        <v>1</v>
      </c>
      <c r="AN154" s="4">
        <v>0</v>
      </c>
      <c r="AO154" s="4">
        <v>0</v>
      </c>
      <c r="AP154" s="3" t="s">
        <v>58</v>
      </c>
      <c r="AQ154" s="3" t="s">
        <v>58</v>
      </c>
      <c r="AS154" s="6" t="str">
        <f>HYPERLINK("https://creighton-primo.hosted.exlibrisgroup.com/primo-explore/search?tab=default_tab&amp;search_scope=EVERYTHING&amp;vid=01CRU&amp;lang=en_US&amp;offset=0&amp;query=any,contains,991000876099702656","Catalog Record")</f>
        <v>Catalog Record</v>
      </c>
      <c r="AT154" s="6" t="str">
        <f>HYPERLINK("http://www.worldcat.org/oclc/13800124","WorldCat Record")</f>
        <v>WorldCat Record</v>
      </c>
      <c r="AU154" s="3" t="s">
        <v>2146</v>
      </c>
      <c r="AV154" s="3" t="s">
        <v>2147</v>
      </c>
      <c r="AW154" s="3" t="s">
        <v>2148</v>
      </c>
      <c r="AX154" s="3" t="s">
        <v>2148</v>
      </c>
      <c r="AY154" s="3" t="s">
        <v>2149</v>
      </c>
      <c r="AZ154" s="3" t="s">
        <v>74</v>
      </c>
      <c r="BC154" s="3" t="s">
        <v>2150</v>
      </c>
      <c r="BD154" s="3" t="s">
        <v>2151</v>
      </c>
    </row>
    <row r="155" spans="1:56" ht="42.75" customHeight="1" x14ac:dyDescent="0.25">
      <c r="A155" s="7" t="s">
        <v>58</v>
      </c>
      <c r="B155" s="2" t="s">
        <v>2152</v>
      </c>
      <c r="C155" s="2" t="s">
        <v>2153</v>
      </c>
      <c r="D155" s="2" t="s">
        <v>2154</v>
      </c>
      <c r="F155" s="3" t="s">
        <v>58</v>
      </c>
      <c r="G155" s="3" t="s">
        <v>59</v>
      </c>
      <c r="H155" s="3" t="s">
        <v>58</v>
      </c>
      <c r="I155" s="3" t="s">
        <v>58</v>
      </c>
      <c r="J155" s="3" t="s">
        <v>60</v>
      </c>
      <c r="K155" s="2" t="s">
        <v>2155</v>
      </c>
      <c r="L155" s="2" t="s">
        <v>2156</v>
      </c>
      <c r="M155" s="3" t="s">
        <v>238</v>
      </c>
      <c r="O155" s="3" t="s">
        <v>64</v>
      </c>
      <c r="P155" s="3" t="s">
        <v>99</v>
      </c>
      <c r="R155" s="3" t="s">
        <v>67</v>
      </c>
      <c r="S155" s="4">
        <v>2</v>
      </c>
      <c r="T155" s="4">
        <v>2</v>
      </c>
      <c r="U155" s="5" t="s">
        <v>2157</v>
      </c>
      <c r="V155" s="5" t="s">
        <v>2157</v>
      </c>
      <c r="W155" s="5" t="s">
        <v>1964</v>
      </c>
      <c r="X155" s="5" t="s">
        <v>1964</v>
      </c>
      <c r="Y155" s="4">
        <v>210</v>
      </c>
      <c r="Z155" s="4">
        <v>179</v>
      </c>
      <c r="AA155" s="4">
        <v>210</v>
      </c>
      <c r="AB155" s="4">
        <v>1</v>
      </c>
      <c r="AC155" s="4">
        <v>1</v>
      </c>
      <c r="AD155" s="4">
        <v>1</v>
      </c>
      <c r="AE155" s="4">
        <v>1</v>
      </c>
      <c r="AF155" s="4">
        <v>1</v>
      </c>
      <c r="AG155" s="4">
        <v>1</v>
      </c>
      <c r="AH155" s="4">
        <v>0</v>
      </c>
      <c r="AI155" s="4">
        <v>0</v>
      </c>
      <c r="AJ155" s="4">
        <v>1</v>
      </c>
      <c r="AK155" s="4">
        <v>1</v>
      </c>
      <c r="AL155" s="4">
        <v>0</v>
      </c>
      <c r="AM155" s="4">
        <v>0</v>
      </c>
      <c r="AN155" s="4">
        <v>0</v>
      </c>
      <c r="AO155" s="4">
        <v>0</v>
      </c>
      <c r="AP155" s="3" t="s">
        <v>58</v>
      </c>
      <c r="AQ155" s="3" t="s">
        <v>58</v>
      </c>
      <c r="AS155" s="6" t="str">
        <f>HYPERLINK("https://creighton-primo.hosted.exlibrisgroup.com/primo-explore/search?tab=default_tab&amp;search_scope=EVERYTHING&amp;vid=01CRU&amp;lang=en_US&amp;offset=0&amp;query=any,contains,991004730819702656","Catalog Record")</f>
        <v>Catalog Record</v>
      </c>
      <c r="AT155" s="6" t="str">
        <f>HYPERLINK("http://www.worldcat.org/oclc/4834644","WorldCat Record")</f>
        <v>WorldCat Record</v>
      </c>
      <c r="AU155" s="3" t="s">
        <v>2158</v>
      </c>
      <c r="AV155" s="3" t="s">
        <v>2159</v>
      </c>
      <c r="AW155" s="3" t="s">
        <v>2160</v>
      </c>
      <c r="AX155" s="3" t="s">
        <v>2160</v>
      </c>
      <c r="AY155" s="3" t="s">
        <v>2161</v>
      </c>
      <c r="AZ155" s="3" t="s">
        <v>74</v>
      </c>
      <c r="BB155" s="3" t="s">
        <v>2162</v>
      </c>
      <c r="BC155" s="3" t="s">
        <v>2163</v>
      </c>
      <c r="BD155" s="3" t="s">
        <v>2164</v>
      </c>
    </row>
    <row r="156" spans="1:56" ht="42.75" customHeight="1" x14ac:dyDescent="0.25">
      <c r="A156" s="7" t="s">
        <v>58</v>
      </c>
      <c r="B156" s="2" t="s">
        <v>2165</v>
      </c>
      <c r="C156" s="2" t="s">
        <v>2166</v>
      </c>
      <c r="D156" s="2" t="s">
        <v>2167</v>
      </c>
      <c r="F156" s="3" t="s">
        <v>58</v>
      </c>
      <c r="G156" s="3" t="s">
        <v>59</v>
      </c>
      <c r="H156" s="3" t="s">
        <v>58</v>
      </c>
      <c r="I156" s="3" t="s">
        <v>58</v>
      </c>
      <c r="J156" s="3" t="s">
        <v>60</v>
      </c>
      <c r="K156" s="2" t="s">
        <v>2168</v>
      </c>
      <c r="L156" s="2" t="s">
        <v>2169</v>
      </c>
      <c r="M156" s="3" t="s">
        <v>765</v>
      </c>
      <c r="O156" s="3" t="s">
        <v>64</v>
      </c>
      <c r="P156" s="3" t="s">
        <v>2170</v>
      </c>
      <c r="Q156" s="2" t="s">
        <v>2171</v>
      </c>
      <c r="R156" s="3" t="s">
        <v>67</v>
      </c>
      <c r="S156" s="4">
        <v>1</v>
      </c>
      <c r="T156" s="4">
        <v>1</v>
      </c>
      <c r="U156" s="5" t="s">
        <v>2172</v>
      </c>
      <c r="V156" s="5" t="s">
        <v>2172</v>
      </c>
      <c r="W156" s="5" t="s">
        <v>2173</v>
      </c>
      <c r="X156" s="5" t="s">
        <v>2173</v>
      </c>
      <c r="Y156" s="4">
        <v>77</v>
      </c>
      <c r="Z156" s="4">
        <v>64</v>
      </c>
      <c r="AA156" s="4">
        <v>64</v>
      </c>
      <c r="AB156" s="4">
        <v>1</v>
      </c>
      <c r="AC156" s="4">
        <v>1</v>
      </c>
      <c r="AD156" s="4">
        <v>2</v>
      </c>
      <c r="AE156" s="4">
        <v>2</v>
      </c>
      <c r="AF156" s="4">
        <v>0</v>
      </c>
      <c r="AG156" s="4">
        <v>0</v>
      </c>
      <c r="AH156" s="4">
        <v>2</v>
      </c>
      <c r="AI156" s="4">
        <v>2</v>
      </c>
      <c r="AJ156" s="4">
        <v>1</v>
      </c>
      <c r="AK156" s="4">
        <v>1</v>
      </c>
      <c r="AL156" s="4">
        <v>0</v>
      </c>
      <c r="AM156" s="4">
        <v>0</v>
      </c>
      <c r="AN156" s="4">
        <v>0</v>
      </c>
      <c r="AO156" s="4">
        <v>0</v>
      </c>
      <c r="AP156" s="3" t="s">
        <v>58</v>
      </c>
      <c r="AQ156" s="3" t="s">
        <v>58</v>
      </c>
      <c r="AS156" s="6" t="str">
        <f>HYPERLINK("https://creighton-primo.hosted.exlibrisgroup.com/primo-explore/search?tab=default_tab&amp;search_scope=EVERYTHING&amp;vid=01CRU&amp;lang=en_US&amp;offset=0&amp;query=any,contains,991002568579702656","Catalog Record")</f>
        <v>Catalog Record</v>
      </c>
      <c r="AT156" s="6" t="str">
        <f>HYPERLINK("http://www.worldcat.org/oclc/33377384","WorldCat Record")</f>
        <v>WorldCat Record</v>
      </c>
      <c r="AU156" s="3" t="s">
        <v>2174</v>
      </c>
      <c r="AV156" s="3" t="s">
        <v>2175</v>
      </c>
      <c r="AW156" s="3" t="s">
        <v>2176</v>
      </c>
      <c r="AX156" s="3" t="s">
        <v>2176</v>
      </c>
      <c r="AY156" s="3" t="s">
        <v>2177</v>
      </c>
      <c r="AZ156" s="3" t="s">
        <v>74</v>
      </c>
      <c r="BB156" s="3" t="s">
        <v>2178</v>
      </c>
      <c r="BC156" s="3" t="s">
        <v>2179</v>
      </c>
      <c r="BD156" s="3" t="s">
        <v>2180</v>
      </c>
    </row>
    <row r="157" spans="1:56" ht="42.75" customHeight="1" x14ac:dyDescent="0.25">
      <c r="A157" s="7" t="s">
        <v>58</v>
      </c>
      <c r="B157" s="2" t="s">
        <v>2181</v>
      </c>
      <c r="C157" s="2" t="s">
        <v>2182</v>
      </c>
      <c r="D157" s="2" t="s">
        <v>2183</v>
      </c>
      <c r="F157" s="3" t="s">
        <v>58</v>
      </c>
      <c r="G157" s="3" t="s">
        <v>59</v>
      </c>
      <c r="H157" s="3" t="s">
        <v>58</v>
      </c>
      <c r="I157" s="3" t="s">
        <v>58</v>
      </c>
      <c r="J157" s="3" t="s">
        <v>60</v>
      </c>
      <c r="K157" s="2" t="s">
        <v>2142</v>
      </c>
      <c r="L157" s="2" t="s">
        <v>2184</v>
      </c>
      <c r="M157" s="3" t="s">
        <v>642</v>
      </c>
      <c r="O157" s="3" t="s">
        <v>64</v>
      </c>
      <c r="P157" s="3" t="s">
        <v>208</v>
      </c>
      <c r="Q157" s="2" t="s">
        <v>2185</v>
      </c>
      <c r="R157" s="3" t="s">
        <v>67</v>
      </c>
      <c r="S157" s="4">
        <v>10</v>
      </c>
      <c r="T157" s="4">
        <v>10</v>
      </c>
      <c r="U157" s="5" t="s">
        <v>2186</v>
      </c>
      <c r="V157" s="5" t="s">
        <v>2186</v>
      </c>
      <c r="W157" s="5" t="s">
        <v>2187</v>
      </c>
      <c r="X157" s="5" t="s">
        <v>2187</v>
      </c>
      <c r="Y157" s="4">
        <v>336</v>
      </c>
      <c r="Z157" s="4">
        <v>306</v>
      </c>
      <c r="AA157" s="4">
        <v>397</v>
      </c>
      <c r="AB157" s="4">
        <v>5</v>
      </c>
      <c r="AC157" s="4">
        <v>5</v>
      </c>
      <c r="AD157" s="4">
        <v>15</v>
      </c>
      <c r="AE157" s="4">
        <v>17</v>
      </c>
      <c r="AF157" s="4">
        <v>8</v>
      </c>
      <c r="AG157" s="4">
        <v>8</v>
      </c>
      <c r="AH157" s="4">
        <v>3</v>
      </c>
      <c r="AI157" s="4">
        <v>3</v>
      </c>
      <c r="AJ157" s="4">
        <v>2</v>
      </c>
      <c r="AK157" s="4">
        <v>4</v>
      </c>
      <c r="AL157" s="4">
        <v>4</v>
      </c>
      <c r="AM157" s="4">
        <v>4</v>
      </c>
      <c r="AN157" s="4">
        <v>0</v>
      </c>
      <c r="AO157" s="4">
        <v>0</v>
      </c>
      <c r="AP157" s="3" t="s">
        <v>58</v>
      </c>
      <c r="AQ157" s="3" t="s">
        <v>58</v>
      </c>
      <c r="AS157" s="6" t="str">
        <f>HYPERLINK("https://creighton-primo.hosted.exlibrisgroup.com/primo-explore/search?tab=default_tab&amp;search_scope=EVERYTHING&amp;vid=01CRU&amp;lang=en_US&amp;offset=0&amp;query=any,contains,991001901879702656","Catalog Record")</f>
        <v>Catalog Record</v>
      </c>
      <c r="AT157" s="6" t="str">
        <f>HYPERLINK("http://www.worldcat.org/oclc/24011293","WorldCat Record")</f>
        <v>WorldCat Record</v>
      </c>
      <c r="AU157" s="3" t="s">
        <v>2188</v>
      </c>
      <c r="AV157" s="3" t="s">
        <v>2189</v>
      </c>
      <c r="AW157" s="3" t="s">
        <v>2190</v>
      </c>
      <c r="AX157" s="3" t="s">
        <v>2190</v>
      </c>
      <c r="AY157" s="3" t="s">
        <v>2191</v>
      </c>
      <c r="AZ157" s="3" t="s">
        <v>74</v>
      </c>
      <c r="BB157" s="3" t="s">
        <v>2192</v>
      </c>
      <c r="BC157" s="3" t="s">
        <v>2193</v>
      </c>
      <c r="BD157" s="3" t="s">
        <v>2194</v>
      </c>
    </row>
    <row r="158" spans="1:56" ht="42.75" customHeight="1" x14ac:dyDescent="0.25">
      <c r="A158" s="7" t="s">
        <v>58</v>
      </c>
      <c r="B158" s="2" t="s">
        <v>2195</v>
      </c>
      <c r="C158" s="2" t="s">
        <v>2196</v>
      </c>
      <c r="D158" s="2" t="s">
        <v>2197</v>
      </c>
      <c r="F158" s="3" t="s">
        <v>58</v>
      </c>
      <c r="G158" s="3" t="s">
        <v>59</v>
      </c>
      <c r="H158" s="3" t="s">
        <v>58</v>
      </c>
      <c r="I158" s="3" t="s">
        <v>58</v>
      </c>
      <c r="J158" s="3" t="s">
        <v>60</v>
      </c>
      <c r="K158" s="2" t="s">
        <v>2198</v>
      </c>
      <c r="L158" s="2" t="s">
        <v>2199</v>
      </c>
      <c r="M158" s="3" t="s">
        <v>63</v>
      </c>
      <c r="O158" s="3" t="s">
        <v>64</v>
      </c>
      <c r="P158" s="3" t="s">
        <v>83</v>
      </c>
      <c r="Q158" s="2" t="s">
        <v>2200</v>
      </c>
      <c r="R158" s="3" t="s">
        <v>67</v>
      </c>
      <c r="S158" s="4">
        <v>8</v>
      </c>
      <c r="T158" s="4">
        <v>8</v>
      </c>
      <c r="U158" s="5" t="s">
        <v>2186</v>
      </c>
      <c r="V158" s="5" t="s">
        <v>2186</v>
      </c>
      <c r="W158" s="5" t="s">
        <v>2201</v>
      </c>
      <c r="X158" s="5" t="s">
        <v>2201</v>
      </c>
      <c r="Y158" s="4">
        <v>310</v>
      </c>
      <c r="Z158" s="4">
        <v>244</v>
      </c>
      <c r="AA158" s="4">
        <v>244</v>
      </c>
      <c r="AB158" s="4">
        <v>4</v>
      </c>
      <c r="AC158" s="4">
        <v>4</v>
      </c>
      <c r="AD158" s="4">
        <v>8</v>
      </c>
      <c r="AE158" s="4">
        <v>8</v>
      </c>
      <c r="AF158" s="4">
        <v>3</v>
      </c>
      <c r="AG158" s="4">
        <v>3</v>
      </c>
      <c r="AH158" s="4">
        <v>1</v>
      </c>
      <c r="AI158" s="4">
        <v>1</v>
      </c>
      <c r="AJ158" s="4">
        <v>1</v>
      </c>
      <c r="AK158" s="4">
        <v>1</v>
      </c>
      <c r="AL158" s="4">
        <v>3</v>
      </c>
      <c r="AM158" s="4">
        <v>3</v>
      </c>
      <c r="AN158" s="4">
        <v>0</v>
      </c>
      <c r="AO158" s="4">
        <v>0</v>
      </c>
      <c r="AP158" s="3" t="s">
        <v>58</v>
      </c>
      <c r="AQ158" s="3" t="s">
        <v>58</v>
      </c>
      <c r="AS158" s="6" t="str">
        <f>HYPERLINK("https://creighton-primo.hosted.exlibrisgroup.com/primo-explore/search?tab=default_tab&amp;search_scope=EVERYTHING&amp;vid=01CRU&amp;lang=en_US&amp;offset=0&amp;query=any,contains,991000352519702656","Catalog Record")</f>
        <v>Catalog Record</v>
      </c>
      <c r="AT158" s="6" t="str">
        <f>HYPERLINK("http://www.worldcat.org/oclc/10319535","WorldCat Record")</f>
        <v>WorldCat Record</v>
      </c>
      <c r="AU158" s="3" t="s">
        <v>2202</v>
      </c>
      <c r="AV158" s="3" t="s">
        <v>2203</v>
      </c>
      <c r="AW158" s="3" t="s">
        <v>2204</v>
      </c>
      <c r="AX158" s="3" t="s">
        <v>2204</v>
      </c>
      <c r="AY158" s="3" t="s">
        <v>2205</v>
      </c>
      <c r="AZ158" s="3" t="s">
        <v>74</v>
      </c>
      <c r="BB158" s="3" t="s">
        <v>2206</v>
      </c>
      <c r="BC158" s="3" t="s">
        <v>2207</v>
      </c>
      <c r="BD158" s="3" t="s">
        <v>2208</v>
      </c>
    </row>
    <row r="159" spans="1:56" ht="42.75" customHeight="1" x14ac:dyDescent="0.25">
      <c r="A159" s="7" t="s">
        <v>58</v>
      </c>
      <c r="B159" s="2" t="s">
        <v>2209</v>
      </c>
      <c r="C159" s="2" t="s">
        <v>2210</v>
      </c>
      <c r="D159" s="2" t="s">
        <v>2211</v>
      </c>
      <c r="F159" s="3" t="s">
        <v>58</v>
      </c>
      <c r="G159" s="3" t="s">
        <v>59</v>
      </c>
      <c r="H159" s="3" t="s">
        <v>58</v>
      </c>
      <c r="I159" s="3" t="s">
        <v>58</v>
      </c>
      <c r="J159" s="3" t="s">
        <v>60</v>
      </c>
      <c r="L159" s="2" t="s">
        <v>2212</v>
      </c>
      <c r="M159" s="3" t="s">
        <v>344</v>
      </c>
      <c r="O159" s="3" t="s">
        <v>64</v>
      </c>
      <c r="P159" s="3" t="s">
        <v>2213</v>
      </c>
      <c r="Q159" s="2" t="s">
        <v>2214</v>
      </c>
      <c r="R159" s="3" t="s">
        <v>67</v>
      </c>
      <c r="S159" s="4">
        <v>7</v>
      </c>
      <c r="T159" s="4">
        <v>7</v>
      </c>
      <c r="U159" s="5" t="s">
        <v>2215</v>
      </c>
      <c r="V159" s="5" t="s">
        <v>2215</v>
      </c>
      <c r="W159" s="5" t="s">
        <v>1964</v>
      </c>
      <c r="X159" s="5" t="s">
        <v>1964</v>
      </c>
      <c r="Y159" s="4">
        <v>178</v>
      </c>
      <c r="Z159" s="4">
        <v>158</v>
      </c>
      <c r="AA159" s="4">
        <v>161</v>
      </c>
      <c r="AB159" s="4">
        <v>1</v>
      </c>
      <c r="AC159" s="4">
        <v>1</v>
      </c>
      <c r="AD159" s="4">
        <v>5</v>
      </c>
      <c r="AE159" s="4">
        <v>5</v>
      </c>
      <c r="AF159" s="4">
        <v>3</v>
      </c>
      <c r="AG159" s="4">
        <v>3</v>
      </c>
      <c r="AH159" s="4">
        <v>0</v>
      </c>
      <c r="AI159" s="4">
        <v>0</v>
      </c>
      <c r="AJ159" s="4">
        <v>2</v>
      </c>
      <c r="AK159" s="4">
        <v>2</v>
      </c>
      <c r="AL159" s="4">
        <v>0</v>
      </c>
      <c r="AM159" s="4">
        <v>0</v>
      </c>
      <c r="AN159" s="4">
        <v>0</v>
      </c>
      <c r="AO159" s="4">
        <v>0</v>
      </c>
      <c r="AP159" s="3" t="s">
        <v>58</v>
      </c>
      <c r="AQ159" s="3" t="s">
        <v>86</v>
      </c>
      <c r="AR159" s="6" t="str">
        <f>HYPERLINK("http://catalog.hathitrust.org/Record/000279934","HathiTrust Record")</f>
        <v>HathiTrust Record</v>
      </c>
      <c r="AS159" s="6" t="str">
        <f>HYPERLINK("https://creighton-primo.hosted.exlibrisgroup.com/primo-explore/search?tab=default_tab&amp;search_scope=EVERYTHING&amp;vid=01CRU&amp;lang=en_US&amp;offset=0&amp;query=any,contains,991005065299702656","Catalog Record")</f>
        <v>Catalog Record</v>
      </c>
      <c r="AT159" s="6" t="str">
        <f>HYPERLINK("http://www.worldcat.org/oclc/11523928","WorldCat Record")</f>
        <v>WorldCat Record</v>
      </c>
      <c r="AU159" s="3" t="s">
        <v>2216</v>
      </c>
      <c r="AV159" s="3" t="s">
        <v>2217</v>
      </c>
      <c r="AW159" s="3" t="s">
        <v>2218</v>
      </c>
      <c r="AX159" s="3" t="s">
        <v>2218</v>
      </c>
      <c r="AY159" s="3" t="s">
        <v>2219</v>
      </c>
      <c r="AZ159" s="3" t="s">
        <v>74</v>
      </c>
      <c r="BC159" s="3" t="s">
        <v>2220</v>
      </c>
      <c r="BD159" s="3" t="s">
        <v>2221</v>
      </c>
    </row>
    <row r="160" spans="1:56" ht="42.75" customHeight="1" x14ac:dyDescent="0.25">
      <c r="A160" s="7" t="s">
        <v>58</v>
      </c>
      <c r="B160" s="2" t="s">
        <v>2222</v>
      </c>
      <c r="C160" s="2" t="s">
        <v>2223</v>
      </c>
      <c r="D160" s="2" t="s">
        <v>2224</v>
      </c>
      <c r="F160" s="3" t="s">
        <v>58</v>
      </c>
      <c r="G160" s="3" t="s">
        <v>59</v>
      </c>
      <c r="H160" s="3" t="s">
        <v>58</v>
      </c>
      <c r="I160" s="3" t="s">
        <v>58</v>
      </c>
      <c r="J160" s="3" t="s">
        <v>60</v>
      </c>
      <c r="K160" s="2" t="s">
        <v>2225</v>
      </c>
      <c r="L160" s="2" t="s">
        <v>2226</v>
      </c>
      <c r="M160" s="3" t="s">
        <v>2227</v>
      </c>
      <c r="O160" s="3" t="s">
        <v>64</v>
      </c>
      <c r="P160" s="3" t="s">
        <v>99</v>
      </c>
      <c r="R160" s="3" t="s">
        <v>67</v>
      </c>
      <c r="S160" s="4">
        <v>9</v>
      </c>
      <c r="T160" s="4">
        <v>9</v>
      </c>
      <c r="U160" s="5" t="s">
        <v>2228</v>
      </c>
      <c r="V160" s="5" t="s">
        <v>2228</v>
      </c>
      <c r="W160" s="5" t="s">
        <v>2201</v>
      </c>
      <c r="X160" s="5" t="s">
        <v>2201</v>
      </c>
      <c r="Y160" s="4">
        <v>286</v>
      </c>
      <c r="Z160" s="4">
        <v>258</v>
      </c>
      <c r="AA160" s="4">
        <v>307</v>
      </c>
      <c r="AB160" s="4">
        <v>5</v>
      </c>
      <c r="AC160" s="4">
        <v>5</v>
      </c>
      <c r="AD160" s="4">
        <v>8</v>
      </c>
      <c r="AE160" s="4">
        <v>10</v>
      </c>
      <c r="AF160" s="4">
        <v>4</v>
      </c>
      <c r="AG160" s="4">
        <v>6</v>
      </c>
      <c r="AH160" s="4">
        <v>0</v>
      </c>
      <c r="AI160" s="4">
        <v>0</v>
      </c>
      <c r="AJ160" s="4">
        <v>1</v>
      </c>
      <c r="AK160" s="4">
        <v>2</v>
      </c>
      <c r="AL160" s="4">
        <v>4</v>
      </c>
      <c r="AM160" s="4">
        <v>4</v>
      </c>
      <c r="AN160" s="4">
        <v>0</v>
      </c>
      <c r="AO160" s="4">
        <v>0</v>
      </c>
      <c r="AP160" s="3" t="s">
        <v>58</v>
      </c>
      <c r="AQ160" s="3" t="s">
        <v>86</v>
      </c>
      <c r="AR160" s="6" t="str">
        <f>HYPERLINK("http://catalog.hathitrust.org/Record/010093627","HathiTrust Record")</f>
        <v>HathiTrust Record</v>
      </c>
      <c r="AS160" s="6" t="str">
        <f>HYPERLINK("https://creighton-primo.hosted.exlibrisgroup.com/primo-explore/search?tab=default_tab&amp;search_scope=EVERYTHING&amp;vid=01CRU&amp;lang=en_US&amp;offset=0&amp;query=any,contains,991000689279702656","Catalog Record")</f>
        <v>Catalog Record</v>
      </c>
      <c r="AT160" s="6" t="str">
        <f>HYPERLINK("http://www.worldcat.org/oclc/12437064","WorldCat Record")</f>
        <v>WorldCat Record</v>
      </c>
      <c r="AU160" s="3" t="s">
        <v>2229</v>
      </c>
      <c r="AV160" s="3" t="s">
        <v>2230</v>
      </c>
      <c r="AW160" s="3" t="s">
        <v>2231</v>
      </c>
      <c r="AX160" s="3" t="s">
        <v>2231</v>
      </c>
      <c r="AY160" s="3" t="s">
        <v>2232</v>
      </c>
      <c r="AZ160" s="3" t="s">
        <v>74</v>
      </c>
      <c r="BB160" s="3" t="s">
        <v>2233</v>
      </c>
      <c r="BC160" s="3" t="s">
        <v>2234</v>
      </c>
      <c r="BD160" s="3" t="s">
        <v>2235</v>
      </c>
    </row>
    <row r="161" spans="1:56" ht="42.75" customHeight="1" x14ac:dyDescent="0.25">
      <c r="A161" s="7" t="s">
        <v>58</v>
      </c>
      <c r="B161" s="2" t="s">
        <v>2236</v>
      </c>
      <c r="C161" s="2" t="s">
        <v>2237</v>
      </c>
      <c r="D161" s="2" t="s">
        <v>2238</v>
      </c>
      <c r="F161" s="3" t="s">
        <v>58</v>
      </c>
      <c r="G161" s="3" t="s">
        <v>59</v>
      </c>
      <c r="H161" s="3" t="s">
        <v>58</v>
      </c>
      <c r="I161" s="3" t="s">
        <v>58</v>
      </c>
      <c r="J161" s="3" t="s">
        <v>60</v>
      </c>
      <c r="K161" s="2" t="s">
        <v>2239</v>
      </c>
      <c r="L161" s="2" t="s">
        <v>2240</v>
      </c>
      <c r="M161" s="3" t="s">
        <v>942</v>
      </c>
      <c r="O161" s="3" t="s">
        <v>64</v>
      </c>
      <c r="P161" s="3" t="s">
        <v>83</v>
      </c>
      <c r="R161" s="3" t="s">
        <v>67</v>
      </c>
      <c r="S161" s="4">
        <v>1</v>
      </c>
      <c r="T161" s="4">
        <v>1</v>
      </c>
      <c r="U161" s="5" t="s">
        <v>2241</v>
      </c>
      <c r="V161" s="5" t="s">
        <v>2241</v>
      </c>
      <c r="W161" s="5" t="s">
        <v>2241</v>
      </c>
      <c r="X161" s="5" t="s">
        <v>2241</v>
      </c>
      <c r="Y161" s="4">
        <v>175</v>
      </c>
      <c r="Z161" s="4">
        <v>127</v>
      </c>
      <c r="AA161" s="4">
        <v>127</v>
      </c>
      <c r="AB161" s="4">
        <v>1</v>
      </c>
      <c r="AC161" s="4">
        <v>1</v>
      </c>
      <c r="AD161" s="4">
        <v>1</v>
      </c>
      <c r="AE161" s="4">
        <v>1</v>
      </c>
      <c r="AF161" s="4">
        <v>1</v>
      </c>
      <c r="AG161" s="4">
        <v>1</v>
      </c>
      <c r="AH161" s="4">
        <v>0</v>
      </c>
      <c r="AI161" s="4">
        <v>0</v>
      </c>
      <c r="AJ161" s="4">
        <v>0</v>
      </c>
      <c r="AK161" s="4">
        <v>0</v>
      </c>
      <c r="AL161" s="4">
        <v>0</v>
      </c>
      <c r="AM161" s="4">
        <v>0</v>
      </c>
      <c r="AN161" s="4">
        <v>0</v>
      </c>
      <c r="AO161" s="4">
        <v>0</v>
      </c>
      <c r="AP161" s="3" t="s">
        <v>58</v>
      </c>
      <c r="AQ161" s="3" t="s">
        <v>58</v>
      </c>
      <c r="AS161" s="6" t="str">
        <f>HYPERLINK("https://creighton-primo.hosted.exlibrisgroup.com/primo-explore/search?tab=default_tab&amp;search_scope=EVERYTHING&amp;vid=01CRU&amp;lang=en_US&amp;offset=0&amp;query=any,contains,991003353239702656","Catalog Record")</f>
        <v>Catalog Record</v>
      </c>
      <c r="AT161" s="6" t="str">
        <f>HYPERLINK("http://www.worldcat.org/oclc/41026535","WorldCat Record")</f>
        <v>WorldCat Record</v>
      </c>
      <c r="AU161" s="3" t="s">
        <v>2242</v>
      </c>
      <c r="AV161" s="3" t="s">
        <v>2243</v>
      </c>
      <c r="AW161" s="3" t="s">
        <v>2244</v>
      </c>
      <c r="AX161" s="3" t="s">
        <v>2244</v>
      </c>
      <c r="AY161" s="3" t="s">
        <v>2245</v>
      </c>
      <c r="AZ161" s="3" t="s">
        <v>74</v>
      </c>
      <c r="BB161" s="3" t="s">
        <v>2246</v>
      </c>
      <c r="BC161" s="3" t="s">
        <v>2247</v>
      </c>
      <c r="BD161" s="3" t="s">
        <v>2248</v>
      </c>
    </row>
    <row r="162" spans="1:56" ht="42.75" customHeight="1" x14ac:dyDescent="0.25">
      <c r="A162" s="7" t="s">
        <v>58</v>
      </c>
      <c r="B162" s="2" t="s">
        <v>2249</v>
      </c>
      <c r="C162" s="2" t="s">
        <v>2250</v>
      </c>
      <c r="D162" s="2" t="s">
        <v>2251</v>
      </c>
      <c r="F162" s="3" t="s">
        <v>58</v>
      </c>
      <c r="G162" s="3" t="s">
        <v>59</v>
      </c>
      <c r="H162" s="3" t="s">
        <v>58</v>
      </c>
      <c r="I162" s="3" t="s">
        <v>58</v>
      </c>
      <c r="J162" s="3" t="s">
        <v>60</v>
      </c>
      <c r="L162" s="2" t="s">
        <v>2252</v>
      </c>
      <c r="M162" s="3" t="s">
        <v>996</v>
      </c>
      <c r="N162" s="2" t="s">
        <v>1844</v>
      </c>
      <c r="O162" s="3" t="s">
        <v>64</v>
      </c>
      <c r="P162" s="3" t="s">
        <v>83</v>
      </c>
      <c r="R162" s="3" t="s">
        <v>67</v>
      </c>
      <c r="S162" s="4">
        <v>18</v>
      </c>
      <c r="T162" s="4">
        <v>18</v>
      </c>
      <c r="U162" s="5" t="s">
        <v>2253</v>
      </c>
      <c r="V162" s="5" t="s">
        <v>2253</v>
      </c>
      <c r="W162" s="5" t="s">
        <v>2254</v>
      </c>
      <c r="X162" s="5" t="s">
        <v>2254</v>
      </c>
      <c r="Y162" s="4">
        <v>713</v>
      </c>
      <c r="Z162" s="4">
        <v>584</v>
      </c>
      <c r="AA162" s="4">
        <v>1285</v>
      </c>
      <c r="AB162" s="4">
        <v>7</v>
      </c>
      <c r="AC162" s="4">
        <v>10</v>
      </c>
      <c r="AD162" s="4">
        <v>19</v>
      </c>
      <c r="AE162" s="4">
        <v>39</v>
      </c>
      <c r="AF162" s="4">
        <v>9</v>
      </c>
      <c r="AG162" s="4">
        <v>19</v>
      </c>
      <c r="AH162" s="4">
        <v>5</v>
      </c>
      <c r="AI162" s="4">
        <v>8</v>
      </c>
      <c r="AJ162" s="4">
        <v>6</v>
      </c>
      <c r="AK162" s="4">
        <v>15</v>
      </c>
      <c r="AL162" s="4">
        <v>5</v>
      </c>
      <c r="AM162" s="4">
        <v>7</v>
      </c>
      <c r="AN162" s="4">
        <v>1</v>
      </c>
      <c r="AO162" s="4">
        <v>1</v>
      </c>
      <c r="AP162" s="3" t="s">
        <v>58</v>
      </c>
      <c r="AQ162" s="3" t="s">
        <v>58</v>
      </c>
      <c r="AS162" s="6" t="str">
        <f>HYPERLINK("https://creighton-primo.hosted.exlibrisgroup.com/primo-explore/search?tab=default_tab&amp;search_scope=EVERYTHING&amp;vid=01CRU&amp;lang=en_US&amp;offset=0&amp;query=any,contains,991003692659702656","Catalog Record")</f>
        <v>Catalog Record</v>
      </c>
      <c r="AT162" s="6" t="str">
        <f>HYPERLINK("http://www.worldcat.org/oclc/41885904","WorldCat Record")</f>
        <v>WorldCat Record</v>
      </c>
      <c r="AU162" s="3" t="s">
        <v>2255</v>
      </c>
      <c r="AV162" s="3" t="s">
        <v>2256</v>
      </c>
      <c r="AW162" s="3" t="s">
        <v>2257</v>
      </c>
      <c r="AX162" s="3" t="s">
        <v>2257</v>
      </c>
      <c r="AY162" s="3" t="s">
        <v>2258</v>
      </c>
      <c r="AZ162" s="3" t="s">
        <v>74</v>
      </c>
      <c r="BB162" s="3" t="s">
        <v>2259</v>
      </c>
      <c r="BC162" s="3" t="s">
        <v>2260</v>
      </c>
      <c r="BD162" s="3" t="s">
        <v>2261</v>
      </c>
    </row>
    <row r="163" spans="1:56" ht="42.75" customHeight="1" x14ac:dyDescent="0.25">
      <c r="A163" s="7" t="s">
        <v>58</v>
      </c>
      <c r="B163" s="2" t="s">
        <v>2262</v>
      </c>
      <c r="C163" s="2" t="s">
        <v>2263</v>
      </c>
      <c r="D163" s="2" t="s">
        <v>2264</v>
      </c>
      <c r="F163" s="3" t="s">
        <v>58</v>
      </c>
      <c r="G163" s="3" t="s">
        <v>59</v>
      </c>
      <c r="H163" s="3" t="s">
        <v>58</v>
      </c>
      <c r="I163" s="3" t="s">
        <v>58</v>
      </c>
      <c r="J163" s="3" t="s">
        <v>60</v>
      </c>
      <c r="L163" s="2" t="s">
        <v>2265</v>
      </c>
      <c r="M163" s="3" t="s">
        <v>1035</v>
      </c>
      <c r="O163" s="3" t="s">
        <v>64</v>
      </c>
      <c r="P163" s="3" t="s">
        <v>83</v>
      </c>
      <c r="R163" s="3" t="s">
        <v>67</v>
      </c>
      <c r="S163" s="4">
        <v>6</v>
      </c>
      <c r="T163" s="4">
        <v>6</v>
      </c>
      <c r="U163" s="5" t="s">
        <v>2266</v>
      </c>
      <c r="V163" s="5" t="s">
        <v>2266</v>
      </c>
      <c r="W163" s="5" t="s">
        <v>2267</v>
      </c>
      <c r="X163" s="5" t="s">
        <v>2267</v>
      </c>
      <c r="Y163" s="4">
        <v>741</v>
      </c>
      <c r="Z163" s="4">
        <v>585</v>
      </c>
      <c r="AA163" s="4">
        <v>590</v>
      </c>
      <c r="AB163" s="4">
        <v>6</v>
      </c>
      <c r="AC163" s="4">
        <v>6</v>
      </c>
      <c r="AD163" s="4">
        <v>22</v>
      </c>
      <c r="AE163" s="4">
        <v>22</v>
      </c>
      <c r="AF163" s="4">
        <v>9</v>
      </c>
      <c r="AG163" s="4">
        <v>9</v>
      </c>
      <c r="AH163" s="4">
        <v>3</v>
      </c>
      <c r="AI163" s="4">
        <v>3</v>
      </c>
      <c r="AJ163" s="4">
        <v>8</v>
      </c>
      <c r="AK163" s="4">
        <v>8</v>
      </c>
      <c r="AL163" s="4">
        <v>5</v>
      </c>
      <c r="AM163" s="4">
        <v>5</v>
      </c>
      <c r="AN163" s="4">
        <v>1</v>
      </c>
      <c r="AO163" s="4">
        <v>1</v>
      </c>
      <c r="AP163" s="3" t="s">
        <v>58</v>
      </c>
      <c r="AQ163" s="3" t="s">
        <v>86</v>
      </c>
      <c r="AR163" s="6" t="str">
        <f>HYPERLINK("http://catalog.hathitrust.org/Record/004200676","HathiTrust Record")</f>
        <v>HathiTrust Record</v>
      </c>
      <c r="AS163" s="6" t="str">
        <f>HYPERLINK("https://creighton-primo.hosted.exlibrisgroup.com/primo-explore/search?tab=default_tab&amp;search_scope=EVERYTHING&amp;vid=01CRU&amp;lang=en_US&amp;offset=0&amp;query=any,contains,991003625049702656","Catalog Record")</f>
        <v>Catalog Record</v>
      </c>
      <c r="AT163" s="6" t="str">
        <f>HYPERLINK("http://www.worldcat.org/oclc/44089413","WorldCat Record")</f>
        <v>WorldCat Record</v>
      </c>
      <c r="AU163" s="3" t="s">
        <v>2268</v>
      </c>
      <c r="AV163" s="3" t="s">
        <v>2269</v>
      </c>
      <c r="AW163" s="3" t="s">
        <v>2270</v>
      </c>
      <c r="AX163" s="3" t="s">
        <v>2270</v>
      </c>
      <c r="AY163" s="3" t="s">
        <v>2271</v>
      </c>
      <c r="AZ163" s="3" t="s">
        <v>74</v>
      </c>
      <c r="BB163" s="3" t="s">
        <v>2272</v>
      </c>
      <c r="BC163" s="3" t="s">
        <v>2273</v>
      </c>
      <c r="BD163" s="3" t="s">
        <v>2274</v>
      </c>
    </row>
    <row r="164" spans="1:56" ht="42.75" customHeight="1" x14ac:dyDescent="0.25">
      <c r="A164" s="7" t="s">
        <v>58</v>
      </c>
      <c r="B164" s="2" t="s">
        <v>2275</v>
      </c>
      <c r="C164" s="2" t="s">
        <v>2276</v>
      </c>
      <c r="D164" s="2" t="s">
        <v>2277</v>
      </c>
      <c r="F164" s="3" t="s">
        <v>58</v>
      </c>
      <c r="G164" s="3" t="s">
        <v>59</v>
      </c>
      <c r="H164" s="3" t="s">
        <v>58</v>
      </c>
      <c r="I164" s="3" t="s">
        <v>58</v>
      </c>
      <c r="J164" s="3" t="s">
        <v>60</v>
      </c>
      <c r="L164" s="2" t="s">
        <v>2001</v>
      </c>
      <c r="M164" s="3" t="s">
        <v>98</v>
      </c>
      <c r="O164" s="3" t="s">
        <v>64</v>
      </c>
      <c r="P164" s="3" t="s">
        <v>83</v>
      </c>
      <c r="R164" s="3" t="s">
        <v>67</v>
      </c>
      <c r="S164" s="4">
        <v>41</v>
      </c>
      <c r="T164" s="4">
        <v>41</v>
      </c>
      <c r="U164" s="5" t="s">
        <v>2278</v>
      </c>
      <c r="V164" s="5" t="s">
        <v>2278</v>
      </c>
      <c r="W164" s="5" t="s">
        <v>415</v>
      </c>
      <c r="X164" s="5" t="s">
        <v>415</v>
      </c>
      <c r="Y164" s="4">
        <v>322</v>
      </c>
      <c r="Z164" s="4">
        <v>276</v>
      </c>
      <c r="AA164" s="4">
        <v>1354</v>
      </c>
      <c r="AB164" s="4">
        <v>2</v>
      </c>
      <c r="AC164" s="4">
        <v>33</v>
      </c>
      <c r="AD164" s="4">
        <v>5</v>
      </c>
      <c r="AE164" s="4">
        <v>47</v>
      </c>
      <c r="AF164" s="4">
        <v>2</v>
      </c>
      <c r="AG164" s="4">
        <v>17</v>
      </c>
      <c r="AH164" s="4">
        <v>1</v>
      </c>
      <c r="AI164" s="4">
        <v>6</v>
      </c>
      <c r="AJ164" s="4">
        <v>2</v>
      </c>
      <c r="AK164" s="4">
        <v>18</v>
      </c>
      <c r="AL164" s="4">
        <v>1</v>
      </c>
      <c r="AM164" s="4">
        <v>16</v>
      </c>
      <c r="AN164" s="4">
        <v>0</v>
      </c>
      <c r="AO164" s="4">
        <v>0</v>
      </c>
      <c r="AP164" s="3" t="s">
        <v>58</v>
      </c>
      <c r="AQ164" s="3" t="s">
        <v>58</v>
      </c>
      <c r="AS164" s="6" t="str">
        <f>HYPERLINK("https://creighton-primo.hosted.exlibrisgroup.com/primo-explore/search?tab=default_tab&amp;search_scope=EVERYTHING&amp;vid=01CRU&amp;lang=en_US&amp;offset=0&amp;query=any,contains,991001447369702656","Catalog Record")</f>
        <v>Catalog Record</v>
      </c>
      <c r="AT164" s="6" t="str">
        <f>HYPERLINK("http://www.worldcat.org/oclc/21228609","WorldCat Record")</f>
        <v>WorldCat Record</v>
      </c>
      <c r="AU164" s="3" t="s">
        <v>2279</v>
      </c>
      <c r="AV164" s="3" t="s">
        <v>2280</v>
      </c>
      <c r="AW164" s="3" t="s">
        <v>2281</v>
      </c>
      <c r="AX164" s="3" t="s">
        <v>2281</v>
      </c>
      <c r="AY164" s="3" t="s">
        <v>2282</v>
      </c>
      <c r="AZ164" s="3" t="s">
        <v>74</v>
      </c>
      <c r="BB164" s="3" t="s">
        <v>2283</v>
      </c>
      <c r="BC164" s="3" t="s">
        <v>2284</v>
      </c>
      <c r="BD164" s="3" t="s">
        <v>2285</v>
      </c>
    </row>
    <row r="165" spans="1:56" ht="42.75" customHeight="1" x14ac:dyDescent="0.25">
      <c r="A165" s="7" t="s">
        <v>58</v>
      </c>
      <c r="B165" s="2" t="s">
        <v>2286</v>
      </c>
      <c r="C165" s="2" t="s">
        <v>2287</v>
      </c>
      <c r="D165" s="2" t="s">
        <v>2288</v>
      </c>
      <c r="F165" s="3" t="s">
        <v>58</v>
      </c>
      <c r="G165" s="3" t="s">
        <v>59</v>
      </c>
      <c r="H165" s="3" t="s">
        <v>58</v>
      </c>
      <c r="I165" s="3" t="s">
        <v>58</v>
      </c>
      <c r="J165" s="3" t="s">
        <v>60</v>
      </c>
      <c r="L165" s="2" t="s">
        <v>2289</v>
      </c>
      <c r="M165" s="3" t="s">
        <v>98</v>
      </c>
      <c r="O165" s="3" t="s">
        <v>64</v>
      </c>
      <c r="P165" s="3" t="s">
        <v>115</v>
      </c>
      <c r="R165" s="3" t="s">
        <v>67</v>
      </c>
      <c r="S165" s="4">
        <v>42</v>
      </c>
      <c r="T165" s="4">
        <v>42</v>
      </c>
      <c r="U165" s="5" t="s">
        <v>2290</v>
      </c>
      <c r="V165" s="5" t="s">
        <v>2290</v>
      </c>
      <c r="W165" s="5" t="s">
        <v>2291</v>
      </c>
      <c r="X165" s="5" t="s">
        <v>2291</v>
      </c>
      <c r="Y165" s="4">
        <v>373</v>
      </c>
      <c r="Z165" s="4">
        <v>278</v>
      </c>
      <c r="AA165" s="4">
        <v>299</v>
      </c>
      <c r="AB165" s="4">
        <v>3</v>
      </c>
      <c r="AC165" s="4">
        <v>3</v>
      </c>
      <c r="AD165" s="4">
        <v>14</v>
      </c>
      <c r="AE165" s="4">
        <v>14</v>
      </c>
      <c r="AF165" s="4">
        <v>4</v>
      </c>
      <c r="AG165" s="4">
        <v>4</v>
      </c>
      <c r="AH165" s="4">
        <v>3</v>
      </c>
      <c r="AI165" s="4">
        <v>3</v>
      </c>
      <c r="AJ165" s="4">
        <v>6</v>
      </c>
      <c r="AK165" s="4">
        <v>6</v>
      </c>
      <c r="AL165" s="4">
        <v>2</v>
      </c>
      <c r="AM165" s="4">
        <v>2</v>
      </c>
      <c r="AN165" s="4">
        <v>1</v>
      </c>
      <c r="AO165" s="4">
        <v>1</v>
      </c>
      <c r="AP165" s="3" t="s">
        <v>58</v>
      </c>
      <c r="AQ165" s="3" t="s">
        <v>86</v>
      </c>
      <c r="AR165" s="6" t="str">
        <f>HYPERLINK("http://catalog.hathitrust.org/Record/000944558","HathiTrust Record")</f>
        <v>HathiTrust Record</v>
      </c>
      <c r="AS165" s="6" t="str">
        <f>HYPERLINK("https://creighton-primo.hosted.exlibrisgroup.com/primo-explore/search?tab=default_tab&amp;search_scope=EVERYTHING&amp;vid=01CRU&amp;lang=en_US&amp;offset=0&amp;query=any,contains,991001324939702656","Catalog Record")</f>
        <v>Catalog Record</v>
      </c>
      <c r="AT165" s="6" t="str">
        <f>HYPERLINK("http://www.worldcat.org/oclc/18259805","WorldCat Record")</f>
        <v>WorldCat Record</v>
      </c>
      <c r="AU165" s="3" t="s">
        <v>2292</v>
      </c>
      <c r="AV165" s="3" t="s">
        <v>2293</v>
      </c>
      <c r="AW165" s="3" t="s">
        <v>2294</v>
      </c>
      <c r="AX165" s="3" t="s">
        <v>2294</v>
      </c>
      <c r="AY165" s="3" t="s">
        <v>2295</v>
      </c>
      <c r="AZ165" s="3" t="s">
        <v>74</v>
      </c>
      <c r="BB165" s="3" t="s">
        <v>2296</v>
      </c>
      <c r="BC165" s="3" t="s">
        <v>2297</v>
      </c>
      <c r="BD165" s="3" t="s">
        <v>2298</v>
      </c>
    </row>
    <row r="166" spans="1:56" ht="42.75" customHeight="1" x14ac:dyDescent="0.25">
      <c r="A166" s="7" t="s">
        <v>58</v>
      </c>
      <c r="B166" s="2" t="s">
        <v>2299</v>
      </c>
      <c r="C166" s="2" t="s">
        <v>2300</v>
      </c>
      <c r="D166" s="2" t="s">
        <v>2301</v>
      </c>
      <c r="F166" s="3" t="s">
        <v>58</v>
      </c>
      <c r="G166" s="3" t="s">
        <v>59</v>
      </c>
      <c r="H166" s="3" t="s">
        <v>58</v>
      </c>
      <c r="I166" s="3" t="s">
        <v>58</v>
      </c>
      <c r="J166" s="3" t="s">
        <v>60</v>
      </c>
      <c r="K166" s="2" t="s">
        <v>2302</v>
      </c>
      <c r="L166" s="2" t="s">
        <v>2303</v>
      </c>
      <c r="M166" s="3" t="s">
        <v>114</v>
      </c>
      <c r="O166" s="3" t="s">
        <v>64</v>
      </c>
      <c r="P166" s="3" t="s">
        <v>2144</v>
      </c>
      <c r="R166" s="3" t="s">
        <v>67</v>
      </c>
      <c r="S166" s="4">
        <v>35</v>
      </c>
      <c r="T166" s="4">
        <v>35</v>
      </c>
      <c r="U166" s="5" t="s">
        <v>2290</v>
      </c>
      <c r="V166" s="5" t="s">
        <v>2290</v>
      </c>
      <c r="W166" s="5" t="s">
        <v>2304</v>
      </c>
      <c r="X166" s="5" t="s">
        <v>2304</v>
      </c>
      <c r="Y166" s="4">
        <v>888</v>
      </c>
      <c r="Z166" s="4">
        <v>823</v>
      </c>
      <c r="AA166" s="4">
        <v>947</v>
      </c>
      <c r="AB166" s="4">
        <v>9</v>
      </c>
      <c r="AC166" s="4">
        <v>11</v>
      </c>
      <c r="AD166" s="4">
        <v>21</v>
      </c>
      <c r="AE166" s="4">
        <v>24</v>
      </c>
      <c r="AF166" s="4">
        <v>11</v>
      </c>
      <c r="AG166" s="4">
        <v>12</v>
      </c>
      <c r="AH166" s="4">
        <v>2</v>
      </c>
      <c r="AI166" s="4">
        <v>2</v>
      </c>
      <c r="AJ166" s="4">
        <v>7</v>
      </c>
      <c r="AK166" s="4">
        <v>8</v>
      </c>
      <c r="AL166" s="4">
        <v>5</v>
      </c>
      <c r="AM166" s="4">
        <v>6</v>
      </c>
      <c r="AN166" s="4">
        <v>0</v>
      </c>
      <c r="AO166" s="4">
        <v>0</v>
      </c>
      <c r="AP166" s="3" t="s">
        <v>58</v>
      </c>
      <c r="AQ166" s="3" t="s">
        <v>86</v>
      </c>
      <c r="AR166" s="6" t="str">
        <f>HYPERLINK("http://catalog.hathitrust.org/Record/000414957","HathiTrust Record")</f>
        <v>HathiTrust Record</v>
      </c>
      <c r="AS166" s="6" t="str">
        <f>HYPERLINK("https://creighton-primo.hosted.exlibrisgroup.com/primo-explore/search?tab=default_tab&amp;search_scope=EVERYTHING&amp;vid=01CRU&amp;lang=en_US&amp;offset=0&amp;query=any,contains,991000412209702656","Catalog Record")</f>
        <v>Catalog Record</v>
      </c>
      <c r="AT166" s="6" t="str">
        <f>HYPERLINK("http://www.worldcat.org/oclc/10711732","WorldCat Record")</f>
        <v>WorldCat Record</v>
      </c>
      <c r="AU166" s="3" t="s">
        <v>2305</v>
      </c>
      <c r="AV166" s="3" t="s">
        <v>2306</v>
      </c>
      <c r="AW166" s="3" t="s">
        <v>2307</v>
      </c>
      <c r="AX166" s="3" t="s">
        <v>2307</v>
      </c>
      <c r="AY166" s="3" t="s">
        <v>2308</v>
      </c>
      <c r="AZ166" s="3" t="s">
        <v>74</v>
      </c>
      <c r="BB166" s="3" t="s">
        <v>2309</v>
      </c>
      <c r="BC166" s="3" t="s">
        <v>2310</v>
      </c>
      <c r="BD166" s="3" t="s">
        <v>2311</v>
      </c>
    </row>
    <row r="167" spans="1:56" ht="42.75" customHeight="1" x14ac:dyDescent="0.25">
      <c r="A167" s="7" t="s">
        <v>58</v>
      </c>
      <c r="B167" s="2" t="s">
        <v>2312</v>
      </c>
      <c r="C167" s="2" t="s">
        <v>2313</v>
      </c>
      <c r="D167" s="2" t="s">
        <v>2314</v>
      </c>
      <c r="F167" s="3" t="s">
        <v>58</v>
      </c>
      <c r="G167" s="3" t="s">
        <v>59</v>
      </c>
      <c r="H167" s="3" t="s">
        <v>58</v>
      </c>
      <c r="I167" s="3" t="s">
        <v>58</v>
      </c>
      <c r="J167" s="3" t="s">
        <v>60</v>
      </c>
      <c r="K167" s="2" t="s">
        <v>2315</v>
      </c>
      <c r="L167" s="2" t="s">
        <v>2316</v>
      </c>
      <c r="M167" s="3" t="s">
        <v>996</v>
      </c>
      <c r="N167" s="2" t="s">
        <v>1736</v>
      </c>
      <c r="O167" s="3" t="s">
        <v>64</v>
      </c>
      <c r="P167" s="3" t="s">
        <v>115</v>
      </c>
      <c r="R167" s="3" t="s">
        <v>67</v>
      </c>
      <c r="S167" s="4">
        <v>13</v>
      </c>
      <c r="T167" s="4">
        <v>13</v>
      </c>
      <c r="U167" s="5" t="s">
        <v>2317</v>
      </c>
      <c r="V167" s="5" t="s">
        <v>2317</v>
      </c>
      <c r="W167" s="5" t="s">
        <v>2318</v>
      </c>
      <c r="X167" s="5" t="s">
        <v>2318</v>
      </c>
      <c r="Y167" s="4">
        <v>919</v>
      </c>
      <c r="Z167" s="4">
        <v>831</v>
      </c>
      <c r="AA167" s="4">
        <v>834</v>
      </c>
      <c r="AB167" s="4">
        <v>10</v>
      </c>
      <c r="AC167" s="4">
        <v>10</v>
      </c>
      <c r="AD167" s="4">
        <v>16</v>
      </c>
      <c r="AE167" s="4">
        <v>16</v>
      </c>
      <c r="AF167" s="4">
        <v>7</v>
      </c>
      <c r="AG167" s="4">
        <v>7</v>
      </c>
      <c r="AH167" s="4">
        <v>1</v>
      </c>
      <c r="AI167" s="4">
        <v>1</v>
      </c>
      <c r="AJ167" s="4">
        <v>6</v>
      </c>
      <c r="AK167" s="4">
        <v>6</v>
      </c>
      <c r="AL167" s="4">
        <v>4</v>
      </c>
      <c r="AM167" s="4">
        <v>4</v>
      </c>
      <c r="AN167" s="4">
        <v>0</v>
      </c>
      <c r="AO167" s="4">
        <v>0</v>
      </c>
      <c r="AP167" s="3" t="s">
        <v>58</v>
      </c>
      <c r="AQ167" s="3" t="s">
        <v>58</v>
      </c>
      <c r="AS167" s="6" t="str">
        <f>HYPERLINK("https://creighton-primo.hosted.exlibrisgroup.com/primo-explore/search?tab=default_tab&amp;search_scope=EVERYTHING&amp;vid=01CRU&amp;lang=en_US&amp;offset=0&amp;query=any,contains,991003331739702656","Catalog Record")</f>
        <v>Catalog Record</v>
      </c>
      <c r="AT167" s="6" t="str">
        <f>HYPERLINK("http://www.worldcat.org/oclc/43913127","WorldCat Record")</f>
        <v>WorldCat Record</v>
      </c>
      <c r="AU167" s="3" t="s">
        <v>2319</v>
      </c>
      <c r="AV167" s="3" t="s">
        <v>2320</v>
      </c>
      <c r="AW167" s="3" t="s">
        <v>2321</v>
      </c>
      <c r="AX167" s="3" t="s">
        <v>2321</v>
      </c>
      <c r="AY167" s="3" t="s">
        <v>2322</v>
      </c>
      <c r="AZ167" s="3" t="s">
        <v>74</v>
      </c>
      <c r="BB167" s="3" t="s">
        <v>2323</v>
      </c>
      <c r="BC167" s="3" t="s">
        <v>2324</v>
      </c>
      <c r="BD167" s="3" t="s">
        <v>2325</v>
      </c>
    </row>
    <row r="168" spans="1:56" ht="42.75" customHeight="1" x14ac:dyDescent="0.25">
      <c r="A168" s="7" t="s">
        <v>58</v>
      </c>
      <c r="B168" s="2" t="s">
        <v>2326</v>
      </c>
      <c r="C168" s="2" t="s">
        <v>2327</v>
      </c>
      <c r="D168" s="2" t="s">
        <v>2328</v>
      </c>
      <c r="F168" s="3" t="s">
        <v>58</v>
      </c>
      <c r="G168" s="3" t="s">
        <v>59</v>
      </c>
      <c r="H168" s="3" t="s">
        <v>58</v>
      </c>
      <c r="I168" s="3" t="s">
        <v>58</v>
      </c>
      <c r="J168" s="3" t="s">
        <v>60</v>
      </c>
      <c r="K168" s="2" t="s">
        <v>2329</v>
      </c>
      <c r="L168" s="2" t="s">
        <v>2330</v>
      </c>
      <c r="M168" s="3" t="s">
        <v>192</v>
      </c>
      <c r="O168" s="3" t="s">
        <v>64</v>
      </c>
      <c r="P168" s="3" t="s">
        <v>2331</v>
      </c>
      <c r="R168" s="3" t="s">
        <v>67</v>
      </c>
      <c r="S168" s="4">
        <v>4</v>
      </c>
      <c r="T168" s="4">
        <v>4</v>
      </c>
      <c r="U168" s="5" t="s">
        <v>2332</v>
      </c>
      <c r="V168" s="5" t="s">
        <v>2332</v>
      </c>
      <c r="W168" s="5" t="s">
        <v>2333</v>
      </c>
      <c r="X168" s="5" t="s">
        <v>2333</v>
      </c>
      <c r="Y168" s="4">
        <v>214</v>
      </c>
      <c r="Z168" s="4">
        <v>180</v>
      </c>
      <c r="AA168" s="4">
        <v>181</v>
      </c>
      <c r="AB168" s="4">
        <v>3</v>
      </c>
      <c r="AC168" s="4">
        <v>3</v>
      </c>
      <c r="AD168" s="4">
        <v>4</v>
      </c>
      <c r="AE168" s="4">
        <v>4</v>
      </c>
      <c r="AF168" s="4">
        <v>1</v>
      </c>
      <c r="AG168" s="4">
        <v>1</v>
      </c>
      <c r="AH168" s="4">
        <v>0</v>
      </c>
      <c r="AI168" s="4">
        <v>0</v>
      </c>
      <c r="AJ168" s="4">
        <v>1</v>
      </c>
      <c r="AK168" s="4">
        <v>1</v>
      </c>
      <c r="AL168" s="4">
        <v>2</v>
      </c>
      <c r="AM168" s="4">
        <v>2</v>
      </c>
      <c r="AN168" s="4">
        <v>0</v>
      </c>
      <c r="AO168" s="4">
        <v>0</v>
      </c>
      <c r="AP168" s="3" t="s">
        <v>58</v>
      </c>
      <c r="AQ168" s="3" t="s">
        <v>58</v>
      </c>
      <c r="AS168" s="6" t="str">
        <f>HYPERLINK("https://creighton-primo.hosted.exlibrisgroup.com/primo-explore/search?tab=default_tab&amp;search_scope=EVERYTHING&amp;vid=01CRU&amp;lang=en_US&amp;offset=0&amp;query=any,contains,991005132689702656","Catalog Record")</f>
        <v>Catalog Record</v>
      </c>
      <c r="AT168" s="6" t="str">
        <f>HYPERLINK("http://www.worldcat.org/oclc/70114642","WorldCat Record")</f>
        <v>WorldCat Record</v>
      </c>
      <c r="AU168" s="3" t="s">
        <v>2334</v>
      </c>
      <c r="AV168" s="3" t="s">
        <v>2335</v>
      </c>
      <c r="AW168" s="3" t="s">
        <v>2336</v>
      </c>
      <c r="AX168" s="3" t="s">
        <v>2336</v>
      </c>
      <c r="AY168" s="3" t="s">
        <v>2337</v>
      </c>
      <c r="AZ168" s="3" t="s">
        <v>74</v>
      </c>
      <c r="BB168" s="3" t="s">
        <v>2338</v>
      </c>
      <c r="BC168" s="3" t="s">
        <v>2339</v>
      </c>
      <c r="BD168" s="3" t="s">
        <v>2340</v>
      </c>
    </row>
    <row r="169" spans="1:56" ht="42.75" customHeight="1" x14ac:dyDescent="0.25">
      <c r="A169" s="7" t="s">
        <v>58</v>
      </c>
      <c r="B169" s="2" t="s">
        <v>2341</v>
      </c>
      <c r="C169" s="2" t="s">
        <v>2342</v>
      </c>
      <c r="D169" s="2" t="s">
        <v>2343</v>
      </c>
      <c r="F169" s="3" t="s">
        <v>58</v>
      </c>
      <c r="G169" s="3" t="s">
        <v>59</v>
      </c>
      <c r="H169" s="3" t="s">
        <v>58</v>
      </c>
      <c r="I169" s="3" t="s">
        <v>58</v>
      </c>
      <c r="J169" s="3" t="s">
        <v>60</v>
      </c>
      <c r="K169" s="2" t="s">
        <v>2344</v>
      </c>
      <c r="L169" s="2" t="s">
        <v>2345</v>
      </c>
      <c r="M169" s="3" t="s">
        <v>1506</v>
      </c>
      <c r="O169" s="3" t="s">
        <v>64</v>
      </c>
      <c r="P169" s="3" t="s">
        <v>65</v>
      </c>
      <c r="Q169" s="2" t="s">
        <v>2346</v>
      </c>
      <c r="R169" s="3" t="s">
        <v>67</v>
      </c>
      <c r="S169" s="4">
        <v>1</v>
      </c>
      <c r="T169" s="4">
        <v>1</v>
      </c>
      <c r="U169" s="5" t="s">
        <v>2347</v>
      </c>
      <c r="V169" s="5" t="s">
        <v>2347</v>
      </c>
      <c r="W169" s="5" t="s">
        <v>2347</v>
      </c>
      <c r="X169" s="5" t="s">
        <v>2347</v>
      </c>
      <c r="Y169" s="4">
        <v>457</v>
      </c>
      <c r="Z169" s="4">
        <v>375</v>
      </c>
      <c r="AA169" s="4">
        <v>460</v>
      </c>
      <c r="AB169" s="4">
        <v>2</v>
      </c>
      <c r="AC169" s="4">
        <v>2</v>
      </c>
      <c r="AD169" s="4">
        <v>12</v>
      </c>
      <c r="AE169" s="4">
        <v>15</v>
      </c>
      <c r="AF169" s="4">
        <v>6</v>
      </c>
      <c r="AG169" s="4">
        <v>6</v>
      </c>
      <c r="AH169" s="4">
        <v>3</v>
      </c>
      <c r="AI169" s="4">
        <v>4</v>
      </c>
      <c r="AJ169" s="4">
        <v>4</v>
      </c>
      <c r="AK169" s="4">
        <v>5</v>
      </c>
      <c r="AL169" s="4">
        <v>1</v>
      </c>
      <c r="AM169" s="4">
        <v>1</v>
      </c>
      <c r="AN169" s="4">
        <v>1</v>
      </c>
      <c r="AO169" s="4">
        <v>2</v>
      </c>
      <c r="AP169" s="3" t="s">
        <v>58</v>
      </c>
      <c r="AQ169" s="3" t="s">
        <v>58</v>
      </c>
      <c r="AS169" s="6" t="str">
        <f>HYPERLINK("https://creighton-primo.hosted.exlibrisgroup.com/primo-explore/search?tab=default_tab&amp;search_scope=EVERYTHING&amp;vid=01CRU&amp;lang=en_US&amp;offset=0&amp;query=any,contains,991005395059702656","Catalog Record")</f>
        <v>Catalog Record</v>
      </c>
      <c r="AT169" s="6" t="str">
        <f>HYPERLINK("http://www.worldcat.org/oclc/237880850","WorldCat Record")</f>
        <v>WorldCat Record</v>
      </c>
      <c r="AU169" s="3" t="s">
        <v>2348</v>
      </c>
      <c r="AV169" s="3" t="s">
        <v>2349</v>
      </c>
      <c r="AW169" s="3" t="s">
        <v>2350</v>
      </c>
      <c r="AX169" s="3" t="s">
        <v>2350</v>
      </c>
      <c r="AY169" s="3" t="s">
        <v>2351</v>
      </c>
      <c r="AZ169" s="3" t="s">
        <v>74</v>
      </c>
      <c r="BB169" s="3" t="s">
        <v>2352</v>
      </c>
      <c r="BC169" s="3" t="s">
        <v>2353</v>
      </c>
      <c r="BD169" s="3" t="s">
        <v>2354</v>
      </c>
    </row>
    <row r="170" spans="1:56" ht="42.75" customHeight="1" x14ac:dyDescent="0.25">
      <c r="A170" s="7" t="s">
        <v>58</v>
      </c>
      <c r="B170" s="2" t="s">
        <v>2355</v>
      </c>
      <c r="C170" s="2" t="s">
        <v>2356</v>
      </c>
      <c r="D170" s="2" t="s">
        <v>2357</v>
      </c>
      <c r="F170" s="3" t="s">
        <v>58</v>
      </c>
      <c r="G170" s="3" t="s">
        <v>59</v>
      </c>
      <c r="H170" s="3" t="s">
        <v>58</v>
      </c>
      <c r="I170" s="3" t="s">
        <v>58</v>
      </c>
      <c r="J170" s="3" t="s">
        <v>60</v>
      </c>
      <c r="K170" s="2" t="s">
        <v>2358</v>
      </c>
      <c r="L170" s="2" t="s">
        <v>2359</v>
      </c>
      <c r="M170" s="3" t="s">
        <v>1035</v>
      </c>
      <c r="N170" s="2" t="s">
        <v>1736</v>
      </c>
      <c r="O170" s="3" t="s">
        <v>64</v>
      </c>
      <c r="P170" s="3" t="s">
        <v>115</v>
      </c>
      <c r="R170" s="3" t="s">
        <v>67</v>
      </c>
      <c r="S170" s="4">
        <v>6</v>
      </c>
      <c r="T170" s="4">
        <v>6</v>
      </c>
      <c r="U170" s="5" t="s">
        <v>2290</v>
      </c>
      <c r="V170" s="5" t="s">
        <v>2290</v>
      </c>
      <c r="W170" s="5" t="s">
        <v>2360</v>
      </c>
      <c r="X170" s="5" t="s">
        <v>2360</v>
      </c>
      <c r="Y170" s="4">
        <v>422</v>
      </c>
      <c r="Z170" s="4">
        <v>374</v>
      </c>
      <c r="AA170" s="4">
        <v>385</v>
      </c>
      <c r="AB170" s="4">
        <v>4</v>
      </c>
      <c r="AC170" s="4">
        <v>4</v>
      </c>
      <c r="AD170" s="4">
        <v>11</v>
      </c>
      <c r="AE170" s="4">
        <v>11</v>
      </c>
      <c r="AF170" s="4">
        <v>4</v>
      </c>
      <c r="AG170" s="4">
        <v>4</v>
      </c>
      <c r="AH170" s="4">
        <v>3</v>
      </c>
      <c r="AI170" s="4">
        <v>3</v>
      </c>
      <c r="AJ170" s="4">
        <v>3</v>
      </c>
      <c r="AK170" s="4">
        <v>3</v>
      </c>
      <c r="AL170" s="4">
        <v>3</v>
      </c>
      <c r="AM170" s="4">
        <v>3</v>
      </c>
      <c r="AN170" s="4">
        <v>0</v>
      </c>
      <c r="AO170" s="4">
        <v>0</v>
      </c>
      <c r="AP170" s="3" t="s">
        <v>58</v>
      </c>
      <c r="AQ170" s="3" t="s">
        <v>58</v>
      </c>
      <c r="AS170" s="6" t="str">
        <f>HYPERLINK("https://creighton-primo.hosted.exlibrisgroup.com/primo-explore/search?tab=default_tab&amp;search_scope=EVERYTHING&amp;vid=01CRU&amp;lang=en_US&amp;offset=0&amp;query=any,contains,991003729259702656","Catalog Record")</f>
        <v>Catalog Record</v>
      </c>
      <c r="AT170" s="6" t="str">
        <f>HYPERLINK("http://www.worldcat.org/oclc/45917042","WorldCat Record")</f>
        <v>WorldCat Record</v>
      </c>
      <c r="AU170" s="3" t="s">
        <v>2361</v>
      </c>
      <c r="AV170" s="3" t="s">
        <v>2362</v>
      </c>
      <c r="AW170" s="3" t="s">
        <v>2363</v>
      </c>
      <c r="AX170" s="3" t="s">
        <v>2363</v>
      </c>
      <c r="AY170" s="3" t="s">
        <v>2364</v>
      </c>
      <c r="AZ170" s="3" t="s">
        <v>74</v>
      </c>
      <c r="BB170" s="3" t="s">
        <v>2365</v>
      </c>
      <c r="BC170" s="3" t="s">
        <v>2366</v>
      </c>
      <c r="BD170" s="3" t="s">
        <v>2367</v>
      </c>
    </row>
    <row r="171" spans="1:56" ht="42.75" customHeight="1" x14ac:dyDescent="0.25">
      <c r="A171" s="7" t="s">
        <v>58</v>
      </c>
      <c r="B171" s="2" t="s">
        <v>2368</v>
      </c>
      <c r="C171" s="2" t="s">
        <v>2369</v>
      </c>
      <c r="D171" s="2" t="s">
        <v>2370</v>
      </c>
      <c r="F171" s="3" t="s">
        <v>58</v>
      </c>
      <c r="G171" s="3" t="s">
        <v>59</v>
      </c>
      <c r="H171" s="3" t="s">
        <v>58</v>
      </c>
      <c r="I171" s="3" t="s">
        <v>58</v>
      </c>
      <c r="J171" s="3" t="s">
        <v>60</v>
      </c>
      <c r="K171" s="2" t="s">
        <v>2371</v>
      </c>
      <c r="L171" s="2" t="s">
        <v>2372</v>
      </c>
      <c r="M171" s="3" t="s">
        <v>586</v>
      </c>
      <c r="O171" s="3" t="s">
        <v>64</v>
      </c>
      <c r="P171" s="3" t="s">
        <v>83</v>
      </c>
      <c r="R171" s="3" t="s">
        <v>67</v>
      </c>
      <c r="S171" s="4">
        <v>37</v>
      </c>
      <c r="T171" s="4">
        <v>37</v>
      </c>
      <c r="U171" s="5" t="s">
        <v>2278</v>
      </c>
      <c r="V171" s="5" t="s">
        <v>2278</v>
      </c>
      <c r="W171" s="5" t="s">
        <v>2373</v>
      </c>
      <c r="X171" s="5" t="s">
        <v>2373</v>
      </c>
      <c r="Y171" s="4">
        <v>879</v>
      </c>
      <c r="Z171" s="4">
        <v>726</v>
      </c>
      <c r="AA171" s="4">
        <v>736</v>
      </c>
      <c r="AB171" s="4">
        <v>12</v>
      </c>
      <c r="AC171" s="4">
        <v>12</v>
      </c>
      <c r="AD171" s="4">
        <v>20</v>
      </c>
      <c r="AE171" s="4">
        <v>20</v>
      </c>
      <c r="AF171" s="4">
        <v>5</v>
      </c>
      <c r="AG171" s="4">
        <v>5</v>
      </c>
      <c r="AH171" s="4">
        <v>2</v>
      </c>
      <c r="AI171" s="4">
        <v>2</v>
      </c>
      <c r="AJ171" s="4">
        <v>9</v>
      </c>
      <c r="AK171" s="4">
        <v>9</v>
      </c>
      <c r="AL171" s="4">
        <v>8</v>
      </c>
      <c r="AM171" s="4">
        <v>8</v>
      </c>
      <c r="AN171" s="4">
        <v>1</v>
      </c>
      <c r="AO171" s="4">
        <v>1</v>
      </c>
      <c r="AP171" s="3" t="s">
        <v>58</v>
      </c>
      <c r="AQ171" s="3" t="s">
        <v>86</v>
      </c>
      <c r="AR171" s="6" t="str">
        <f>HYPERLINK("http://catalog.hathitrust.org/Record/002432667","HathiTrust Record")</f>
        <v>HathiTrust Record</v>
      </c>
      <c r="AS171" s="6" t="str">
        <f>HYPERLINK("https://creighton-primo.hosted.exlibrisgroup.com/primo-explore/search?tab=default_tab&amp;search_scope=EVERYTHING&amp;vid=01CRU&amp;lang=en_US&amp;offset=0&amp;query=any,contains,991001723939702656","Catalog Record")</f>
        <v>Catalog Record</v>
      </c>
      <c r="AT171" s="6" t="str">
        <f>HYPERLINK("http://www.worldcat.org/oclc/21873349","WorldCat Record")</f>
        <v>WorldCat Record</v>
      </c>
      <c r="AU171" s="3" t="s">
        <v>2374</v>
      </c>
      <c r="AV171" s="3" t="s">
        <v>2375</v>
      </c>
      <c r="AW171" s="3" t="s">
        <v>2376</v>
      </c>
      <c r="AX171" s="3" t="s">
        <v>2376</v>
      </c>
      <c r="AY171" s="3" t="s">
        <v>2377</v>
      </c>
      <c r="AZ171" s="3" t="s">
        <v>74</v>
      </c>
      <c r="BB171" s="3" t="s">
        <v>2378</v>
      </c>
      <c r="BC171" s="3" t="s">
        <v>2379</v>
      </c>
      <c r="BD171" s="3" t="s">
        <v>2380</v>
      </c>
    </row>
    <row r="172" spans="1:56" ht="42.75" customHeight="1" x14ac:dyDescent="0.25">
      <c r="A172" s="7" t="s">
        <v>58</v>
      </c>
      <c r="B172" s="2" t="s">
        <v>2381</v>
      </c>
      <c r="C172" s="2" t="s">
        <v>2382</v>
      </c>
      <c r="D172" s="2" t="s">
        <v>2383</v>
      </c>
      <c r="F172" s="3" t="s">
        <v>58</v>
      </c>
      <c r="G172" s="3" t="s">
        <v>59</v>
      </c>
      <c r="H172" s="3" t="s">
        <v>58</v>
      </c>
      <c r="I172" s="3" t="s">
        <v>58</v>
      </c>
      <c r="J172" s="3" t="s">
        <v>60</v>
      </c>
      <c r="K172" s="2" t="s">
        <v>2384</v>
      </c>
      <c r="L172" s="2" t="s">
        <v>2385</v>
      </c>
      <c r="M172" s="3" t="s">
        <v>2386</v>
      </c>
      <c r="O172" s="3" t="s">
        <v>64</v>
      </c>
      <c r="P172" s="3" t="s">
        <v>83</v>
      </c>
      <c r="R172" s="3" t="s">
        <v>67</v>
      </c>
      <c r="S172" s="4">
        <v>33</v>
      </c>
      <c r="T172" s="4">
        <v>33</v>
      </c>
      <c r="U172" s="5" t="s">
        <v>2266</v>
      </c>
      <c r="V172" s="5" t="s">
        <v>2266</v>
      </c>
      <c r="W172" s="5" t="s">
        <v>2291</v>
      </c>
      <c r="X172" s="5" t="s">
        <v>2291</v>
      </c>
      <c r="Y172" s="4">
        <v>333</v>
      </c>
      <c r="Z172" s="4">
        <v>280</v>
      </c>
      <c r="AA172" s="4">
        <v>280</v>
      </c>
      <c r="AB172" s="4">
        <v>4</v>
      </c>
      <c r="AC172" s="4">
        <v>4</v>
      </c>
      <c r="AD172" s="4">
        <v>8</v>
      </c>
      <c r="AE172" s="4">
        <v>8</v>
      </c>
      <c r="AF172" s="4">
        <v>4</v>
      </c>
      <c r="AG172" s="4">
        <v>4</v>
      </c>
      <c r="AH172" s="4">
        <v>0</v>
      </c>
      <c r="AI172" s="4">
        <v>0</v>
      </c>
      <c r="AJ172" s="4">
        <v>3</v>
      </c>
      <c r="AK172" s="4">
        <v>3</v>
      </c>
      <c r="AL172" s="4">
        <v>3</v>
      </c>
      <c r="AM172" s="4">
        <v>3</v>
      </c>
      <c r="AN172" s="4">
        <v>0</v>
      </c>
      <c r="AO172" s="4">
        <v>0</v>
      </c>
      <c r="AP172" s="3" t="s">
        <v>58</v>
      </c>
      <c r="AQ172" s="3" t="s">
        <v>58</v>
      </c>
      <c r="AS172" s="6" t="str">
        <f>HYPERLINK("https://creighton-primo.hosted.exlibrisgroup.com/primo-explore/search?tab=default_tab&amp;search_scope=EVERYTHING&amp;vid=01CRU&amp;lang=en_US&amp;offset=0&amp;query=any,contains,991003224759702656","Catalog Record")</f>
        <v>Catalog Record</v>
      </c>
      <c r="AT172" s="6" t="str">
        <f>HYPERLINK("http://www.worldcat.org/oclc/749789","WorldCat Record")</f>
        <v>WorldCat Record</v>
      </c>
      <c r="AU172" s="3" t="s">
        <v>2387</v>
      </c>
      <c r="AV172" s="3" t="s">
        <v>2388</v>
      </c>
      <c r="AW172" s="3" t="s">
        <v>2389</v>
      </c>
      <c r="AX172" s="3" t="s">
        <v>2389</v>
      </c>
      <c r="AY172" s="3" t="s">
        <v>2390</v>
      </c>
      <c r="AZ172" s="3" t="s">
        <v>74</v>
      </c>
      <c r="BB172" s="3" t="s">
        <v>2391</v>
      </c>
      <c r="BC172" s="3" t="s">
        <v>2392</v>
      </c>
      <c r="BD172" s="3" t="s">
        <v>2393</v>
      </c>
    </row>
    <row r="173" spans="1:56" ht="42.75" customHeight="1" x14ac:dyDescent="0.25">
      <c r="A173" s="7" t="s">
        <v>58</v>
      </c>
      <c r="B173" s="2" t="s">
        <v>2394</v>
      </c>
      <c r="C173" s="2" t="s">
        <v>2395</v>
      </c>
      <c r="D173" s="2" t="s">
        <v>2396</v>
      </c>
      <c r="E173" s="3" t="s">
        <v>2397</v>
      </c>
      <c r="F173" s="3" t="s">
        <v>86</v>
      </c>
      <c r="G173" s="3" t="s">
        <v>59</v>
      </c>
      <c r="H173" s="3" t="s">
        <v>58</v>
      </c>
      <c r="I173" s="3" t="s">
        <v>58</v>
      </c>
      <c r="J173" s="3" t="s">
        <v>60</v>
      </c>
      <c r="K173" s="2" t="s">
        <v>2398</v>
      </c>
      <c r="L173" s="2" t="s">
        <v>2399</v>
      </c>
      <c r="M173" s="3" t="s">
        <v>223</v>
      </c>
      <c r="O173" s="3" t="s">
        <v>64</v>
      </c>
      <c r="P173" s="3" t="s">
        <v>208</v>
      </c>
      <c r="R173" s="3" t="s">
        <v>67</v>
      </c>
      <c r="S173" s="4">
        <v>41</v>
      </c>
      <c r="T173" s="4">
        <v>41</v>
      </c>
      <c r="U173" s="5" t="s">
        <v>2266</v>
      </c>
      <c r="V173" s="5" t="s">
        <v>2266</v>
      </c>
      <c r="W173" s="5" t="s">
        <v>2291</v>
      </c>
      <c r="X173" s="5" t="s">
        <v>2291</v>
      </c>
      <c r="Y173" s="4">
        <v>29</v>
      </c>
      <c r="Z173" s="4">
        <v>28</v>
      </c>
      <c r="AA173" s="4">
        <v>68</v>
      </c>
      <c r="AB173" s="4">
        <v>1</v>
      </c>
      <c r="AC173" s="4">
        <v>1</v>
      </c>
      <c r="AD173" s="4">
        <v>0</v>
      </c>
      <c r="AE173" s="4">
        <v>1</v>
      </c>
      <c r="AF173" s="4">
        <v>0</v>
      </c>
      <c r="AG173" s="4">
        <v>1</v>
      </c>
      <c r="AH173" s="4">
        <v>0</v>
      </c>
      <c r="AI173" s="4">
        <v>0</v>
      </c>
      <c r="AJ173" s="4">
        <v>0</v>
      </c>
      <c r="AK173" s="4">
        <v>0</v>
      </c>
      <c r="AL173" s="4">
        <v>0</v>
      </c>
      <c r="AM173" s="4">
        <v>0</v>
      </c>
      <c r="AN173" s="4">
        <v>0</v>
      </c>
      <c r="AO173" s="4">
        <v>0</v>
      </c>
      <c r="AP173" s="3" t="s">
        <v>58</v>
      </c>
      <c r="AQ173" s="3" t="s">
        <v>58</v>
      </c>
      <c r="AS173" s="6" t="str">
        <f>HYPERLINK("https://creighton-primo.hosted.exlibrisgroup.com/primo-explore/search?tab=default_tab&amp;search_scope=EVERYTHING&amp;vid=01CRU&amp;lang=en_US&amp;offset=0&amp;query=any,contains,991000330399702656","Catalog Record")</f>
        <v>Catalog Record</v>
      </c>
      <c r="AT173" s="6" t="str">
        <f>HYPERLINK("http://www.worldcat.org/oclc/10198483","WorldCat Record")</f>
        <v>WorldCat Record</v>
      </c>
      <c r="AU173" s="3" t="s">
        <v>2400</v>
      </c>
      <c r="AV173" s="3" t="s">
        <v>2401</v>
      </c>
      <c r="AW173" s="3" t="s">
        <v>2402</v>
      </c>
      <c r="AX173" s="3" t="s">
        <v>2402</v>
      </c>
      <c r="AY173" s="3" t="s">
        <v>2403</v>
      </c>
      <c r="AZ173" s="3" t="s">
        <v>74</v>
      </c>
      <c r="BB173" s="3" t="s">
        <v>2404</v>
      </c>
      <c r="BC173" s="3" t="s">
        <v>2405</v>
      </c>
      <c r="BD173" s="3" t="s">
        <v>2406</v>
      </c>
    </row>
    <row r="174" spans="1:56" ht="42.75" customHeight="1" x14ac:dyDescent="0.25">
      <c r="A174" s="7" t="s">
        <v>58</v>
      </c>
      <c r="B174" s="2" t="s">
        <v>2407</v>
      </c>
      <c r="C174" s="2" t="s">
        <v>2408</v>
      </c>
      <c r="D174" s="2" t="s">
        <v>2409</v>
      </c>
      <c r="F174" s="3" t="s">
        <v>58</v>
      </c>
      <c r="G174" s="3" t="s">
        <v>59</v>
      </c>
      <c r="H174" s="3" t="s">
        <v>58</v>
      </c>
      <c r="I174" s="3" t="s">
        <v>58</v>
      </c>
      <c r="J174" s="3" t="s">
        <v>60</v>
      </c>
      <c r="K174" s="2" t="s">
        <v>2410</v>
      </c>
      <c r="L174" s="2" t="s">
        <v>2411</v>
      </c>
      <c r="M174" s="3" t="s">
        <v>888</v>
      </c>
      <c r="O174" s="3" t="s">
        <v>64</v>
      </c>
      <c r="P174" s="3" t="s">
        <v>83</v>
      </c>
      <c r="R174" s="3" t="s">
        <v>67</v>
      </c>
      <c r="S174" s="4">
        <v>30</v>
      </c>
      <c r="T174" s="4">
        <v>30</v>
      </c>
      <c r="U174" s="5" t="s">
        <v>2412</v>
      </c>
      <c r="V174" s="5" t="s">
        <v>2412</v>
      </c>
      <c r="W174" s="5" t="s">
        <v>2413</v>
      </c>
      <c r="X174" s="5" t="s">
        <v>2413</v>
      </c>
      <c r="Y174" s="4">
        <v>940</v>
      </c>
      <c r="Z174" s="4">
        <v>775</v>
      </c>
      <c r="AA174" s="4">
        <v>781</v>
      </c>
      <c r="AB174" s="4">
        <v>8</v>
      </c>
      <c r="AC174" s="4">
        <v>8</v>
      </c>
      <c r="AD174" s="4">
        <v>19</v>
      </c>
      <c r="AE174" s="4">
        <v>19</v>
      </c>
      <c r="AF174" s="4">
        <v>9</v>
      </c>
      <c r="AG174" s="4">
        <v>9</v>
      </c>
      <c r="AH174" s="4">
        <v>2</v>
      </c>
      <c r="AI174" s="4">
        <v>2</v>
      </c>
      <c r="AJ174" s="4">
        <v>8</v>
      </c>
      <c r="AK174" s="4">
        <v>8</v>
      </c>
      <c r="AL174" s="4">
        <v>4</v>
      </c>
      <c r="AM174" s="4">
        <v>4</v>
      </c>
      <c r="AN174" s="4">
        <v>0</v>
      </c>
      <c r="AO174" s="4">
        <v>0</v>
      </c>
      <c r="AP174" s="3" t="s">
        <v>58</v>
      </c>
      <c r="AQ174" s="3" t="s">
        <v>58</v>
      </c>
      <c r="AS174" s="6" t="str">
        <f>HYPERLINK("https://creighton-primo.hosted.exlibrisgroup.com/primo-explore/search?tab=default_tab&amp;search_scope=EVERYTHING&amp;vid=01CRU&amp;lang=en_US&amp;offset=0&amp;query=any,contains,991002879369702656","Catalog Record")</f>
        <v>Catalog Record</v>
      </c>
      <c r="AT174" s="6" t="str">
        <f>HYPERLINK("http://www.worldcat.org/oclc/37947231","WorldCat Record")</f>
        <v>WorldCat Record</v>
      </c>
      <c r="AU174" s="3" t="s">
        <v>2414</v>
      </c>
      <c r="AV174" s="3" t="s">
        <v>2415</v>
      </c>
      <c r="AW174" s="3" t="s">
        <v>2416</v>
      </c>
      <c r="AX174" s="3" t="s">
        <v>2416</v>
      </c>
      <c r="AY174" s="3" t="s">
        <v>2417</v>
      </c>
      <c r="AZ174" s="3" t="s">
        <v>74</v>
      </c>
      <c r="BB174" s="3" t="s">
        <v>2418</v>
      </c>
      <c r="BC174" s="3" t="s">
        <v>2419</v>
      </c>
      <c r="BD174" s="3" t="s">
        <v>2420</v>
      </c>
    </row>
    <row r="175" spans="1:56" ht="42.75" customHeight="1" x14ac:dyDescent="0.25">
      <c r="A175" s="7" t="s">
        <v>58</v>
      </c>
      <c r="B175" s="2" t="s">
        <v>2421</v>
      </c>
      <c r="C175" s="2" t="s">
        <v>2422</v>
      </c>
      <c r="D175" s="2" t="s">
        <v>2423</v>
      </c>
      <c r="F175" s="3" t="s">
        <v>58</v>
      </c>
      <c r="G175" s="3" t="s">
        <v>59</v>
      </c>
      <c r="H175" s="3" t="s">
        <v>58</v>
      </c>
      <c r="I175" s="3" t="s">
        <v>58</v>
      </c>
      <c r="J175" s="3" t="s">
        <v>60</v>
      </c>
      <c r="K175" s="2" t="s">
        <v>2398</v>
      </c>
      <c r="L175" s="2" t="s">
        <v>2424</v>
      </c>
      <c r="M175" s="3" t="s">
        <v>534</v>
      </c>
      <c r="O175" s="3" t="s">
        <v>64</v>
      </c>
      <c r="P175" s="3" t="s">
        <v>2144</v>
      </c>
      <c r="R175" s="3" t="s">
        <v>67</v>
      </c>
      <c r="S175" s="4">
        <v>31</v>
      </c>
      <c r="T175" s="4">
        <v>31</v>
      </c>
      <c r="U175" s="5" t="s">
        <v>2253</v>
      </c>
      <c r="V175" s="5" t="s">
        <v>2253</v>
      </c>
      <c r="W175" s="5" t="s">
        <v>2425</v>
      </c>
      <c r="X175" s="5" t="s">
        <v>2425</v>
      </c>
      <c r="Y175" s="4">
        <v>49</v>
      </c>
      <c r="Z175" s="4">
        <v>43</v>
      </c>
      <c r="AA175" s="4">
        <v>566</v>
      </c>
      <c r="AB175" s="4">
        <v>1</v>
      </c>
      <c r="AC175" s="4">
        <v>5</v>
      </c>
      <c r="AD175" s="4">
        <v>0</v>
      </c>
      <c r="AE175" s="4">
        <v>7</v>
      </c>
      <c r="AF175" s="4">
        <v>0</v>
      </c>
      <c r="AG175" s="4">
        <v>2</v>
      </c>
      <c r="AH175" s="4">
        <v>0</v>
      </c>
      <c r="AI175" s="4">
        <v>0</v>
      </c>
      <c r="AJ175" s="4">
        <v>0</v>
      </c>
      <c r="AK175" s="4">
        <v>2</v>
      </c>
      <c r="AL175" s="4">
        <v>0</v>
      </c>
      <c r="AM175" s="4">
        <v>3</v>
      </c>
      <c r="AN175" s="4">
        <v>0</v>
      </c>
      <c r="AO175" s="4">
        <v>0</v>
      </c>
      <c r="AP175" s="3" t="s">
        <v>58</v>
      </c>
      <c r="AQ175" s="3" t="s">
        <v>86</v>
      </c>
      <c r="AR175" s="6" t="str">
        <f>HYPERLINK("http://catalog.hathitrust.org/Record/007047379","HathiTrust Record")</f>
        <v>HathiTrust Record</v>
      </c>
      <c r="AS175" s="6" t="str">
        <f>HYPERLINK("https://creighton-primo.hosted.exlibrisgroup.com/primo-explore/search?tab=default_tab&amp;search_scope=EVERYTHING&amp;vid=01CRU&amp;lang=en_US&amp;offset=0&amp;query=any,contains,991002254049702656","Catalog Record")</f>
        <v>Catalog Record</v>
      </c>
      <c r="AT175" s="6" t="str">
        <f>HYPERLINK("http://www.worldcat.org/oclc/29212092","WorldCat Record")</f>
        <v>WorldCat Record</v>
      </c>
      <c r="AU175" s="3" t="s">
        <v>2426</v>
      </c>
      <c r="AV175" s="3" t="s">
        <v>2427</v>
      </c>
      <c r="AW175" s="3" t="s">
        <v>2428</v>
      </c>
      <c r="AX175" s="3" t="s">
        <v>2428</v>
      </c>
      <c r="AY175" s="3" t="s">
        <v>2429</v>
      </c>
      <c r="AZ175" s="3" t="s">
        <v>74</v>
      </c>
      <c r="BB175" s="3" t="s">
        <v>2430</v>
      </c>
      <c r="BC175" s="3" t="s">
        <v>2431</v>
      </c>
      <c r="BD175" s="3" t="s">
        <v>2432</v>
      </c>
    </row>
    <row r="176" spans="1:56" ht="42.75" customHeight="1" x14ac:dyDescent="0.25">
      <c r="A176" s="7" t="s">
        <v>58</v>
      </c>
      <c r="B176" s="2" t="s">
        <v>2433</v>
      </c>
      <c r="C176" s="2" t="s">
        <v>2434</v>
      </c>
      <c r="D176" s="2" t="s">
        <v>2435</v>
      </c>
      <c r="F176" s="3" t="s">
        <v>58</v>
      </c>
      <c r="G176" s="3" t="s">
        <v>59</v>
      </c>
      <c r="H176" s="3" t="s">
        <v>58</v>
      </c>
      <c r="I176" s="3" t="s">
        <v>58</v>
      </c>
      <c r="J176" s="3" t="s">
        <v>60</v>
      </c>
      <c r="K176" s="2" t="s">
        <v>2436</v>
      </c>
      <c r="L176" s="2" t="s">
        <v>2437</v>
      </c>
      <c r="M176" s="3" t="s">
        <v>765</v>
      </c>
      <c r="O176" s="3" t="s">
        <v>64</v>
      </c>
      <c r="P176" s="3" t="s">
        <v>254</v>
      </c>
      <c r="R176" s="3" t="s">
        <v>67</v>
      </c>
      <c r="S176" s="4">
        <v>7</v>
      </c>
      <c r="T176" s="4">
        <v>7</v>
      </c>
      <c r="U176" s="5" t="s">
        <v>2438</v>
      </c>
      <c r="V176" s="5" t="s">
        <v>2438</v>
      </c>
      <c r="W176" s="5" t="s">
        <v>2439</v>
      </c>
      <c r="X176" s="5" t="s">
        <v>2439</v>
      </c>
      <c r="Y176" s="4">
        <v>237</v>
      </c>
      <c r="Z176" s="4">
        <v>171</v>
      </c>
      <c r="AA176" s="4">
        <v>198</v>
      </c>
      <c r="AB176" s="4">
        <v>2</v>
      </c>
      <c r="AC176" s="4">
        <v>2</v>
      </c>
      <c r="AD176" s="4">
        <v>5</v>
      </c>
      <c r="AE176" s="4">
        <v>5</v>
      </c>
      <c r="AF176" s="4">
        <v>3</v>
      </c>
      <c r="AG176" s="4">
        <v>3</v>
      </c>
      <c r="AH176" s="4">
        <v>1</v>
      </c>
      <c r="AI176" s="4">
        <v>1</v>
      </c>
      <c r="AJ176" s="4">
        <v>1</v>
      </c>
      <c r="AK176" s="4">
        <v>1</v>
      </c>
      <c r="AL176" s="4">
        <v>1</v>
      </c>
      <c r="AM176" s="4">
        <v>1</v>
      </c>
      <c r="AN176" s="4">
        <v>0</v>
      </c>
      <c r="AO176" s="4">
        <v>0</v>
      </c>
      <c r="AP176" s="3" t="s">
        <v>58</v>
      </c>
      <c r="AQ176" s="3" t="s">
        <v>58</v>
      </c>
      <c r="AS176" s="6" t="str">
        <f>HYPERLINK("https://creighton-primo.hosted.exlibrisgroup.com/primo-explore/search?tab=default_tab&amp;search_scope=EVERYTHING&amp;vid=01CRU&amp;lang=en_US&amp;offset=0&amp;query=any,contains,991002343009702656","Catalog Record")</f>
        <v>Catalog Record</v>
      </c>
      <c r="AT176" s="6" t="str">
        <f>HYPERLINK("http://www.worldcat.org/oclc/30510816","WorldCat Record")</f>
        <v>WorldCat Record</v>
      </c>
      <c r="AU176" s="3" t="s">
        <v>2440</v>
      </c>
      <c r="AV176" s="3" t="s">
        <v>2441</v>
      </c>
      <c r="AW176" s="3" t="s">
        <v>2442</v>
      </c>
      <c r="AX176" s="3" t="s">
        <v>2442</v>
      </c>
      <c r="AY176" s="3" t="s">
        <v>2443</v>
      </c>
      <c r="AZ176" s="3" t="s">
        <v>74</v>
      </c>
      <c r="BB176" s="3" t="s">
        <v>2444</v>
      </c>
      <c r="BC176" s="3" t="s">
        <v>2445</v>
      </c>
      <c r="BD176" s="3" t="s">
        <v>2446</v>
      </c>
    </row>
    <row r="177" spans="1:56" ht="42.75" customHeight="1" x14ac:dyDescent="0.25">
      <c r="A177" s="7" t="s">
        <v>58</v>
      </c>
      <c r="B177" s="2" t="s">
        <v>2447</v>
      </c>
      <c r="C177" s="2" t="s">
        <v>2448</v>
      </c>
      <c r="D177" s="2" t="s">
        <v>2449</v>
      </c>
      <c r="E177" s="3" t="s">
        <v>2397</v>
      </c>
      <c r="F177" s="3" t="s">
        <v>58</v>
      </c>
      <c r="G177" s="3" t="s">
        <v>59</v>
      </c>
      <c r="H177" s="3" t="s">
        <v>58</v>
      </c>
      <c r="I177" s="3" t="s">
        <v>58</v>
      </c>
      <c r="J177" s="3" t="s">
        <v>60</v>
      </c>
      <c r="L177" s="2" t="s">
        <v>2450</v>
      </c>
      <c r="M177" s="3" t="s">
        <v>480</v>
      </c>
      <c r="O177" s="3" t="s">
        <v>64</v>
      </c>
      <c r="P177" s="3" t="s">
        <v>254</v>
      </c>
      <c r="R177" s="3" t="s">
        <v>67</v>
      </c>
      <c r="S177" s="4">
        <v>11</v>
      </c>
      <c r="T177" s="4">
        <v>11</v>
      </c>
      <c r="U177" s="5" t="s">
        <v>1871</v>
      </c>
      <c r="V177" s="5" t="s">
        <v>1871</v>
      </c>
      <c r="W177" s="5" t="s">
        <v>2451</v>
      </c>
      <c r="X177" s="5" t="s">
        <v>2451</v>
      </c>
      <c r="Y177" s="4">
        <v>425</v>
      </c>
      <c r="Z177" s="4">
        <v>343</v>
      </c>
      <c r="AA177" s="4">
        <v>366</v>
      </c>
      <c r="AB177" s="4">
        <v>6</v>
      </c>
      <c r="AC177" s="4">
        <v>6</v>
      </c>
      <c r="AD177" s="4">
        <v>11</v>
      </c>
      <c r="AE177" s="4">
        <v>11</v>
      </c>
      <c r="AF177" s="4">
        <v>4</v>
      </c>
      <c r="AG177" s="4">
        <v>4</v>
      </c>
      <c r="AH177" s="4">
        <v>2</v>
      </c>
      <c r="AI177" s="4">
        <v>2</v>
      </c>
      <c r="AJ177" s="4">
        <v>4</v>
      </c>
      <c r="AK177" s="4">
        <v>4</v>
      </c>
      <c r="AL177" s="4">
        <v>4</v>
      </c>
      <c r="AM177" s="4">
        <v>4</v>
      </c>
      <c r="AN177" s="4">
        <v>0</v>
      </c>
      <c r="AO177" s="4">
        <v>0</v>
      </c>
      <c r="AP177" s="3" t="s">
        <v>58</v>
      </c>
      <c r="AQ177" s="3" t="s">
        <v>58</v>
      </c>
      <c r="AS177" s="6" t="str">
        <f>HYPERLINK("https://creighton-primo.hosted.exlibrisgroup.com/primo-explore/search?tab=default_tab&amp;search_scope=EVERYTHING&amp;vid=01CRU&amp;lang=en_US&amp;offset=0&amp;query=any,contains,991001188969702656","Catalog Record")</f>
        <v>Catalog Record</v>
      </c>
      <c r="AT177" s="6" t="str">
        <f>HYPERLINK("http://www.worldcat.org/oclc/17234151","WorldCat Record")</f>
        <v>WorldCat Record</v>
      </c>
      <c r="AU177" s="3" t="s">
        <v>2452</v>
      </c>
      <c r="AV177" s="3" t="s">
        <v>2453</v>
      </c>
      <c r="AW177" s="3" t="s">
        <v>2454</v>
      </c>
      <c r="AX177" s="3" t="s">
        <v>2454</v>
      </c>
      <c r="AY177" s="3" t="s">
        <v>2455</v>
      </c>
      <c r="AZ177" s="3" t="s">
        <v>74</v>
      </c>
      <c r="BB177" s="3" t="s">
        <v>2456</v>
      </c>
      <c r="BC177" s="3" t="s">
        <v>2457</v>
      </c>
      <c r="BD177" s="3" t="s">
        <v>2458</v>
      </c>
    </row>
    <row r="178" spans="1:56" ht="42.75" customHeight="1" x14ac:dyDescent="0.25">
      <c r="A178" s="7" t="s">
        <v>58</v>
      </c>
      <c r="B178" s="2" t="s">
        <v>2459</v>
      </c>
      <c r="C178" s="2" t="s">
        <v>2460</v>
      </c>
      <c r="D178" s="2" t="s">
        <v>2461</v>
      </c>
      <c r="F178" s="3" t="s">
        <v>58</v>
      </c>
      <c r="G178" s="3" t="s">
        <v>59</v>
      </c>
      <c r="H178" s="3" t="s">
        <v>58</v>
      </c>
      <c r="I178" s="3" t="s">
        <v>58</v>
      </c>
      <c r="J178" s="3" t="s">
        <v>60</v>
      </c>
      <c r="K178" s="2" t="s">
        <v>2462</v>
      </c>
      <c r="L178" s="2" t="s">
        <v>2463</v>
      </c>
      <c r="M178" s="3" t="s">
        <v>114</v>
      </c>
      <c r="O178" s="3" t="s">
        <v>64</v>
      </c>
      <c r="P178" s="3" t="s">
        <v>115</v>
      </c>
      <c r="R178" s="3" t="s">
        <v>67</v>
      </c>
      <c r="S178" s="4">
        <v>13</v>
      </c>
      <c r="T178" s="4">
        <v>13</v>
      </c>
      <c r="U178" s="5" t="s">
        <v>2464</v>
      </c>
      <c r="V178" s="5" t="s">
        <v>2464</v>
      </c>
      <c r="W178" s="5" t="s">
        <v>2465</v>
      </c>
      <c r="X178" s="5" t="s">
        <v>2465</v>
      </c>
      <c r="Y178" s="4">
        <v>707</v>
      </c>
      <c r="Z178" s="4">
        <v>636</v>
      </c>
      <c r="AA178" s="4">
        <v>647</v>
      </c>
      <c r="AB178" s="4">
        <v>7</v>
      </c>
      <c r="AC178" s="4">
        <v>7</v>
      </c>
      <c r="AD178" s="4">
        <v>17</v>
      </c>
      <c r="AE178" s="4">
        <v>17</v>
      </c>
      <c r="AF178" s="4">
        <v>6</v>
      </c>
      <c r="AG178" s="4">
        <v>6</v>
      </c>
      <c r="AH178" s="4">
        <v>2</v>
      </c>
      <c r="AI178" s="4">
        <v>2</v>
      </c>
      <c r="AJ178" s="4">
        <v>7</v>
      </c>
      <c r="AK178" s="4">
        <v>7</v>
      </c>
      <c r="AL178" s="4">
        <v>5</v>
      </c>
      <c r="AM178" s="4">
        <v>5</v>
      </c>
      <c r="AN178" s="4">
        <v>0</v>
      </c>
      <c r="AO178" s="4">
        <v>0</v>
      </c>
      <c r="AP178" s="3" t="s">
        <v>58</v>
      </c>
      <c r="AQ178" s="3" t="s">
        <v>58</v>
      </c>
      <c r="AS178" s="6" t="str">
        <f>HYPERLINK("https://creighton-primo.hosted.exlibrisgroup.com/primo-explore/search?tab=default_tab&amp;search_scope=EVERYTHING&amp;vid=01CRU&amp;lang=en_US&amp;offset=0&amp;query=any,contains,991000316319702656","Catalog Record")</f>
        <v>Catalog Record</v>
      </c>
      <c r="AT178" s="6" t="str">
        <f>HYPERLINK("http://www.worldcat.org/oclc/10122152","WorldCat Record")</f>
        <v>WorldCat Record</v>
      </c>
      <c r="AU178" s="3" t="s">
        <v>2466</v>
      </c>
      <c r="AV178" s="3" t="s">
        <v>2467</v>
      </c>
      <c r="AW178" s="3" t="s">
        <v>2468</v>
      </c>
      <c r="AX178" s="3" t="s">
        <v>2468</v>
      </c>
      <c r="AY178" s="3" t="s">
        <v>2469</v>
      </c>
      <c r="AZ178" s="3" t="s">
        <v>74</v>
      </c>
      <c r="BB178" s="3" t="s">
        <v>2470</v>
      </c>
      <c r="BC178" s="3" t="s">
        <v>2471</v>
      </c>
      <c r="BD178" s="3" t="s">
        <v>2472</v>
      </c>
    </row>
    <row r="179" spans="1:56" ht="42.75" customHeight="1" x14ac:dyDescent="0.25">
      <c r="A179" s="7" t="s">
        <v>58</v>
      </c>
      <c r="B179" s="2" t="s">
        <v>2473</v>
      </c>
      <c r="C179" s="2" t="s">
        <v>2474</v>
      </c>
      <c r="D179" s="2" t="s">
        <v>2475</v>
      </c>
      <c r="F179" s="3" t="s">
        <v>58</v>
      </c>
      <c r="G179" s="3" t="s">
        <v>59</v>
      </c>
      <c r="H179" s="3" t="s">
        <v>58</v>
      </c>
      <c r="I179" s="3" t="s">
        <v>58</v>
      </c>
      <c r="J179" s="3" t="s">
        <v>60</v>
      </c>
      <c r="K179" s="2" t="s">
        <v>2476</v>
      </c>
      <c r="L179" s="2" t="s">
        <v>2477</v>
      </c>
      <c r="M179" s="3" t="s">
        <v>82</v>
      </c>
      <c r="O179" s="3" t="s">
        <v>64</v>
      </c>
      <c r="P179" s="3" t="s">
        <v>83</v>
      </c>
      <c r="R179" s="3" t="s">
        <v>67</v>
      </c>
      <c r="S179" s="4">
        <v>4</v>
      </c>
      <c r="T179" s="4">
        <v>4</v>
      </c>
      <c r="U179" s="5" t="s">
        <v>2478</v>
      </c>
      <c r="V179" s="5" t="s">
        <v>2478</v>
      </c>
      <c r="W179" s="5" t="s">
        <v>2479</v>
      </c>
      <c r="X179" s="5" t="s">
        <v>2479</v>
      </c>
      <c r="Y179" s="4">
        <v>413</v>
      </c>
      <c r="Z179" s="4">
        <v>294</v>
      </c>
      <c r="AA179" s="4">
        <v>296</v>
      </c>
      <c r="AB179" s="4">
        <v>5</v>
      </c>
      <c r="AC179" s="4">
        <v>5</v>
      </c>
      <c r="AD179" s="4">
        <v>11</v>
      </c>
      <c r="AE179" s="4">
        <v>11</v>
      </c>
      <c r="AF179" s="4">
        <v>6</v>
      </c>
      <c r="AG179" s="4">
        <v>6</v>
      </c>
      <c r="AH179" s="4">
        <v>1</v>
      </c>
      <c r="AI179" s="4">
        <v>1</v>
      </c>
      <c r="AJ179" s="4">
        <v>3</v>
      </c>
      <c r="AK179" s="4">
        <v>3</v>
      </c>
      <c r="AL179" s="4">
        <v>4</v>
      </c>
      <c r="AM179" s="4">
        <v>4</v>
      </c>
      <c r="AN179" s="4">
        <v>0</v>
      </c>
      <c r="AO179" s="4">
        <v>0</v>
      </c>
      <c r="AP179" s="3" t="s">
        <v>58</v>
      </c>
      <c r="AQ179" s="3" t="s">
        <v>86</v>
      </c>
      <c r="AR179" s="6" t="str">
        <f>HYPERLINK("http://catalog.hathitrust.org/Record/004520070","HathiTrust Record")</f>
        <v>HathiTrust Record</v>
      </c>
      <c r="AS179" s="6" t="str">
        <f>HYPERLINK("https://creighton-primo.hosted.exlibrisgroup.com/primo-explore/search?tab=default_tab&amp;search_scope=EVERYTHING&amp;vid=01CRU&amp;lang=en_US&amp;offset=0&amp;query=any,contains,991000878119702656","Catalog Record")</f>
        <v>Catalog Record</v>
      </c>
      <c r="AT179" s="6" t="str">
        <f>HYPERLINK("http://www.worldcat.org/oclc/13821670","WorldCat Record")</f>
        <v>WorldCat Record</v>
      </c>
      <c r="AU179" s="3" t="s">
        <v>2480</v>
      </c>
      <c r="AV179" s="3" t="s">
        <v>2481</v>
      </c>
      <c r="AW179" s="3" t="s">
        <v>2482</v>
      </c>
      <c r="AX179" s="3" t="s">
        <v>2482</v>
      </c>
      <c r="AY179" s="3" t="s">
        <v>2483</v>
      </c>
      <c r="AZ179" s="3" t="s">
        <v>74</v>
      </c>
      <c r="BB179" s="3" t="s">
        <v>2484</v>
      </c>
      <c r="BC179" s="3" t="s">
        <v>2485</v>
      </c>
      <c r="BD179" s="3" t="s">
        <v>2486</v>
      </c>
    </row>
    <row r="180" spans="1:56" ht="42.75" customHeight="1" x14ac:dyDescent="0.25">
      <c r="A180" s="7" t="s">
        <v>58</v>
      </c>
      <c r="B180" s="2" t="s">
        <v>2487</v>
      </c>
      <c r="C180" s="2" t="s">
        <v>2488</v>
      </c>
      <c r="D180" s="2" t="s">
        <v>2489</v>
      </c>
      <c r="F180" s="3" t="s">
        <v>58</v>
      </c>
      <c r="G180" s="3" t="s">
        <v>59</v>
      </c>
      <c r="H180" s="3" t="s">
        <v>58</v>
      </c>
      <c r="I180" s="3" t="s">
        <v>58</v>
      </c>
      <c r="J180" s="3" t="s">
        <v>60</v>
      </c>
      <c r="K180" s="2" t="s">
        <v>2490</v>
      </c>
      <c r="L180" s="2" t="s">
        <v>2491</v>
      </c>
      <c r="M180" s="3" t="s">
        <v>805</v>
      </c>
      <c r="O180" s="3" t="s">
        <v>64</v>
      </c>
      <c r="P180" s="3" t="s">
        <v>83</v>
      </c>
      <c r="R180" s="3" t="s">
        <v>67</v>
      </c>
      <c r="S180" s="4">
        <v>3</v>
      </c>
      <c r="T180" s="4">
        <v>3</v>
      </c>
      <c r="U180" s="5" t="s">
        <v>2290</v>
      </c>
      <c r="V180" s="5" t="s">
        <v>2290</v>
      </c>
      <c r="W180" s="5" t="s">
        <v>2492</v>
      </c>
      <c r="X180" s="5" t="s">
        <v>2492</v>
      </c>
      <c r="Y180" s="4">
        <v>376</v>
      </c>
      <c r="Z180" s="4">
        <v>278</v>
      </c>
      <c r="AA180" s="4">
        <v>283</v>
      </c>
      <c r="AB180" s="4">
        <v>3</v>
      </c>
      <c r="AC180" s="4">
        <v>3</v>
      </c>
      <c r="AD180" s="4">
        <v>15</v>
      </c>
      <c r="AE180" s="4">
        <v>15</v>
      </c>
      <c r="AF180" s="4">
        <v>6</v>
      </c>
      <c r="AG180" s="4">
        <v>6</v>
      </c>
      <c r="AH180" s="4">
        <v>3</v>
      </c>
      <c r="AI180" s="4">
        <v>3</v>
      </c>
      <c r="AJ180" s="4">
        <v>10</v>
      </c>
      <c r="AK180" s="4">
        <v>10</v>
      </c>
      <c r="AL180" s="4">
        <v>2</v>
      </c>
      <c r="AM180" s="4">
        <v>2</v>
      </c>
      <c r="AN180" s="4">
        <v>0</v>
      </c>
      <c r="AO180" s="4">
        <v>0</v>
      </c>
      <c r="AP180" s="3" t="s">
        <v>58</v>
      </c>
      <c r="AQ180" s="3" t="s">
        <v>58</v>
      </c>
      <c r="AS180" s="6" t="str">
        <f>HYPERLINK("https://creighton-primo.hosted.exlibrisgroup.com/primo-explore/search?tab=default_tab&amp;search_scope=EVERYTHING&amp;vid=01CRU&amp;lang=en_US&amp;offset=0&amp;query=any,contains,991002573619702656","Catalog Record")</f>
        <v>Catalog Record</v>
      </c>
      <c r="AT180" s="6" t="str">
        <f>HYPERLINK("http://www.worldcat.org/oclc/33440987","WorldCat Record")</f>
        <v>WorldCat Record</v>
      </c>
      <c r="AU180" s="3" t="s">
        <v>2493</v>
      </c>
      <c r="AV180" s="3" t="s">
        <v>2494</v>
      </c>
      <c r="AW180" s="3" t="s">
        <v>2495</v>
      </c>
      <c r="AX180" s="3" t="s">
        <v>2495</v>
      </c>
      <c r="AY180" s="3" t="s">
        <v>2496</v>
      </c>
      <c r="AZ180" s="3" t="s">
        <v>74</v>
      </c>
      <c r="BB180" s="3" t="s">
        <v>2497</v>
      </c>
      <c r="BC180" s="3" t="s">
        <v>2498</v>
      </c>
      <c r="BD180" s="3" t="s">
        <v>2499</v>
      </c>
    </row>
    <row r="181" spans="1:56" ht="42.75" customHeight="1" x14ac:dyDescent="0.25">
      <c r="A181" s="7" t="s">
        <v>58</v>
      </c>
      <c r="B181" s="2" t="s">
        <v>2500</v>
      </c>
      <c r="C181" s="2" t="s">
        <v>2501</v>
      </c>
      <c r="D181" s="2" t="s">
        <v>2502</v>
      </c>
      <c r="F181" s="3" t="s">
        <v>58</v>
      </c>
      <c r="G181" s="3" t="s">
        <v>59</v>
      </c>
      <c r="H181" s="3" t="s">
        <v>58</v>
      </c>
      <c r="I181" s="3" t="s">
        <v>58</v>
      </c>
      <c r="J181" s="3" t="s">
        <v>60</v>
      </c>
      <c r="L181" s="2" t="s">
        <v>2503</v>
      </c>
      <c r="M181" s="3" t="s">
        <v>63</v>
      </c>
      <c r="O181" s="3" t="s">
        <v>64</v>
      </c>
      <c r="P181" s="3" t="s">
        <v>83</v>
      </c>
      <c r="R181" s="3" t="s">
        <v>67</v>
      </c>
      <c r="S181" s="4">
        <v>17</v>
      </c>
      <c r="T181" s="4">
        <v>17</v>
      </c>
      <c r="U181" s="5" t="s">
        <v>2504</v>
      </c>
      <c r="V181" s="5" t="s">
        <v>2504</v>
      </c>
      <c r="W181" s="5" t="s">
        <v>1964</v>
      </c>
      <c r="X181" s="5" t="s">
        <v>1964</v>
      </c>
      <c r="Y181" s="4">
        <v>572</v>
      </c>
      <c r="Z181" s="4">
        <v>466</v>
      </c>
      <c r="AA181" s="4">
        <v>469</v>
      </c>
      <c r="AB181" s="4">
        <v>8</v>
      </c>
      <c r="AC181" s="4">
        <v>8</v>
      </c>
      <c r="AD181" s="4">
        <v>22</v>
      </c>
      <c r="AE181" s="4">
        <v>22</v>
      </c>
      <c r="AF181" s="4">
        <v>10</v>
      </c>
      <c r="AG181" s="4">
        <v>10</v>
      </c>
      <c r="AH181" s="4">
        <v>3</v>
      </c>
      <c r="AI181" s="4">
        <v>3</v>
      </c>
      <c r="AJ181" s="4">
        <v>6</v>
      </c>
      <c r="AK181" s="4">
        <v>6</v>
      </c>
      <c r="AL181" s="4">
        <v>7</v>
      </c>
      <c r="AM181" s="4">
        <v>7</v>
      </c>
      <c r="AN181" s="4">
        <v>0</v>
      </c>
      <c r="AO181" s="4">
        <v>0</v>
      </c>
      <c r="AP181" s="3" t="s">
        <v>58</v>
      </c>
      <c r="AQ181" s="3" t="s">
        <v>86</v>
      </c>
      <c r="AR181" s="6" t="str">
        <f>HYPERLINK("http://catalog.hathitrust.org/Record/000784080","HathiTrust Record")</f>
        <v>HathiTrust Record</v>
      </c>
      <c r="AS181" s="6" t="str">
        <f>HYPERLINK("https://creighton-primo.hosted.exlibrisgroup.com/primo-explore/search?tab=default_tab&amp;search_scope=EVERYTHING&amp;vid=01CRU&amp;lang=en_US&amp;offset=0&amp;query=any,contains,991000260179702656","Catalog Record")</f>
        <v>Catalog Record</v>
      </c>
      <c r="AT181" s="6" t="str">
        <f>HYPERLINK("http://www.worldcat.org/oclc/9797438","WorldCat Record")</f>
        <v>WorldCat Record</v>
      </c>
      <c r="AU181" s="3" t="s">
        <v>2505</v>
      </c>
      <c r="AV181" s="3" t="s">
        <v>2506</v>
      </c>
      <c r="AW181" s="3" t="s">
        <v>2507</v>
      </c>
      <c r="AX181" s="3" t="s">
        <v>2507</v>
      </c>
      <c r="AY181" s="3" t="s">
        <v>2508</v>
      </c>
      <c r="AZ181" s="3" t="s">
        <v>74</v>
      </c>
      <c r="BB181" s="3" t="s">
        <v>2509</v>
      </c>
      <c r="BC181" s="3" t="s">
        <v>2510</v>
      </c>
      <c r="BD181" s="3" t="s">
        <v>2511</v>
      </c>
    </row>
    <row r="182" spans="1:56" ht="42.75" customHeight="1" x14ac:dyDescent="0.25">
      <c r="A182" s="7" t="s">
        <v>58</v>
      </c>
      <c r="B182" s="2" t="s">
        <v>2512</v>
      </c>
      <c r="C182" s="2" t="s">
        <v>2513</v>
      </c>
      <c r="D182" s="2" t="s">
        <v>2514</v>
      </c>
      <c r="F182" s="3" t="s">
        <v>58</v>
      </c>
      <c r="G182" s="3" t="s">
        <v>59</v>
      </c>
      <c r="H182" s="3" t="s">
        <v>58</v>
      </c>
      <c r="I182" s="3" t="s">
        <v>58</v>
      </c>
      <c r="J182" s="3" t="s">
        <v>60</v>
      </c>
      <c r="K182" s="2" t="s">
        <v>2515</v>
      </c>
      <c r="L182" s="2" t="s">
        <v>2516</v>
      </c>
      <c r="M182" s="3" t="s">
        <v>98</v>
      </c>
      <c r="N182" s="2" t="s">
        <v>2517</v>
      </c>
      <c r="O182" s="3" t="s">
        <v>64</v>
      </c>
      <c r="P182" s="3" t="s">
        <v>316</v>
      </c>
      <c r="R182" s="3" t="s">
        <v>67</v>
      </c>
      <c r="S182" s="4">
        <v>8</v>
      </c>
      <c r="T182" s="4">
        <v>8</v>
      </c>
      <c r="U182" s="5" t="s">
        <v>2518</v>
      </c>
      <c r="V182" s="5" t="s">
        <v>2518</v>
      </c>
      <c r="W182" s="5" t="s">
        <v>1964</v>
      </c>
      <c r="X182" s="5" t="s">
        <v>1964</v>
      </c>
      <c r="Y182" s="4">
        <v>240</v>
      </c>
      <c r="Z182" s="4">
        <v>210</v>
      </c>
      <c r="AA182" s="4">
        <v>621</v>
      </c>
      <c r="AB182" s="4">
        <v>3</v>
      </c>
      <c r="AC182" s="4">
        <v>8</v>
      </c>
      <c r="AD182" s="4">
        <v>9</v>
      </c>
      <c r="AE182" s="4">
        <v>23</v>
      </c>
      <c r="AF182" s="4">
        <v>2</v>
      </c>
      <c r="AG182" s="4">
        <v>9</v>
      </c>
      <c r="AH182" s="4">
        <v>3</v>
      </c>
      <c r="AI182" s="4">
        <v>4</v>
      </c>
      <c r="AJ182" s="4">
        <v>5</v>
      </c>
      <c r="AK182" s="4">
        <v>8</v>
      </c>
      <c r="AL182" s="4">
        <v>2</v>
      </c>
      <c r="AM182" s="4">
        <v>7</v>
      </c>
      <c r="AN182" s="4">
        <v>0</v>
      </c>
      <c r="AO182" s="4">
        <v>0</v>
      </c>
      <c r="AP182" s="3" t="s">
        <v>58</v>
      </c>
      <c r="AQ182" s="3" t="s">
        <v>86</v>
      </c>
      <c r="AR182" s="6" t="str">
        <f>HYPERLINK("http://catalog.hathitrust.org/Record/009491714","HathiTrust Record")</f>
        <v>HathiTrust Record</v>
      </c>
      <c r="AS182" s="6" t="str">
        <f>HYPERLINK("https://creighton-primo.hosted.exlibrisgroup.com/primo-explore/search?tab=default_tab&amp;search_scope=EVERYTHING&amp;vid=01CRU&amp;lang=en_US&amp;offset=0&amp;query=any,contains,991001075129702656","Catalog Record")</f>
        <v>Catalog Record</v>
      </c>
      <c r="AT182" s="6" t="str">
        <f>HYPERLINK("http://www.worldcat.org/oclc/15590209","WorldCat Record")</f>
        <v>WorldCat Record</v>
      </c>
      <c r="AU182" s="3" t="s">
        <v>2519</v>
      </c>
      <c r="AV182" s="3" t="s">
        <v>2520</v>
      </c>
      <c r="AW182" s="3" t="s">
        <v>2521</v>
      </c>
      <c r="AX182" s="3" t="s">
        <v>2521</v>
      </c>
      <c r="AY182" s="3" t="s">
        <v>2522</v>
      </c>
      <c r="AZ182" s="3" t="s">
        <v>74</v>
      </c>
      <c r="BB182" s="3" t="s">
        <v>2523</v>
      </c>
      <c r="BC182" s="3" t="s">
        <v>2524</v>
      </c>
      <c r="BD182" s="3" t="s">
        <v>2525</v>
      </c>
    </row>
    <row r="183" spans="1:56" ht="42.75" customHeight="1" x14ac:dyDescent="0.25">
      <c r="A183" s="7" t="s">
        <v>58</v>
      </c>
      <c r="B183" s="2" t="s">
        <v>2526</v>
      </c>
      <c r="C183" s="2" t="s">
        <v>2527</v>
      </c>
      <c r="D183" s="2" t="s">
        <v>2528</v>
      </c>
      <c r="F183" s="3" t="s">
        <v>58</v>
      </c>
      <c r="G183" s="3" t="s">
        <v>59</v>
      </c>
      <c r="H183" s="3" t="s">
        <v>58</v>
      </c>
      <c r="I183" s="3" t="s">
        <v>58</v>
      </c>
      <c r="J183" s="3" t="s">
        <v>60</v>
      </c>
      <c r="K183" s="2" t="s">
        <v>2515</v>
      </c>
      <c r="L183" s="2" t="s">
        <v>2529</v>
      </c>
      <c r="M183" s="3" t="s">
        <v>114</v>
      </c>
      <c r="N183" s="2" t="s">
        <v>1844</v>
      </c>
      <c r="O183" s="3" t="s">
        <v>64</v>
      </c>
      <c r="P183" s="3" t="s">
        <v>316</v>
      </c>
      <c r="R183" s="3" t="s">
        <v>67</v>
      </c>
      <c r="S183" s="4">
        <v>1</v>
      </c>
      <c r="T183" s="4">
        <v>1</v>
      </c>
      <c r="U183" s="5" t="s">
        <v>2518</v>
      </c>
      <c r="V183" s="5" t="s">
        <v>2518</v>
      </c>
      <c r="W183" s="5" t="s">
        <v>1925</v>
      </c>
      <c r="X183" s="5" t="s">
        <v>1925</v>
      </c>
      <c r="Y183" s="4">
        <v>326</v>
      </c>
      <c r="Z183" s="4">
        <v>252</v>
      </c>
      <c r="AA183" s="4">
        <v>381</v>
      </c>
      <c r="AB183" s="4">
        <v>1</v>
      </c>
      <c r="AC183" s="4">
        <v>3</v>
      </c>
      <c r="AD183" s="4">
        <v>9</v>
      </c>
      <c r="AE183" s="4">
        <v>12</v>
      </c>
      <c r="AF183" s="4">
        <v>6</v>
      </c>
      <c r="AG183" s="4">
        <v>7</v>
      </c>
      <c r="AH183" s="4">
        <v>2</v>
      </c>
      <c r="AI183" s="4">
        <v>2</v>
      </c>
      <c r="AJ183" s="4">
        <v>2</v>
      </c>
      <c r="AK183" s="4">
        <v>2</v>
      </c>
      <c r="AL183" s="4">
        <v>0</v>
      </c>
      <c r="AM183" s="4">
        <v>2</v>
      </c>
      <c r="AN183" s="4">
        <v>0</v>
      </c>
      <c r="AO183" s="4">
        <v>0</v>
      </c>
      <c r="AP183" s="3" t="s">
        <v>58</v>
      </c>
      <c r="AQ183" s="3" t="s">
        <v>86</v>
      </c>
      <c r="AR183" s="6" t="str">
        <f>HYPERLINK("http://catalog.hathitrust.org/Record/000558872","HathiTrust Record")</f>
        <v>HathiTrust Record</v>
      </c>
      <c r="AS183" s="6" t="str">
        <f>HYPERLINK("https://creighton-primo.hosted.exlibrisgroup.com/primo-explore/search?tab=default_tab&amp;search_scope=EVERYTHING&amp;vid=01CRU&amp;lang=en_US&amp;offset=0&amp;query=any,contains,991000259599702656","Catalog Record")</f>
        <v>Catalog Record</v>
      </c>
      <c r="AT183" s="6" t="str">
        <f>HYPERLINK("http://www.worldcat.org/oclc/9786028","WorldCat Record")</f>
        <v>WorldCat Record</v>
      </c>
      <c r="AU183" s="3" t="s">
        <v>2530</v>
      </c>
      <c r="AV183" s="3" t="s">
        <v>2531</v>
      </c>
      <c r="AW183" s="3" t="s">
        <v>2532</v>
      </c>
      <c r="AX183" s="3" t="s">
        <v>2532</v>
      </c>
      <c r="AY183" s="3" t="s">
        <v>2533</v>
      </c>
      <c r="AZ183" s="3" t="s">
        <v>74</v>
      </c>
      <c r="BB183" s="3" t="s">
        <v>2534</v>
      </c>
      <c r="BC183" s="3" t="s">
        <v>2535</v>
      </c>
      <c r="BD183" s="3" t="s">
        <v>2536</v>
      </c>
    </row>
    <row r="184" spans="1:56" ht="42.75" customHeight="1" x14ac:dyDescent="0.25">
      <c r="A184" s="7" t="s">
        <v>58</v>
      </c>
      <c r="B184" s="2" t="s">
        <v>2537</v>
      </c>
      <c r="C184" s="2" t="s">
        <v>2538</v>
      </c>
      <c r="D184" s="2" t="s">
        <v>2539</v>
      </c>
      <c r="F184" s="3" t="s">
        <v>58</v>
      </c>
      <c r="G184" s="3" t="s">
        <v>59</v>
      </c>
      <c r="H184" s="3" t="s">
        <v>58</v>
      </c>
      <c r="I184" s="3" t="s">
        <v>58</v>
      </c>
      <c r="J184" s="3" t="s">
        <v>60</v>
      </c>
      <c r="K184" s="2" t="s">
        <v>2302</v>
      </c>
      <c r="L184" s="2" t="s">
        <v>2540</v>
      </c>
      <c r="M184" s="3" t="s">
        <v>98</v>
      </c>
      <c r="N184" s="2" t="s">
        <v>1736</v>
      </c>
      <c r="O184" s="3" t="s">
        <v>64</v>
      </c>
      <c r="P184" s="3" t="s">
        <v>115</v>
      </c>
      <c r="R184" s="3" t="s">
        <v>67</v>
      </c>
      <c r="S184" s="4">
        <v>8</v>
      </c>
      <c r="T184" s="4">
        <v>8</v>
      </c>
      <c r="U184" s="5" t="s">
        <v>2541</v>
      </c>
      <c r="V184" s="5" t="s">
        <v>2541</v>
      </c>
      <c r="W184" s="5" t="s">
        <v>2542</v>
      </c>
      <c r="X184" s="5" t="s">
        <v>2542</v>
      </c>
      <c r="Y184" s="4">
        <v>289</v>
      </c>
      <c r="Z184" s="4">
        <v>272</v>
      </c>
      <c r="AA184" s="4">
        <v>278</v>
      </c>
      <c r="AB184" s="4">
        <v>3</v>
      </c>
      <c r="AC184" s="4">
        <v>3</v>
      </c>
      <c r="AD184" s="4">
        <v>6</v>
      </c>
      <c r="AE184" s="4">
        <v>6</v>
      </c>
      <c r="AF184" s="4">
        <v>2</v>
      </c>
      <c r="AG184" s="4">
        <v>2</v>
      </c>
      <c r="AH184" s="4">
        <v>0</v>
      </c>
      <c r="AI184" s="4">
        <v>0</v>
      </c>
      <c r="AJ184" s="4">
        <v>2</v>
      </c>
      <c r="AK184" s="4">
        <v>2</v>
      </c>
      <c r="AL184" s="4">
        <v>2</v>
      </c>
      <c r="AM184" s="4">
        <v>2</v>
      </c>
      <c r="AN184" s="4">
        <v>0</v>
      </c>
      <c r="AO184" s="4">
        <v>0</v>
      </c>
      <c r="AP184" s="3" t="s">
        <v>58</v>
      </c>
      <c r="AQ184" s="3" t="s">
        <v>86</v>
      </c>
      <c r="AR184" s="6" t="str">
        <f>HYPERLINK("http://catalog.hathitrust.org/Record/101879103","HathiTrust Record")</f>
        <v>HathiTrust Record</v>
      </c>
      <c r="AS184" s="6" t="str">
        <f>HYPERLINK("https://creighton-primo.hosted.exlibrisgroup.com/primo-explore/search?tab=default_tab&amp;search_scope=EVERYTHING&amp;vid=01CRU&amp;lang=en_US&amp;offset=0&amp;query=any,contains,991001121409702656","Catalog Record")</f>
        <v>Catalog Record</v>
      </c>
      <c r="AT184" s="6" t="str">
        <f>HYPERLINK("http://www.worldcat.org/oclc/16581274","WorldCat Record")</f>
        <v>WorldCat Record</v>
      </c>
      <c r="AU184" s="3" t="s">
        <v>2543</v>
      </c>
      <c r="AV184" s="3" t="s">
        <v>2544</v>
      </c>
      <c r="AW184" s="3" t="s">
        <v>2545</v>
      </c>
      <c r="AX184" s="3" t="s">
        <v>2545</v>
      </c>
      <c r="AY184" s="3" t="s">
        <v>2546</v>
      </c>
      <c r="AZ184" s="3" t="s">
        <v>74</v>
      </c>
      <c r="BB184" s="3" t="s">
        <v>2547</v>
      </c>
      <c r="BC184" s="3" t="s">
        <v>2548</v>
      </c>
      <c r="BD184" s="3" t="s">
        <v>2549</v>
      </c>
    </row>
    <row r="185" spans="1:56" ht="42.75" customHeight="1" x14ac:dyDescent="0.25">
      <c r="A185" s="7" t="s">
        <v>58</v>
      </c>
      <c r="B185" s="2" t="s">
        <v>2550</v>
      </c>
      <c r="C185" s="2" t="s">
        <v>2551</v>
      </c>
      <c r="D185" s="2" t="s">
        <v>2552</v>
      </c>
      <c r="F185" s="3" t="s">
        <v>58</v>
      </c>
      <c r="G185" s="3" t="s">
        <v>59</v>
      </c>
      <c r="H185" s="3" t="s">
        <v>58</v>
      </c>
      <c r="I185" s="3" t="s">
        <v>58</v>
      </c>
      <c r="J185" s="3" t="s">
        <v>60</v>
      </c>
      <c r="K185" s="2" t="s">
        <v>2553</v>
      </c>
      <c r="L185" s="2" t="s">
        <v>2554</v>
      </c>
      <c r="M185" s="3" t="s">
        <v>642</v>
      </c>
      <c r="O185" s="3" t="s">
        <v>64</v>
      </c>
      <c r="P185" s="3" t="s">
        <v>115</v>
      </c>
      <c r="R185" s="3" t="s">
        <v>67</v>
      </c>
      <c r="S185" s="4">
        <v>7</v>
      </c>
      <c r="T185" s="4">
        <v>7</v>
      </c>
      <c r="U185" s="5" t="s">
        <v>2555</v>
      </c>
      <c r="V185" s="5" t="s">
        <v>2555</v>
      </c>
      <c r="W185" s="5" t="s">
        <v>2556</v>
      </c>
      <c r="X185" s="5" t="s">
        <v>2556</v>
      </c>
      <c r="Y185" s="4">
        <v>453</v>
      </c>
      <c r="Z185" s="4">
        <v>373</v>
      </c>
      <c r="AA185" s="4">
        <v>395</v>
      </c>
      <c r="AB185" s="4">
        <v>2</v>
      </c>
      <c r="AC185" s="4">
        <v>2</v>
      </c>
      <c r="AD185" s="4">
        <v>7</v>
      </c>
      <c r="AE185" s="4">
        <v>7</v>
      </c>
      <c r="AF185" s="4">
        <v>2</v>
      </c>
      <c r="AG185" s="4">
        <v>2</v>
      </c>
      <c r="AH185" s="4">
        <v>4</v>
      </c>
      <c r="AI185" s="4">
        <v>4</v>
      </c>
      <c r="AJ185" s="4">
        <v>3</v>
      </c>
      <c r="AK185" s="4">
        <v>3</v>
      </c>
      <c r="AL185" s="4">
        <v>1</v>
      </c>
      <c r="AM185" s="4">
        <v>1</v>
      </c>
      <c r="AN185" s="4">
        <v>0</v>
      </c>
      <c r="AO185" s="4">
        <v>0</v>
      </c>
      <c r="AP185" s="3" t="s">
        <v>58</v>
      </c>
      <c r="AQ185" s="3" t="s">
        <v>86</v>
      </c>
      <c r="AR185" s="6" t="str">
        <f>HYPERLINK("http://catalog.hathitrust.org/Record/002577901","HathiTrust Record")</f>
        <v>HathiTrust Record</v>
      </c>
      <c r="AS185" s="6" t="str">
        <f>HYPERLINK("https://creighton-primo.hosted.exlibrisgroup.com/primo-explore/search?tab=default_tab&amp;search_scope=EVERYTHING&amp;vid=01CRU&amp;lang=en_US&amp;offset=0&amp;query=any,contains,991002000079702656","Catalog Record")</f>
        <v>Catalog Record</v>
      </c>
      <c r="AT185" s="6" t="str">
        <f>HYPERLINK("http://www.worldcat.org/oclc/25410786","WorldCat Record")</f>
        <v>WorldCat Record</v>
      </c>
      <c r="AU185" s="3" t="s">
        <v>2557</v>
      </c>
      <c r="AV185" s="3" t="s">
        <v>2558</v>
      </c>
      <c r="AW185" s="3" t="s">
        <v>2559</v>
      </c>
      <c r="AX185" s="3" t="s">
        <v>2559</v>
      </c>
      <c r="AY185" s="3" t="s">
        <v>2560</v>
      </c>
      <c r="AZ185" s="3" t="s">
        <v>74</v>
      </c>
      <c r="BB185" s="3" t="s">
        <v>2561</v>
      </c>
      <c r="BC185" s="3" t="s">
        <v>2562</v>
      </c>
      <c r="BD185" s="3" t="s">
        <v>2563</v>
      </c>
    </row>
    <row r="186" spans="1:56" ht="42.75" customHeight="1" x14ac:dyDescent="0.25">
      <c r="A186" s="7" t="s">
        <v>58</v>
      </c>
      <c r="B186" s="2" t="s">
        <v>2564</v>
      </c>
      <c r="C186" s="2" t="s">
        <v>2565</v>
      </c>
      <c r="D186" s="2" t="s">
        <v>2566</v>
      </c>
      <c r="F186" s="3" t="s">
        <v>58</v>
      </c>
      <c r="G186" s="3" t="s">
        <v>59</v>
      </c>
      <c r="H186" s="3" t="s">
        <v>58</v>
      </c>
      <c r="I186" s="3" t="s">
        <v>58</v>
      </c>
      <c r="J186" s="3" t="s">
        <v>60</v>
      </c>
      <c r="K186" s="2" t="s">
        <v>2567</v>
      </c>
      <c r="L186" s="2" t="s">
        <v>2568</v>
      </c>
      <c r="M186" s="3" t="s">
        <v>534</v>
      </c>
      <c r="N186" s="2" t="s">
        <v>1613</v>
      </c>
      <c r="O186" s="3" t="s">
        <v>64</v>
      </c>
      <c r="P186" s="3" t="s">
        <v>316</v>
      </c>
      <c r="R186" s="3" t="s">
        <v>67</v>
      </c>
      <c r="S186" s="4">
        <v>8</v>
      </c>
      <c r="T186" s="4">
        <v>8</v>
      </c>
      <c r="U186" s="5" t="s">
        <v>2290</v>
      </c>
      <c r="V186" s="5" t="s">
        <v>2290</v>
      </c>
      <c r="W186" s="5" t="s">
        <v>2569</v>
      </c>
      <c r="X186" s="5" t="s">
        <v>2569</v>
      </c>
      <c r="Y186" s="4">
        <v>292</v>
      </c>
      <c r="Z186" s="4">
        <v>223</v>
      </c>
      <c r="AA186" s="4">
        <v>620</v>
      </c>
      <c r="AB186" s="4">
        <v>3</v>
      </c>
      <c r="AC186" s="4">
        <v>6</v>
      </c>
      <c r="AD186" s="4">
        <v>7</v>
      </c>
      <c r="AE186" s="4">
        <v>18</v>
      </c>
      <c r="AF186" s="4">
        <v>3</v>
      </c>
      <c r="AG186" s="4">
        <v>5</v>
      </c>
      <c r="AH186" s="4">
        <v>1</v>
      </c>
      <c r="AI186" s="4">
        <v>4</v>
      </c>
      <c r="AJ186" s="4">
        <v>2</v>
      </c>
      <c r="AK186" s="4">
        <v>6</v>
      </c>
      <c r="AL186" s="4">
        <v>2</v>
      </c>
      <c r="AM186" s="4">
        <v>5</v>
      </c>
      <c r="AN186" s="4">
        <v>0</v>
      </c>
      <c r="AO186" s="4">
        <v>0</v>
      </c>
      <c r="AP186" s="3" t="s">
        <v>58</v>
      </c>
      <c r="AQ186" s="3" t="s">
        <v>86</v>
      </c>
      <c r="AR186" s="6" t="str">
        <f>HYPERLINK("http://catalog.hathitrust.org/Record/002180949","HathiTrust Record")</f>
        <v>HathiTrust Record</v>
      </c>
      <c r="AS186" s="6" t="str">
        <f>HYPERLINK("https://creighton-primo.hosted.exlibrisgroup.com/primo-explore/search?tab=default_tab&amp;search_scope=EVERYTHING&amp;vid=01CRU&amp;lang=en_US&amp;offset=0&amp;query=any,contains,991001503889702656","Catalog Record")</f>
        <v>Catalog Record</v>
      </c>
      <c r="AT186" s="6" t="str">
        <f>HYPERLINK("http://www.worldcat.org/oclc/19815291","WorldCat Record")</f>
        <v>WorldCat Record</v>
      </c>
      <c r="AU186" s="3" t="s">
        <v>2570</v>
      </c>
      <c r="AV186" s="3" t="s">
        <v>2571</v>
      </c>
      <c r="AW186" s="3" t="s">
        <v>2572</v>
      </c>
      <c r="AX186" s="3" t="s">
        <v>2572</v>
      </c>
      <c r="AY186" s="3" t="s">
        <v>2573</v>
      </c>
      <c r="AZ186" s="3" t="s">
        <v>74</v>
      </c>
      <c r="BB186" s="3" t="s">
        <v>2574</v>
      </c>
      <c r="BC186" s="3" t="s">
        <v>2575</v>
      </c>
      <c r="BD186" s="3" t="s">
        <v>2576</v>
      </c>
    </row>
    <row r="187" spans="1:56" ht="42.75" customHeight="1" x14ac:dyDescent="0.25">
      <c r="A187" s="7" t="s">
        <v>58</v>
      </c>
      <c r="B187" s="2" t="s">
        <v>2577</v>
      </c>
      <c r="C187" s="2" t="s">
        <v>2578</v>
      </c>
      <c r="D187" s="2" t="s">
        <v>2579</v>
      </c>
      <c r="F187" s="3" t="s">
        <v>58</v>
      </c>
      <c r="G187" s="3" t="s">
        <v>59</v>
      </c>
      <c r="H187" s="3" t="s">
        <v>58</v>
      </c>
      <c r="I187" s="3" t="s">
        <v>58</v>
      </c>
      <c r="J187" s="3" t="s">
        <v>60</v>
      </c>
      <c r="K187" s="2" t="s">
        <v>2580</v>
      </c>
      <c r="L187" s="2" t="s">
        <v>2581</v>
      </c>
      <c r="M187" s="3" t="s">
        <v>177</v>
      </c>
      <c r="O187" s="3" t="s">
        <v>64</v>
      </c>
      <c r="P187" s="3" t="s">
        <v>316</v>
      </c>
      <c r="Q187" s="2" t="s">
        <v>2582</v>
      </c>
      <c r="R187" s="3" t="s">
        <v>67</v>
      </c>
      <c r="S187" s="4">
        <v>8</v>
      </c>
      <c r="T187" s="4">
        <v>8</v>
      </c>
      <c r="U187" s="5" t="s">
        <v>2583</v>
      </c>
      <c r="V187" s="5" t="s">
        <v>2583</v>
      </c>
      <c r="W187" s="5" t="s">
        <v>2584</v>
      </c>
      <c r="X187" s="5" t="s">
        <v>2584</v>
      </c>
      <c r="Y187" s="4">
        <v>383</v>
      </c>
      <c r="Z187" s="4">
        <v>313</v>
      </c>
      <c r="AA187" s="4">
        <v>320</v>
      </c>
      <c r="AB187" s="4">
        <v>3</v>
      </c>
      <c r="AC187" s="4">
        <v>3</v>
      </c>
      <c r="AD187" s="4">
        <v>7</v>
      </c>
      <c r="AE187" s="4">
        <v>7</v>
      </c>
      <c r="AF187" s="4">
        <v>2</v>
      </c>
      <c r="AG187" s="4">
        <v>2</v>
      </c>
      <c r="AH187" s="4">
        <v>1</v>
      </c>
      <c r="AI187" s="4">
        <v>1</v>
      </c>
      <c r="AJ187" s="4">
        <v>2</v>
      </c>
      <c r="AK187" s="4">
        <v>2</v>
      </c>
      <c r="AL187" s="4">
        <v>2</v>
      </c>
      <c r="AM187" s="4">
        <v>2</v>
      </c>
      <c r="AN187" s="4">
        <v>0</v>
      </c>
      <c r="AO187" s="4">
        <v>0</v>
      </c>
      <c r="AP187" s="3" t="s">
        <v>58</v>
      </c>
      <c r="AQ187" s="3" t="s">
        <v>86</v>
      </c>
      <c r="AR187" s="6" t="str">
        <f>HYPERLINK("http://catalog.hathitrust.org/Record/000008005","HathiTrust Record")</f>
        <v>HathiTrust Record</v>
      </c>
      <c r="AS187" s="6" t="str">
        <f>HYPERLINK("https://creighton-primo.hosted.exlibrisgroup.com/primo-explore/search?tab=default_tab&amp;search_scope=EVERYTHING&amp;vid=01CRU&amp;lang=en_US&amp;offset=0&amp;query=any,contains,991003025989702656","Catalog Record")</f>
        <v>Catalog Record</v>
      </c>
      <c r="AT187" s="6" t="str">
        <f>HYPERLINK("http://www.worldcat.org/oclc/590085","WorldCat Record")</f>
        <v>WorldCat Record</v>
      </c>
      <c r="AU187" s="3" t="s">
        <v>2585</v>
      </c>
      <c r="AV187" s="3" t="s">
        <v>2586</v>
      </c>
      <c r="AW187" s="3" t="s">
        <v>2587</v>
      </c>
      <c r="AX187" s="3" t="s">
        <v>2587</v>
      </c>
      <c r="AY187" s="3" t="s">
        <v>2588</v>
      </c>
      <c r="AZ187" s="3" t="s">
        <v>74</v>
      </c>
      <c r="BB187" s="3" t="s">
        <v>2589</v>
      </c>
      <c r="BC187" s="3" t="s">
        <v>2590</v>
      </c>
      <c r="BD187" s="3" t="s">
        <v>2591</v>
      </c>
    </row>
    <row r="188" spans="1:56" ht="42.75" customHeight="1" x14ac:dyDescent="0.25">
      <c r="A188" s="7" t="s">
        <v>58</v>
      </c>
      <c r="B188" s="2" t="s">
        <v>2592</v>
      </c>
      <c r="C188" s="2" t="s">
        <v>2593</v>
      </c>
      <c r="D188" s="2" t="s">
        <v>2594</v>
      </c>
      <c r="F188" s="3" t="s">
        <v>58</v>
      </c>
      <c r="G188" s="3" t="s">
        <v>59</v>
      </c>
      <c r="H188" s="3" t="s">
        <v>58</v>
      </c>
      <c r="I188" s="3" t="s">
        <v>58</v>
      </c>
      <c r="J188" s="3" t="s">
        <v>60</v>
      </c>
      <c r="L188" s="2" t="s">
        <v>2595</v>
      </c>
      <c r="M188" s="3" t="s">
        <v>114</v>
      </c>
      <c r="O188" s="3" t="s">
        <v>64</v>
      </c>
      <c r="P188" s="3" t="s">
        <v>115</v>
      </c>
      <c r="R188" s="3" t="s">
        <v>67</v>
      </c>
      <c r="S188" s="4">
        <v>9</v>
      </c>
      <c r="T188" s="4">
        <v>9</v>
      </c>
      <c r="U188" s="5" t="s">
        <v>2596</v>
      </c>
      <c r="V188" s="5" t="s">
        <v>2596</v>
      </c>
      <c r="W188" s="5" t="s">
        <v>1964</v>
      </c>
      <c r="X188" s="5" t="s">
        <v>1964</v>
      </c>
      <c r="Y188" s="4">
        <v>786</v>
      </c>
      <c r="Z188" s="4">
        <v>727</v>
      </c>
      <c r="AA188" s="4">
        <v>846</v>
      </c>
      <c r="AB188" s="4">
        <v>7</v>
      </c>
      <c r="AC188" s="4">
        <v>8</v>
      </c>
      <c r="AD188" s="4">
        <v>18</v>
      </c>
      <c r="AE188" s="4">
        <v>18</v>
      </c>
      <c r="AF188" s="4">
        <v>6</v>
      </c>
      <c r="AG188" s="4">
        <v>6</v>
      </c>
      <c r="AH188" s="4">
        <v>2</v>
      </c>
      <c r="AI188" s="4">
        <v>2</v>
      </c>
      <c r="AJ188" s="4">
        <v>9</v>
      </c>
      <c r="AK188" s="4">
        <v>9</v>
      </c>
      <c r="AL188" s="4">
        <v>4</v>
      </c>
      <c r="AM188" s="4">
        <v>4</v>
      </c>
      <c r="AN188" s="4">
        <v>0</v>
      </c>
      <c r="AO188" s="4">
        <v>0</v>
      </c>
      <c r="AP188" s="3" t="s">
        <v>58</v>
      </c>
      <c r="AQ188" s="3" t="s">
        <v>86</v>
      </c>
      <c r="AR188" s="6" t="str">
        <f>HYPERLINK("http://catalog.hathitrust.org/Record/000407616","HathiTrust Record")</f>
        <v>HathiTrust Record</v>
      </c>
      <c r="AS188" s="6" t="str">
        <f>HYPERLINK("https://creighton-primo.hosted.exlibrisgroup.com/primo-explore/search?tab=default_tab&amp;search_scope=EVERYTHING&amp;vid=01CRU&amp;lang=en_US&amp;offset=0&amp;query=any,contains,991000366419702656","Catalog Record")</f>
        <v>Catalog Record</v>
      </c>
      <c r="AT188" s="6" t="str">
        <f>HYPERLINK("http://www.worldcat.org/oclc/10403492","WorldCat Record")</f>
        <v>WorldCat Record</v>
      </c>
      <c r="AU188" s="3" t="s">
        <v>2597</v>
      </c>
      <c r="AV188" s="3" t="s">
        <v>2598</v>
      </c>
      <c r="AW188" s="3" t="s">
        <v>2599</v>
      </c>
      <c r="AX188" s="3" t="s">
        <v>2599</v>
      </c>
      <c r="AY188" s="3" t="s">
        <v>2600</v>
      </c>
      <c r="AZ188" s="3" t="s">
        <v>74</v>
      </c>
      <c r="BB188" s="3" t="s">
        <v>2601</v>
      </c>
      <c r="BC188" s="3" t="s">
        <v>2602</v>
      </c>
      <c r="BD188" s="3" t="s">
        <v>2603</v>
      </c>
    </row>
    <row r="189" spans="1:56" ht="42.75" customHeight="1" x14ac:dyDescent="0.25">
      <c r="A189" s="7" t="s">
        <v>58</v>
      </c>
      <c r="B189" s="2" t="s">
        <v>2604</v>
      </c>
      <c r="C189" s="2" t="s">
        <v>2605</v>
      </c>
      <c r="D189" s="2" t="s">
        <v>2606</v>
      </c>
      <c r="F189" s="3" t="s">
        <v>58</v>
      </c>
      <c r="G189" s="3" t="s">
        <v>59</v>
      </c>
      <c r="H189" s="3" t="s">
        <v>58</v>
      </c>
      <c r="I189" s="3" t="s">
        <v>58</v>
      </c>
      <c r="J189" s="3" t="s">
        <v>60</v>
      </c>
      <c r="K189" s="2" t="s">
        <v>2607</v>
      </c>
      <c r="L189" s="2" t="s">
        <v>2608</v>
      </c>
      <c r="M189" s="3" t="s">
        <v>371</v>
      </c>
      <c r="O189" s="3" t="s">
        <v>64</v>
      </c>
      <c r="P189" s="3" t="s">
        <v>2609</v>
      </c>
      <c r="R189" s="3" t="s">
        <v>67</v>
      </c>
      <c r="S189" s="4">
        <v>5</v>
      </c>
      <c r="T189" s="4">
        <v>5</v>
      </c>
      <c r="U189" s="5" t="s">
        <v>2290</v>
      </c>
      <c r="V189" s="5" t="s">
        <v>2290</v>
      </c>
      <c r="W189" s="5" t="s">
        <v>2610</v>
      </c>
      <c r="X189" s="5" t="s">
        <v>2610</v>
      </c>
      <c r="Y189" s="4">
        <v>298</v>
      </c>
      <c r="Z189" s="4">
        <v>227</v>
      </c>
      <c r="AA189" s="4">
        <v>232</v>
      </c>
      <c r="AB189" s="4">
        <v>4</v>
      </c>
      <c r="AC189" s="4">
        <v>4</v>
      </c>
      <c r="AD189" s="4">
        <v>8</v>
      </c>
      <c r="AE189" s="4">
        <v>8</v>
      </c>
      <c r="AF189" s="4">
        <v>2</v>
      </c>
      <c r="AG189" s="4">
        <v>2</v>
      </c>
      <c r="AH189" s="4">
        <v>1</v>
      </c>
      <c r="AI189" s="4">
        <v>1</v>
      </c>
      <c r="AJ189" s="4">
        <v>4</v>
      </c>
      <c r="AK189" s="4">
        <v>4</v>
      </c>
      <c r="AL189" s="4">
        <v>3</v>
      </c>
      <c r="AM189" s="4">
        <v>3</v>
      </c>
      <c r="AN189" s="4">
        <v>0</v>
      </c>
      <c r="AO189" s="4">
        <v>0</v>
      </c>
      <c r="AP189" s="3" t="s">
        <v>58</v>
      </c>
      <c r="AQ189" s="3" t="s">
        <v>86</v>
      </c>
      <c r="AR189" s="6" t="str">
        <f>HYPERLINK("http://catalog.hathitrust.org/Record/101887202","HathiTrust Record")</f>
        <v>HathiTrust Record</v>
      </c>
      <c r="AS189" s="6" t="str">
        <f>HYPERLINK("https://creighton-primo.hosted.exlibrisgroup.com/primo-explore/search?tab=default_tab&amp;search_scope=EVERYTHING&amp;vid=01CRU&amp;lang=en_US&amp;offset=0&amp;query=any,contains,991000757419702656","Catalog Record")</f>
        <v>Catalog Record</v>
      </c>
      <c r="AT189" s="6" t="str">
        <f>HYPERLINK("http://www.worldcat.org/oclc/12949918","WorldCat Record")</f>
        <v>WorldCat Record</v>
      </c>
      <c r="AU189" s="3" t="s">
        <v>2611</v>
      </c>
      <c r="AV189" s="3" t="s">
        <v>2612</v>
      </c>
      <c r="AW189" s="3" t="s">
        <v>2613</v>
      </c>
      <c r="AX189" s="3" t="s">
        <v>2613</v>
      </c>
      <c r="AY189" s="3" t="s">
        <v>2614</v>
      </c>
      <c r="AZ189" s="3" t="s">
        <v>74</v>
      </c>
      <c r="BB189" s="3" t="s">
        <v>2615</v>
      </c>
      <c r="BC189" s="3" t="s">
        <v>2616</v>
      </c>
      <c r="BD189" s="3" t="s">
        <v>2617</v>
      </c>
    </row>
    <row r="190" spans="1:56" ht="42.75" customHeight="1" x14ac:dyDescent="0.25">
      <c r="A190" s="7" t="s">
        <v>58</v>
      </c>
      <c r="B190" s="2" t="s">
        <v>2618</v>
      </c>
      <c r="C190" s="2" t="s">
        <v>2619</v>
      </c>
      <c r="D190" s="2" t="s">
        <v>2620</v>
      </c>
      <c r="F190" s="3" t="s">
        <v>58</v>
      </c>
      <c r="G190" s="3" t="s">
        <v>59</v>
      </c>
      <c r="H190" s="3" t="s">
        <v>58</v>
      </c>
      <c r="I190" s="3" t="s">
        <v>58</v>
      </c>
      <c r="J190" s="3" t="s">
        <v>60</v>
      </c>
      <c r="K190" s="2" t="s">
        <v>2621</v>
      </c>
      <c r="L190" s="2" t="s">
        <v>2622</v>
      </c>
      <c r="M190" s="3" t="s">
        <v>2386</v>
      </c>
      <c r="O190" s="3" t="s">
        <v>64</v>
      </c>
      <c r="P190" s="3" t="s">
        <v>1763</v>
      </c>
      <c r="R190" s="3" t="s">
        <v>67</v>
      </c>
      <c r="S190" s="4">
        <v>8</v>
      </c>
      <c r="T190" s="4">
        <v>8</v>
      </c>
      <c r="U190" s="5" t="s">
        <v>2583</v>
      </c>
      <c r="V190" s="5" t="s">
        <v>2583</v>
      </c>
      <c r="W190" s="5" t="s">
        <v>2623</v>
      </c>
      <c r="X190" s="5" t="s">
        <v>2623</v>
      </c>
      <c r="Y190" s="4">
        <v>291</v>
      </c>
      <c r="Z190" s="4">
        <v>253</v>
      </c>
      <c r="AA190" s="4">
        <v>339</v>
      </c>
      <c r="AB190" s="4">
        <v>3</v>
      </c>
      <c r="AC190" s="4">
        <v>3</v>
      </c>
      <c r="AD190" s="4">
        <v>5</v>
      </c>
      <c r="AE190" s="4">
        <v>8</v>
      </c>
      <c r="AF190" s="4">
        <v>2</v>
      </c>
      <c r="AG190" s="4">
        <v>4</v>
      </c>
      <c r="AH190" s="4">
        <v>1</v>
      </c>
      <c r="AI190" s="4">
        <v>1</v>
      </c>
      <c r="AJ190" s="4">
        <v>0</v>
      </c>
      <c r="AK190" s="4">
        <v>1</v>
      </c>
      <c r="AL190" s="4">
        <v>2</v>
      </c>
      <c r="AM190" s="4">
        <v>2</v>
      </c>
      <c r="AN190" s="4">
        <v>0</v>
      </c>
      <c r="AO190" s="4">
        <v>0</v>
      </c>
      <c r="AP190" s="3" t="s">
        <v>58</v>
      </c>
      <c r="AQ190" s="3" t="s">
        <v>58</v>
      </c>
      <c r="AS190" s="6" t="str">
        <f>HYPERLINK("https://creighton-primo.hosted.exlibrisgroup.com/primo-explore/search?tab=default_tab&amp;search_scope=EVERYTHING&amp;vid=01CRU&amp;lang=en_US&amp;offset=0&amp;query=any,contains,991003342569702656","Catalog Record")</f>
        <v>Catalog Record</v>
      </c>
      <c r="AT190" s="6" t="str">
        <f>HYPERLINK("http://www.worldcat.org/oclc/873848","WorldCat Record")</f>
        <v>WorldCat Record</v>
      </c>
      <c r="AU190" s="3" t="s">
        <v>2624</v>
      </c>
      <c r="AV190" s="3" t="s">
        <v>2625</v>
      </c>
      <c r="AW190" s="3" t="s">
        <v>2626</v>
      </c>
      <c r="AX190" s="3" t="s">
        <v>2626</v>
      </c>
      <c r="AY190" s="3" t="s">
        <v>2627</v>
      </c>
      <c r="AZ190" s="3" t="s">
        <v>74</v>
      </c>
      <c r="BC190" s="3" t="s">
        <v>2628</v>
      </c>
      <c r="BD190" s="3" t="s">
        <v>2629</v>
      </c>
    </row>
    <row r="191" spans="1:56" ht="42.75" customHeight="1" x14ac:dyDescent="0.25">
      <c r="A191" s="7" t="s">
        <v>58</v>
      </c>
      <c r="B191" s="2" t="s">
        <v>2630</v>
      </c>
      <c r="C191" s="2" t="s">
        <v>2631</v>
      </c>
      <c r="D191" s="2" t="s">
        <v>2632</v>
      </c>
      <c r="F191" s="3" t="s">
        <v>58</v>
      </c>
      <c r="G191" s="3" t="s">
        <v>59</v>
      </c>
      <c r="H191" s="3" t="s">
        <v>58</v>
      </c>
      <c r="I191" s="3" t="s">
        <v>58</v>
      </c>
      <c r="J191" s="3" t="s">
        <v>60</v>
      </c>
      <c r="K191" s="2" t="s">
        <v>2621</v>
      </c>
      <c r="L191" s="2" t="s">
        <v>2633</v>
      </c>
      <c r="M191" s="3" t="s">
        <v>63</v>
      </c>
      <c r="N191" s="2" t="s">
        <v>1613</v>
      </c>
      <c r="O191" s="3" t="s">
        <v>64</v>
      </c>
      <c r="P191" s="3" t="s">
        <v>1763</v>
      </c>
      <c r="R191" s="3" t="s">
        <v>67</v>
      </c>
      <c r="S191" s="4">
        <v>13</v>
      </c>
      <c r="T191" s="4">
        <v>13</v>
      </c>
      <c r="U191" s="5" t="s">
        <v>2634</v>
      </c>
      <c r="V191" s="5" t="s">
        <v>2634</v>
      </c>
      <c r="W191" s="5" t="s">
        <v>2635</v>
      </c>
      <c r="X191" s="5" t="s">
        <v>2635</v>
      </c>
      <c r="Y191" s="4">
        <v>228</v>
      </c>
      <c r="Z191" s="4">
        <v>180</v>
      </c>
      <c r="AA191" s="4">
        <v>188</v>
      </c>
      <c r="AB191" s="4">
        <v>3</v>
      </c>
      <c r="AC191" s="4">
        <v>3</v>
      </c>
      <c r="AD191" s="4">
        <v>9</v>
      </c>
      <c r="AE191" s="4">
        <v>9</v>
      </c>
      <c r="AF191" s="4">
        <v>5</v>
      </c>
      <c r="AG191" s="4">
        <v>5</v>
      </c>
      <c r="AH191" s="4">
        <v>1</v>
      </c>
      <c r="AI191" s="4">
        <v>1</v>
      </c>
      <c r="AJ191" s="4">
        <v>3</v>
      </c>
      <c r="AK191" s="4">
        <v>3</v>
      </c>
      <c r="AL191" s="4">
        <v>2</v>
      </c>
      <c r="AM191" s="4">
        <v>2</v>
      </c>
      <c r="AN191" s="4">
        <v>0</v>
      </c>
      <c r="AO191" s="4">
        <v>0</v>
      </c>
      <c r="AP191" s="3" t="s">
        <v>58</v>
      </c>
      <c r="AQ191" s="3" t="s">
        <v>86</v>
      </c>
      <c r="AR191" s="6" t="str">
        <f>HYPERLINK("http://catalog.hathitrust.org/Record/000120783","HathiTrust Record")</f>
        <v>HathiTrust Record</v>
      </c>
      <c r="AS191" s="6" t="str">
        <f>HYPERLINK("https://creighton-primo.hosted.exlibrisgroup.com/primo-explore/search?tab=default_tab&amp;search_scope=EVERYTHING&amp;vid=01CRU&amp;lang=en_US&amp;offset=0&amp;query=any,contains,991000225329702656","Catalog Record")</f>
        <v>Catalog Record</v>
      </c>
      <c r="AT191" s="6" t="str">
        <f>HYPERLINK("http://www.worldcat.org/oclc/9617409","WorldCat Record")</f>
        <v>WorldCat Record</v>
      </c>
      <c r="AU191" s="3" t="s">
        <v>2636</v>
      </c>
      <c r="AV191" s="3" t="s">
        <v>2637</v>
      </c>
      <c r="AW191" s="3" t="s">
        <v>2638</v>
      </c>
      <c r="AX191" s="3" t="s">
        <v>2638</v>
      </c>
      <c r="AY191" s="3" t="s">
        <v>2639</v>
      </c>
      <c r="AZ191" s="3" t="s">
        <v>74</v>
      </c>
      <c r="BB191" s="3" t="s">
        <v>2640</v>
      </c>
      <c r="BC191" s="3" t="s">
        <v>2641</v>
      </c>
      <c r="BD191" s="3" t="s">
        <v>2642</v>
      </c>
    </row>
    <row r="192" spans="1:56" ht="42.75" customHeight="1" x14ac:dyDescent="0.25">
      <c r="A192" s="7" t="s">
        <v>58</v>
      </c>
      <c r="B192" s="2" t="s">
        <v>2643</v>
      </c>
      <c r="C192" s="2" t="s">
        <v>2644</v>
      </c>
      <c r="D192" s="2" t="s">
        <v>2645</v>
      </c>
      <c r="F192" s="3" t="s">
        <v>58</v>
      </c>
      <c r="G192" s="3" t="s">
        <v>59</v>
      </c>
      <c r="H192" s="3" t="s">
        <v>86</v>
      </c>
      <c r="I192" s="3" t="s">
        <v>58</v>
      </c>
      <c r="J192" s="3" t="s">
        <v>60</v>
      </c>
      <c r="K192" s="2" t="s">
        <v>2646</v>
      </c>
      <c r="L192" s="2" t="s">
        <v>2647</v>
      </c>
      <c r="M192" s="3" t="s">
        <v>63</v>
      </c>
      <c r="N192" s="2" t="s">
        <v>1844</v>
      </c>
      <c r="O192" s="3" t="s">
        <v>64</v>
      </c>
      <c r="P192" s="3" t="s">
        <v>316</v>
      </c>
      <c r="R192" s="3" t="s">
        <v>67</v>
      </c>
      <c r="S192" s="4">
        <v>5</v>
      </c>
      <c r="T192" s="4">
        <v>13</v>
      </c>
      <c r="U192" s="5" t="s">
        <v>2648</v>
      </c>
      <c r="V192" s="5" t="s">
        <v>2648</v>
      </c>
      <c r="W192" s="5" t="s">
        <v>1964</v>
      </c>
      <c r="X192" s="5" t="s">
        <v>1964</v>
      </c>
      <c r="Y192" s="4">
        <v>315</v>
      </c>
      <c r="Z192" s="4">
        <v>259</v>
      </c>
      <c r="AA192" s="4">
        <v>398</v>
      </c>
      <c r="AB192" s="4">
        <v>3</v>
      </c>
      <c r="AC192" s="4">
        <v>6</v>
      </c>
      <c r="AD192" s="4">
        <v>8</v>
      </c>
      <c r="AE192" s="4">
        <v>14</v>
      </c>
      <c r="AF192" s="4">
        <v>4</v>
      </c>
      <c r="AG192" s="4">
        <v>7</v>
      </c>
      <c r="AH192" s="4">
        <v>3</v>
      </c>
      <c r="AI192" s="4">
        <v>3</v>
      </c>
      <c r="AJ192" s="4">
        <v>3</v>
      </c>
      <c r="AK192" s="4">
        <v>4</v>
      </c>
      <c r="AL192" s="4">
        <v>1</v>
      </c>
      <c r="AM192" s="4">
        <v>4</v>
      </c>
      <c r="AN192" s="4">
        <v>0</v>
      </c>
      <c r="AO192" s="4">
        <v>0</v>
      </c>
      <c r="AP192" s="3" t="s">
        <v>58</v>
      </c>
      <c r="AQ192" s="3" t="s">
        <v>58</v>
      </c>
      <c r="AS192" s="6" t="str">
        <f>HYPERLINK("https://creighton-primo.hosted.exlibrisgroup.com/primo-explore/search?tab=default_tab&amp;search_scope=EVERYTHING&amp;vid=01CRU&amp;lang=en_US&amp;offset=0&amp;query=any,contains,991001771779702656","Catalog Record")</f>
        <v>Catalog Record</v>
      </c>
      <c r="AT192" s="6" t="str">
        <f>HYPERLINK("http://www.worldcat.org/oclc/8827198","WorldCat Record")</f>
        <v>WorldCat Record</v>
      </c>
      <c r="AU192" s="3" t="s">
        <v>2649</v>
      </c>
      <c r="AV192" s="3" t="s">
        <v>2650</v>
      </c>
      <c r="AW192" s="3" t="s">
        <v>2651</v>
      </c>
      <c r="AX192" s="3" t="s">
        <v>2651</v>
      </c>
      <c r="AY192" s="3" t="s">
        <v>2652</v>
      </c>
      <c r="AZ192" s="3" t="s">
        <v>74</v>
      </c>
      <c r="BB192" s="3" t="s">
        <v>2653</v>
      </c>
      <c r="BC192" s="3" t="s">
        <v>2654</v>
      </c>
      <c r="BD192" s="3" t="s">
        <v>2655</v>
      </c>
    </row>
    <row r="193" spans="1:56" ht="42.75" customHeight="1" x14ac:dyDescent="0.25">
      <c r="A193" s="7" t="s">
        <v>58</v>
      </c>
      <c r="B193" s="2" t="s">
        <v>2656</v>
      </c>
      <c r="C193" s="2" t="s">
        <v>2657</v>
      </c>
      <c r="D193" s="2" t="s">
        <v>2658</v>
      </c>
      <c r="F193" s="3" t="s">
        <v>58</v>
      </c>
      <c r="G193" s="3" t="s">
        <v>59</v>
      </c>
      <c r="H193" s="3" t="s">
        <v>58</v>
      </c>
      <c r="I193" s="3" t="s">
        <v>58</v>
      </c>
      <c r="J193" s="3" t="s">
        <v>60</v>
      </c>
      <c r="K193" s="2" t="s">
        <v>2659</v>
      </c>
      <c r="L193" s="2" t="s">
        <v>2660</v>
      </c>
      <c r="M193" s="3" t="s">
        <v>2227</v>
      </c>
      <c r="O193" s="3" t="s">
        <v>64</v>
      </c>
      <c r="P193" s="3" t="s">
        <v>83</v>
      </c>
      <c r="Q193" s="2" t="s">
        <v>2661</v>
      </c>
      <c r="R193" s="3" t="s">
        <v>67</v>
      </c>
      <c r="S193" s="4">
        <v>16</v>
      </c>
      <c r="T193" s="4">
        <v>16</v>
      </c>
      <c r="U193" s="5" t="s">
        <v>1963</v>
      </c>
      <c r="V193" s="5" t="s">
        <v>1963</v>
      </c>
      <c r="W193" s="5" t="s">
        <v>1964</v>
      </c>
      <c r="X193" s="5" t="s">
        <v>1964</v>
      </c>
      <c r="Y193" s="4">
        <v>397</v>
      </c>
      <c r="Z193" s="4">
        <v>305</v>
      </c>
      <c r="AA193" s="4">
        <v>313</v>
      </c>
      <c r="AB193" s="4">
        <v>3</v>
      </c>
      <c r="AC193" s="4">
        <v>3</v>
      </c>
      <c r="AD193" s="4">
        <v>11</v>
      </c>
      <c r="AE193" s="4">
        <v>11</v>
      </c>
      <c r="AF193" s="4">
        <v>7</v>
      </c>
      <c r="AG193" s="4">
        <v>7</v>
      </c>
      <c r="AH193" s="4">
        <v>2</v>
      </c>
      <c r="AI193" s="4">
        <v>2</v>
      </c>
      <c r="AJ193" s="4">
        <v>1</v>
      </c>
      <c r="AK193" s="4">
        <v>1</v>
      </c>
      <c r="AL193" s="4">
        <v>2</v>
      </c>
      <c r="AM193" s="4">
        <v>2</v>
      </c>
      <c r="AN193" s="4">
        <v>0</v>
      </c>
      <c r="AO193" s="4">
        <v>0</v>
      </c>
      <c r="AP193" s="3" t="s">
        <v>58</v>
      </c>
      <c r="AQ193" s="3" t="s">
        <v>86</v>
      </c>
      <c r="AR193" s="6" t="str">
        <f>HYPERLINK("http://catalog.hathitrust.org/Record/102100477","HathiTrust Record")</f>
        <v>HathiTrust Record</v>
      </c>
      <c r="AS193" s="6" t="str">
        <f>HYPERLINK("https://creighton-primo.hosted.exlibrisgroup.com/primo-explore/search?tab=default_tab&amp;search_scope=EVERYTHING&amp;vid=01CRU&amp;lang=en_US&amp;offset=0&amp;query=any,contains,991000688399702656","Catalog Record")</f>
        <v>Catalog Record</v>
      </c>
      <c r="AT193" s="6" t="str">
        <f>HYPERLINK("http://www.worldcat.org/oclc/12422365","WorldCat Record")</f>
        <v>WorldCat Record</v>
      </c>
      <c r="AU193" s="3" t="s">
        <v>2662</v>
      </c>
      <c r="AV193" s="3" t="s">
        <v>2663</v>
      </c>
      <c r="AW193" s="3" t="s">
        <v>2664</v>
      </c>
      <c r="AX193" s="3" t="s">
        <v>2664</v>
      </c>
      <c r="AY193" s="3" t="s">
        <v>2665</v>
      </c>
      <c r="AZ193" s="3" t="s">
        <v>74</v>
      </c>
      <c r="BB193" s="3" t="s">
        <v>2666</v>
      </c>
      <c r="BC193" s="3" t="s">
        <v>2667</v>
      </c>
      <c r="BD193" s="3" t="s">
        <v>2668</v>
      </c>
    </row>
    <row r="194" spans="1:56" ht="42.75" customHeight="1" x14ac:dyDescent="0.25">
      <c r="A194" s="7" t="s">
        <v>58</v>
      </c>
      <c r="B194" s="2" t="s">
        <v>2669</v>
      </c>
      <c r="C194" s="2" t="s">
        <v>2670</v>
      </c>
      <c r="D194" s="2" t="s">
        <v>2671</v>
      </c>
      <c r="F194" s="3" t="s">
        <v>58</v>
      </c>
      <c r="G194" s="3" t="s">
        <v>59</v>
      </c>
      <c r="H194" s="3" t="s">
        <v>58</v>
      </c>
      <c r="I194" s="3" t="s">
        <v>58</v>
      </c>
      <c r="J194" s="3" t="s">
        <v>60</v>
      </c>
      <c r="L194" s="2" t="s">
        <v>2411</v>
      </c>
      <c r="M194" s="3" t="s">
        <v>888</v>
      </c>
      <c r="O194" s="3" t="s">
        <v>64</v>
      </c>
      <c r="P194" s="3" t="s">
        <v>83</v>
      </c>
      <c r="R194" s="3" t="s">
        <v>67</v>
      </c>
      <c r="S194" s="4">
        <v>5</v>
      </c>
      <c r="T194" s="4">
        <v>5</v>
      </c>
      <c r="U194" s="5" t="s">
        <v>1627</v>
      </c>
      <c r="V194" s="5" t="s">
        <v>1627</v>
      </c>
      <c r="W194" s="5" t="s">
        <v>2672</v>
      </c>
      <c r="X194" s="5" t="s">
        <v>2672</v>
      </c>
      <c r="Y194" s="4">
        <v>801</v>
      </c>
      <c r="Z194" s="4">
        <v>644</v>
      </c>
      <c r="AA194" s="4">
        <v>648</v>
      </c>
      <c r="AB194" s="4">
        <v>5</v>
      </c>
      <c r="AC194" s="4">
        <v>5</v>
      </c>
      <c r="AD194" s="4">
        <v>26</v>
      </c>
      <c r="AE194" s="4">
        <v>26</v>
      </c>
      <c r="AF194" s="4">
        <v>14</v>
      </c>
      <c r="AG194" s="4">
        <v>14</v>
      </c>
      <c r="AH194" s="4">
        <v>4</v>
      </c>
      <c r="AI194" s="4">
        <v>4</v>
      </c>
      <c r="AJ194" s="4">
        <v>11</v>
      </c>
      <c r="AK194" s="4">
        <v>11</v>
      </c>
      <c r="AL194" s="4">
        <v>4</v>
      </c>
      <c r="AM194" s="4">
        <v>4</v>
      </c>
      <c r="AN194" s="4">
        <v>0</v>
      </c>
      <c r="AO194" s="4">
        <v>0</v>
      </c>
      <c r="AP194" s="3" t="s">
        <v>58</v>
      </c>
      <c r="AQ194" s="3" t="s">
        <v>58</v>
      </c>
      <c r="AS194" s="6" t="str">
        <f>HYPERLINK("https://creighton-primo.hosted.exlibrisgroup.com/primo-explore/search?tab=default_tab&amp;search_scope=EVERYTHING&amp;vid=01CRU&amp;lang=en_US&amp;offset=0&amp;query=any,contains,991005427019702656","Catalog Record")</f>
        <v>Catalog Record</v>
      </c>
      <c r="AT194" s="6" t="str">
        <f>HYPERLINK("http://www.worldcat.org/oclc/37567177","WorldCat Record")</f>
        <v>WorldCat Record</v>
      </c>
      <c r="AU194" s="3" t="s">
        <v>2673</v>
      </c>
      <c r="AV194" s="3" t="s">
        <v>2674</v>
      </c>
      <c r="AW194" s="3" t="s">
        <v>2675</v>
      </c>
      <c r="AX194" s="3" t="s">
        <v>2675</v>
      </c>
      <c r="AY194" s="3" t="s">
        <v>2676</v>
      </c>
      <c r="AZ194" s="3" t="s">
        <v>74</v>
      </c>
      <c r="BB194" s="3" t="s">
        <v>2677</v>
      </c>
      <c r="BC194" s="3" t="s">
        <v>2678</v>
      </c>
      <c r="BD194" s="3" t="s">
        <v>2679</v>
      </c>
    </row>
    <row r="195" spans="1:56" ht="42.75" customHeight="1" x14ac:dyDescent="0.25">
      <c r="A195" s="7" t="s">
        <v>58</v>
      </c>
      <c r="B195" s="2" t="s">
        <v>2680</v>
      </c>
      <c r="C195" s="2" t="s">
        <v>2681</v>
      </c>
      <c r="D195" s="2" t="s">
        <v>2682</v>
      </c>
      <c r="F195" s="3" t="s">
        <v>58</v>
      </c>
      <c r="G195" s="3" t="s">
        <v>59</v>
      </c>
      <c r="H195" s="3" t="s">
        <v>58</v>
      </c>
      <c r="I195" s="3" t="s">
        <v>58</v>
      </c>
      <c r="J195" s="3" t="s">
        <v>60</v>
      </c>
      <c r="L195" s="2" t="s">
        <v>2683</v>
      </c>
      <c r="M195" s="3" t="s">
        <v>1574</v>
      </c>
      <c r="O195" s="3" t="s">
        <v>64</v>
      </c>
      <c r="P195" s="3" t="s">
        <v>65</v>
      </c>
      <c r="R195" s="3" t="s">
        <v>67</v>
      </c>
      <c r="S195" s="4">
        <v>24</v>
      </c>
      <c r="T195" s="4">
        <v>24</v>
      </c>
      <c r="U195" s="5" t="s">
        <v>2684</v>
      </c>
      <c r="V195" s="5" t="s">
        <v>2684</v>
      </c>
      <c r="W195" s="5" t="s">
        <v>2304</v>
      </c>
      <c r="X195" s="5" t="s">
        <v>2304</v>
      </c>
      <c r="Y195" s="4">
        <v>343</v>
      </c>
      <c r="Z195" s="4">
        <v>292</v>
      </c>
      <c r="AA195" s="4">
        <v>294</v>
      </c>
      <c r="AB195" s="4">
        <v>3</v>
      </c>
      <c r="AC195" s="4">
        <v>3</v>
      </c>
      <c r="AD195" s="4">
        <v>11</v>
      </c>
      <c r="AE195" s="4">
        <v>11</v>
      </c>
      <c r="AF195" s="4">
        <v>5</v>
      </c>
      <c r="AG195" s="4">
        <v>5</v>
      </c>
      <c r="AH195" s="4">
        <v>2</v>
      </c>
      <c r="AI195" s="4">
        <v>2</v>
      </c>
      <c r="AJ195" s="4">
        <v>5</v>
      </c>
      <c r="AK195" s="4">
        <v>5</v>
      </c>
      <c r="AL195" s="4">
        <v>2</v>
      </c>
      <c r="AM195" s="4">
        <v>2</v>
      </c>
      <c r="AN195" s="4">
        <v>0</v>
      </c>
      <c r="AO195" s="4">
        <v>0</v>
      </c>
      <c r="AP195" s="3" t="s">
        <v>58</v>
      </c>
      <c r="AQ195" s="3" t="s">
        <v>86</v>
      </c>
      <c r="AR195" s="6" t="str">
        <f>HYPERLINK("http://catalog.hathitrust.org/Record/000124114","HathiTrust Record")</f>
        <v>HathiTrust Record</v>
      </c>
      <c r="AS195" s="6" t="str">
        <f>HYPERLINK("https://creighton-primo.hosted.exlibrisgroup.com/primo-explore/search?tab=default_tab&amp;search_scope=EVERYTHING&amp;vid=01CRU&amp;lang=en_US&amp;offset=0&amp;query=any,contains,991005246839702656","Catalog Record")</f>
        <v>Catalog Record</v>
      </c>
      <c r="AT195" s="6" t="str">
        <f>HYPERLINK("http://www.worldcat.org/oclc/8473705","WorldCat Record")</f>
        <v>WorldCat Record</v>
      </c>
      <c r="AU195" s="3" t="s">
        <v>2685</v>
      </c>
      <c r="AV195" s="3" t="s">
        <v>2686</v>
      </c>
      <c r="AW195" s="3" t="s">
        <v>2687</v>
      </c>
      <c r="AX195" s="3" t="s">
        <v>2687</v>
      </c>
      <c r="AY195" s="3" t="s">
        <v>2688</v>
      </c>
      <c r="AZ195" s="3" t="s">
        <v>74</v>
      </c>
      <c r="BB195" s="3" t="s">
        <v>2689</v>
      </c>
      <c r="BC195" s="3" t="s">
        <v>2690</v>
      </c>
      <c r="BD195" s="3" t="s">
        <v>2691</v>
      </c>
    </row>
    <row r="196" spans="1:56" ht="42.75" customHeight="1" x14ac:dyDescent="0.25">
      <c r="A196" s="7" t="s">
        <v>58</v>
      </c>
      <c r="B196" s="2" t="s">
        <v>2692</v>
      </c>
      <c r="C196" s="2" t="s">
        <v>2693</v>
      </c>
      <c r="D196" s="2" t="s">
        <v>2694</v>
      </c>
      <c r="F196" s="3" t="s">
        <v>58</v>
      </c>
      <c r="G196" s="3" t="s">
        <v>59</v>
      </c>
      <c r="H196" s="3" t="s">
        <v>58</v>
      </c>
      <c r="I196" s="3" t="s">
        <v>58</v>
      </c>
      <c r="J196" s="3" t="s">
        <v>60</v>
      </c>
      <c r="K196" s="2" t="s">
        <v>2695</v>
      </c>
      <c r="L196" s="2" t="s">
        <v>2696</v>
      </c>
      <c r="M196" s="3" t="s">
        <v>114</v>
      </c>
      <c r="N196" s="2" t="s">
        <v>1844</v>
      </c>
      <c r="O196" s="3" t="s">
        <v>64</v>
      </c>
      <c r="P196" s="3" t="s">
        <v>83</v>
      </c>
      <c r="R196" s="3" t="s">
        <v>67</v>
      </c>
      <c r="S196" s="4">
        <v>5</v>
      </c>
      <c r="T196" s="4">
        <v>5</v>
      </c>
      <c r="U196" s="5" t="s">
        <v>2697</v>
      </c>
      <c r="V196" s="5" t="s">
        <v>2697</v>
      </c>
      <c r="W196" s="5" t="s">
        <v>1964</v>
      </c>
      <c r="X196" s="5" t="s">
        <v>1964</v>
      </c>
      <c r="Y196" s="4">
        <v>436</v>
      </c>
      <c r="Z196" s="4">
        <v>354</v>
      </c>
      <c r="AA196" s="4">
        <v>776</v>
      </c>
      <c r="AB196" s="4">
        <v>4</v>
      </c>
      <c r="AC196" s="4">
        <v>7</v>
      </c>
      <c r="AD196" s="4">
        <v>9</v>
      </c>
      <c r="AE196" s="4">
        <v>20</v>
      </c>
      <c r="AF196" s="4">
        <v>7</v>
      </c>
      <c r="AG196" s="4">
        <v>11</v>
      </c>
      <c r="AH196" s="4">
        <v>0</v>
      </c>
      <c r="AI196" s="4">
        <v>2</v>
      </c>
      <c r="AJ196" s="4">
        <v>2</v>
      </c>
      <c r="AK196" s="4">
        <v>7</v>
      </c>
      <c r="AL196" s="4">
        <v>2</v>
      </c>
      <c r="AM196" s="4">
        <v>5</v>
      </c>
      <c r="AN196" s="4">
        <v>0</v>
      </c>
      <c r="AO196" s="4">
        <v>0</v>
      </c>
      <c r="AP196" s="3" t="s">
        <v>58</v>
      </c>
      <c r="AQ196" s="3" t="s">
        <v>86</v>
      </c>
      <c r="AR196" s="6" t="str">
        <f>HYPERLINK("http://catalog.hathitrust.org/Record/102014663","HathiTrust Record")</f>
        <v>HathiTrust Record</v>
      </c>
      <c r="AS196" s="6" t="str">
        <f>HYPERLINK("https://creighton-primo.hosted.exlibrisgroup.com/primo-explore/search?tab=default_tab&amp;search_scope=EVERYTHING&amp;vid=01CRU&amp;lang=en_US&amp;offset=0&amp;query=any,contains,991000398519702656","Catalog Record")</f>
        <v>Catalog Record</v>
      </c>
      <c r="AT196" s="6" t="str">
        <f>HYPERLINK("http://www.worldcat.org/oclc/10605389","WorldCat Record")</f>
        <v>WorldCat Record</v>
      </c>
      <c r="AU196" s="3" t="s">
        <v>2698</v>
      </c>
      <c r="AV196" s="3" t="s">
        <v>2699</v>
      </c>
      <c r="AW196" s="3" t="s">
        <v>2700</v>
      </c>
      <c r="AX196" s="3" t="s">
        <v>2700</v>
      </c>
      <c r="AY196" s="3" t="s">
        <v>2701</v>
      </c>
      <c r="AZ196" s="3" t="s">
        <v>74</v>
      </c>
      <c r="BB196" s="3" t="s">
        <v>2702</v>
      </c>
      <c r="BC196" s="3" t="s">
        <v>2703</v>
      </c>
      <c r="BD196" s="3" t="s">
        <v>2704</v>
      </c>
    </row>
    <row r="197" spans="1:56" ht="42.75" customHeight="1" x14ac:dyDescent="0.25">
      <c r="A197" s="7" t="s">
        <v>58</v>
      </c>
      <c r="B197" s="2" t="s">
        <v>2705</v>
      </c>
      <c r="C197" s="2" t="s">
        <v>2706</v>
      </c>
      <c r="D197" s="2" t="s">
        <v>2707</v>
      </c>
      <c r="F197" s="3" t="s">
        <v>58</v>
      </c>
      <c r="G197" s="3" t="s">
        <v>59</v>
      </c>
      <c r="H197" s="3" t="s">
        <v>58</v>
      </c>
      <c r="I197" s="3" t="s">
        <v>58</v>
      </c>
      <c r="J197" s="3" t="s">
        <v>60</v>
      </c>
      <c r="L197" s="2" t="s">
        <v>2708</v>
      </c>
      <c r="M197" s="3" t="s">
        <v>642</v>
      </c>
      <c r="O197" s="3" t="s">
        <v>64</v>
      </c>
      <c r="P197" s="3" t="s">
        <v>83</v>
      </c>
      <c r="Q197" s="2" t="s">
        <v>2709</v>
      </c>
      <c r="R197" s="3" t="s">
        <v>67</v>
      </c>
      <c r="S197" s="4">
        <v>3</v>
      </c>
      <c r="T197" s="4">
        <v>3</v>
      </c>
      <c r="U197" s="5" t="s">
        <v>2186</v>
      </c>
      <c r="V197" s="5" t="s">
        <v>2186</v>
      </c>
      <c r="W197" s="5" t="s">
        <v>2710</v>
      </c>
      <c r="X197" s="5" t="s">
        <v>2710</v>
      </c>
      <c r="Y197" s="4">
        <v>7</v>
      </c>
      <c r="Z197" s="4">
        <v>2</v>
      </c>
      <c r="AA197" s="4">
        <v>2</v>
      </c>
      <c r="AB197" s="4">
        <v>1</v>
      </c>
      <c r="AC197" s="4">
        <v>1</v>
      </c>
      <c r="AD197" s="4">
        <v>0</v>
      </c>
      <c r="AE197" s="4">
        <v>0</v>
      </c>
      <c r="AF197" s="4">
        <v>0</v>
      </c>
      <c r="AG197" s="4">
        <v>0</v>
      </c>
      <c r="AH197" s="4">
        <v>0</v>
      </c>
      <c r="AI197" s="4">
        <v>0</v>
      </c>
      <c r="AJ197" s="4">
        <v>0</v>
      </c>
      <c r="AK197" s="4">
        <v>0</v>
      </c>
      <c r="AL197" s="4">
        <v>0</v>
      </c>
      <c r="AM197" s="4">
        <v>0</v>
      </c>
      <c r="AN197" s="4">
        <v>0</v>
      </c>
      <c r="AO197" s="4">
        <v>0</v>
      </c>
      <c r="AP197" s="3" t="s">
        <v>58</v>
      </c>
      <c r="AQ197" s="3" t="s">
        <v>58</v>
      </c>
      <c r="AS197" s="6" t="str">
        <f>HYPERLINK("https://creighton-primo.hosted.exlibrisgroup.com/primo-explore/search?tab=default_tab&amp;search_scope=EVERYTHING&amp;vid=01CRU&amp;lang=en_US&amp;offset=0&amp;query=any,contains,991002304759702656","Catalog Record")</f>
        <v>Catalog Record</v>
      </c>
      <c r="AT197" s="6" t="str">
        <f>HYPERLINK("http://www.worldcat.org/oclc/29887445","WorldCat Record")</f>
        <v>WorldCat Record</v>
      </c>
      <c r="AU197" s="3" t="s">
        <v>2711</v>
      </c>
      <c r="AV197" s="3" t="s">
        <v>2712</v>
      </c>
      <c r="AW197" s="3" t="s">
        <v>2713</v>
      </c>
      <c r="AX197" s="3" t="s">
        <v>2713</v>
      </c>
      <c r="AY197" s="3" t="s">
        <v>2714</v>
      </c>
      <c r="AZ197" s="3" t="s">
        <v>74</v>
      </c>
      <c r="BC197" s="3" t="s">
        <v>2715</v>
      </c>
      <c r="BD197" s="3" t="s">
        <v>2716</v>
      </c>
    </row>
    <row r="198" spans="1:56" ht="42.75" customHeight="1" x14ac:dyDescent="0.25">
      <c r="A198" s="7" t="s">
        <v>58</v>
      </c>
      <c r="B198" s="2" t="s">
        <v>2717</v>
      </c>
      <c r="C198" s="2" t="s">
        <v>2718</v>
      </c>
      <c r="D198" s="2" t="s">
        <v>2719</v>
      </c>
      <c r="F198" s="3" t="s">
        <v>58</v>
      </c>
      <c r="G198" s="3" t="s">
        <v>59</v>
      </c>
      <c r="H198" s="3" t="s">
        <v>58</v>
      </c>
      <c r="I198" s="3" t="s">
        <v>58</v>
      </c>
      <c r="J198" s="3" t="s">
        <v>60</v>
      </c>
      <c r="L198" s="2" t="s">
        <v>2720</v>
      </c>
      <c r="M198" s="3" t="s">
        <v>344</v>
      </c>
      <c r="O198" s="3" t="s">
        <v>64</v>
      </c>
      <c r="P198" s="3" t="s">
        <v>1898</v>
      </c>
      <c r="R198" s="3" t="s">
        <v>67</v>
      </c>
      <c r="S198" s="4">
        <v>1</v>
      </c>
      <c r="T198" s="4">
        <v>1</v>
      </c>
      <c r="U198" s="5" t="s">
        <v>1671</v>
      </c>
      <c r="V198" s="5" t="s">
        <v>1671</v>
      </c>
      <c r="W198" s="5" t="s">
        <v>1964</v>
      </c>
      <c r="X198" s="5" t="s">
        <v>1964</v>
      </c>
      <c r="Y198" s="4">
        <v>200</v>
      </c>
      <c r="Z198" s="4">
        <v>177</v>
      </c>
      <c r="AA198" s="4">
        <v>184</v>
      </c>
      <c r="AB198" s="4">
        <v>3</v>
      </c>
      <c r="AC198" s="4">
        <v>3</v>
      </c>
      <c r="AD198" s="4">
        <v>6</v>
      </c>
      <c r="AE198" s="4">
        <v>6</v>
      </c>
      <c r="AF198" s="4">
        <v>3</v>
      </c>
      <c r="AG198" s="4">
        <v>3</v>
      </c>
      <c r="AH198" s="4">
        <v>1</v>
      </c>
      <c r="AI198" s="4">
        <v>1</v>
      </c>
      <c r="AJ198" s="4">
        <v>1</v>
      </c>
      <c r="AK198" s="4">
        <v>1</v>
      </c>
      <c r="AL198" s="4">
        <v>2</v>
      </c>
      <c r="AM198" s="4">
        <v>2</v>
      </c>
      <c r="AN198" s="4">
        <v>0</v>
      </c>
      <c r="AO198" s="4">
        <v>0</v>
      </c>
      <c r="AP198" s="3" t="s">
        <v>58</v>
      </c>
      <c r="AQ198" s="3" t="s">
        <v>86</v>
      </c>
      <c r="AR198" s="6" t="str">
        <f>HYPERLINK("http://catalog.hathitrust.org/Record/000163182","HathiTrust Record")</f>
        <v>HathiTrust Record</v>
      </c>
      <c r="AS198" s="6" t="str">
        <f>HYPERLINK("https://creighton-primo.hosted.exlibrisgroup.com/primo-explore/search?tab=default_tab&amp;search_scope=EVERYTHING&amp;vid=01CRU&amp;lang=en_US&amp;offset=0&amp;query=any,contains,991005077179702656","Catalog Record")</f>
        <v>Catalog Record</v>
      </c>
      <c r="AT198" s="6" t="str">
        <f>HYPERLINK("http://www.worldcat.org/oclc/7136923","WorldCat Record")</f>
        <v>WorldCat Record</v>
      </c>
      <c r="AU198" s="3" t="s">
        <v>2721</v>
      </c>
      <c r="AV198" s="3" t="s">
        <v>2722</v>
      </c>
      <c r="AW198" s="3" t="s">
        <v>2723</v>
      </c>
      <c r="AX198" s="3" t="s">
        <v>2723</v>
      </c>
      <c r="AY198" s="3" t="s">
        <v>2724</v>
      </c>
      <c r="AZ198" s="3" t="s">
        <v>74</v>
      </c>
      <c r="BB198" s="3" t="s">
        <v>2725</v>
      </c>
      <c r="BC198" s="3" t="s">
        <v>2726</v>
      </c>
      <c r="BD198" s="3" t="s">
        <v>2727</v>
      </c>
    </row>
    <row r="199" spans="1:56" ht="42.75" customHeight="1" x14ac:dyDescent="0.25">
      <c r="A199" s="7" t="s">
        <v>58</v>
      </c>
      <c r="B199" s="2" t="s">
        <v>2728</v>
      </c>
      <c r="C199" s="2" t="s">
        <v>2729</v>
      </c>
      <c r="D199" s="2" t="s">
        <v>2730</v>
      </c>
      <c r="F199" s="3" t="s">
        <v>58</v>
      </c>
      <c r="G199" s="3" t="s">
        <v>59</v>
      </c>
      <c r="H199" s="3" t="s">
        <v>58</v>
      </c>
      <c r="I199" s="3" t="s">
        <v>58</v>
      </c>
      <c r="J199" s="3" t="s">
        <v>60</v>
      </c>
      <c r="K199" s="2" t="s">
        <v>2731</v>
      </c>
      <c r="L199" s="2" t="s">
        <v>2732</v>
      </c>
      <c r="M199" s="3" t="s">
        <v>534</v>
      </c>
      <c r="N199" s="2" t="s">
        <v>1844</v>
      </c>
      <c r="O199" s="3" t="s">
        <v>64</v>
      </c>
      <c r="P199" s="3" t="s">
        <v>83</v>
      </c>
      <c r="R199" s="3" t="s">
        <v>67</v>
      </c>
      <c r="S199" s="4">
        <v>13</v>
      </c>
      <c r="T199" s="4">
        <v>13</v>
      </c>
      <c r="U199" s="5" t="s">
        <v>2464</v>
      </c>
      <c r="V199" s="5" t="s">
        <v>2464</v>
      </c>
      <c r="W199" s="5" t="s">
        <v>2733</v>
      </c>
      <c r="X199" s="5" t="s">
        <v>2733</v>
      </c>
      <c r="Y199" s="4">
        <v>258</v>
      </c>
      <c r="Z199" s="4">
        <v>195</v>
      </c>
      <c r="AA199" s="4">
        <v>347</v>
      </c>
      <c r="AB199" s="4">
        <v>3</v>
      </c>
      <c r="AC199" s="4">
        <v>4</v>
      </c>
      <c r="AD199" s="4">
        <v>5</v>
      </c>
      <c r="AE199" s="4">
        <v>10</v>
      </c>
      <c r="AF199" s="4">
        <v>2</v>
      </c>
      <c r="AG199" s="4">
        <v>6</v>
      </c>
      <c r="AH199" s="4">
        <v>1</v>
      </c>
      <c r="AI199" s="4">
        <v>1</v>
      </c>
      <c r="AJ199" s="4">
        <v>2</v>
      </c>
      <c r="AK199" s="4">
        <v>4</v>
      </c>
      <c r="AL199" s="4">
        <v>2</v>
      </c>
      <c r="AM199" s="4">
        <v>3</v>
      </c>
      <c r="AN199" s="4">
        <v>0</v>
      </c>
      <c r="AO199" s="4">
        <v>0</v>
      </c>
      <c r="AP199" s="3" t="s">
        <v>58</v>
      </c>
      <c r="AQ199" s="3" t="s">
        <v>86</v>
      </c>
      <c r="AR199" s="6" t="str">
        <f>HYPERLINK("http://catalog.hathitrust.org/Record/002208739","HathiTrust Record")</f>
        <v>HathiTrust Record</v>
      </c>
      <c r="AS199" s="6" t="str">
        <f>HYPERLINK("https://creighton-primo.hosted.exlibrisgroup.com/primo-explore/search?tab=default_tab&amp;search_scope=EVERYTHING&amp;vid=01CRU&amp;lang=en_US&amp;offset=0&amp;query=any,contains,991001705599702656","Catalog Record")</f>
        <v>Catalog Record</v>
      </c>
      <c r="AT199" s="6" t="str">
        <f>HYPERLINK("http://www.worldcat.org/oclc/21561691","WorldCat Record")</f>
        <v>WorldCat Record</v>
      </c>
      <c r="AU199" s="3" t="s">
        <v>2734</v>
      </c>
      <c r="AV199" s="3" t="s">
        <v>2735</v>
      </c>
      <c r="AW199" s="3" t="s">
        <v>2736</v>
      </c>
      <c r="AX199" s="3" t="s">
        <v>2736</v>
      </c>
      <c r="AY199" s="3" t="s">
        <v>2737</v>
      </c>
      <c r="AZ199" s="3" t="s">
        <v>74</v>
      </c>
      <c r="BB199" s="3" t="s">
        <v>2738</v>
      </c>
      <c r="BC199" s="3" t="s">
        <v>2739</v>
      </c>
      <c r="BD199" s="3" t="s">
        <v>2740</v>
      </c>
    </row>
    <row r="200" spans="1:56" ht="42.75" customHeight="1" x14ac:dyDescent="0.25">
      <c r="A200" s="7" t="s">
        <v>58</v>
      </c>
      <c r="B200" s="2" t="s">
        <v>2741</v>
      </c>
      <c r="C200" s="2" t="s">
        <v>2742</v>
      </c>
      <c r="D200" s="2" t="s">
        <v>2743</v>
      </c>
      <c r="F200" s="3" t="s">
        <v>58</v>
      </c>
      <c r="G200" s="3" t="s">
        <v>59</v>
      </c>
      <c r="H200" s="3" t="s">
        <v>58</v>
      </c>
      <c r="I200" s="3" t="s">
        <v>58</v>
      </c>
      <c r="J200" s="3" t="s">
        <v>60</v>
      </c>
      <c r="K200" s="2" t="s">
        <v>2744</v>
      </c>
      <c r="L200" s="2" t="s">
        <v>2745</v>
      </c>
      <c r="M200" s="3" t="s">
        <v>586</v>
      </c>
      <c r="N200" s="2" t="s">
        <v>1844</v>
      </c>
      <c r="O200" s="3" t="s">
        <v>64</v>
      </c>
      <c r="P200" s="3" t="s">
        <v>83</v>
      </c>
      <c r="R200" s="3" t="s">
        <v>67</v>
      </c>
      <c r="S200" s="4">
        <v>5</v>
      </c>
      <c r="T200" s="4">
        <v>5</v>
      </c>
      <c r="U200" s="5" t="s">
        <v>455</v>
      </c>
      <c r="V200" s="5" t="s">
        <v>455</v>
      </c>
      <c r="W200" s="5" t="s">
        <v>2746</v>
      </c>
      <c r="X200" s="5" t="s">
        <v>2746</v>
      </c>
      <c r="Y200" s="4">
        <v>554</v>
      </c>
      <c r="Z200" s="4">
        <v>417</v>
      </c>
      <c r="AA200" s="4">
        <v>794</v>
      </c>
      <c r="AB200" s="4">
        <v>7</v>
      </c>
      <c r="AC200" s="4">
        <v>11</v>
      </c>
      <c r="AD200" s="4">
        <v>16</v>
      </c>
      <c r="AE200" s="4">
        <v>34</v>
      </c>
      <c r="AF200" s="4">
        <v>6</v>
      </c>
      <c r="AG200" s="4">
        <v>16</v>
      </c>
      <c r="AH200" s="4">
        <v>2</v>
      </c>
      <c r="AI200" s="4">
        <v>3</v>
      </c>
      <c r="AJ200" s="4">
        <v>3</v>
      </c>
      <c r="AK200" s="4">
        <v>12</v>
      </c>
      <c r="AL200" s="4">
        <v>6</v>
      </c>
      <c r="AM200" s="4">
        <v>10</v>
      </c>
      <c r="AN200" s="4">
        <v>0</v>
      </c>
      <c r="AO200" s="4">
        <v>0</v>
      </c>
      <c r="AP200" s="3" t="s">
        <v>58</v>
      </c>
      <c r="AQ200" s="3" t="s">
        <v>58</v>
      </c>
      <c r="AS200" s="6" t="str">
        <f>HYPERLINK("https://creighton-primo.hosted.exlibrisgroup.com/primo-explore/search?tab=default_tab&amp;search_scope=EVERYTHING&amp;vid=01CRU&amp;lang=en_US&amp;offset=0&amp;query=any,contains,991001720779702656","Catalog Record")</f>
        <v>Catalog Record</v>
      </c>
      <c r="AT200" s="6" t="str">
        <f>HYPERLINK("http://www.worldcat.org/oclc/21763518","WorldCat Record")</f>
        <v>WorldCat Record</v>
      </c>
      <c r="AU200" s="3" t="s">
        <v>2747</v>
      </c>
      <c r="AV200" s="3" t="s">
        <v>2748</v>
      </c>
      <c r="AW200" s="3" t="s">
        <v>2749</v>
      </c>
      <c r="AX200" s="3" t="s">
        <v>2749</v>
      </c>
      <c r="AY200" s="3" t="s">
        <v>2750</v>
      </c>
      <c r="AZ200" s="3" t="s">
        <v>74</v>
      </c>
      <c r="BB200" s="3" t="s">
        <v>2751</v>
      </c>
      <c r="BC200" s="3" t="s">
        <v>2752</v>
      </c>
      <c r="BD200" s="3" t="s">
        <v>2753</v>
      </c>
    </row>
    <row r="201" spans="1:56" ht="42.75" customHeight="1" x14ac:dyDescent="0.25">
      <c r="A201" s="7" t="s">
        <v>58</v>
      </c>
      <c r="B201" s="2" t="s">
        <v>2754</v>
      </c>
      <c r="C201" s="2" t="s">
        <v>2755</v>
      </c>
      <c r="D201" s="2" t="s">
        <v>2756</v>
      </c>
      <c r="F201" s="3" t="s">
        <v>58</v>
      </c>
      <c r="G201" s="3" t="s">
        <v>59</v>
      </c>
      <c r="H201" s="3" t="s">
        <v>58</v>
      </c>
      <c r="I201" s="3" t="s">
        <v>58</v>
      </c>
      <c r="J201" s="3" t="s">
        <v>60</v>
      </c>
      <c r="K201" s="2" t="s">
        <v>2384</v>
      </c>
      <c r="L201" s="2" t="s">
        <v>2411</v>
      </c>
      <c r="M201" s="3" t="s">
        <v>888</v>
      </c>
      <c r="O201" s="3" t="s">
        <v>64</v>
      </c>
      <c r="P201" s="3" t="s">
        <v>83</v>
      </c>
      <c r="R201" s="3" t="s">
        <v>67</v>
      </c>
      <c r="S201" s="4">
        <v>8</v>
      </c>
      <c r="T201" s="4">
        <v>8</v>
      </c>
      <c r="U201" s="5" t="s">
        <v>2757</v>
      </c>
      <c r="V201" s="5" t="s">
        <v>2757</v>
      </c>
      <c r="W201" s="5" t="s">
        <v>101</v>
      </c>
      <c r="X201" s="5" t="s">
        <v>101</v>
      </c>
      <c r="Y201" s="4">
        <v>497</v>
      </c>
      <c r="Z201" s="4">
        <v>364</v>
      </c>
      <c r="AA201" s="4">
        <v>368</v>
      </c>
      <c r="AB201" s="4">
        <v>3</v>
      </c>
      <c r="AC201" s="4">
        <v>3</v>
      </c>
      <c r="AD201" s="4">
        <v>11</v>
      </c>
      <c r="AE201" s="4">
        <v>11</v>
      </c>
      <c r="AF201" s="4">
        <v>6</v>
      </c>
      <c r="AG201" s="4">
        <v>6</v>
      </c>
      <c r="AH201" s="4">
        <v>3</v>
      </c>
      <c r="AI201" s="4">
        <v>3</v>
      </c>
      <c r="AJ201" s="4">
        <v>5</v>
      </c>
      <c r="AK201" s="4">
        <v>5</v>
      </c>
      <c r="AL201" s="4">
        <v>2</v>
      </c>
      <c r="AM201" s="4">
        <v>2</v>
      </c>
      <c r="AN201" s="4">
        <v>0</v>
      </c>
      <c r="AO201" s="4">
        <v>0</v>
      </c>
      <c r="AP201" s="3" t="s">
        <v>58</v>
      </c>
      <c r="AQ201" s="3" t="s">
        <v>86</v>
      </c>
      <c r="AR201" s="6" t="str">
        <f>HYPERLINK("http://catalog.hathitrust.org/Record/101985179","HathiTrust Record")</f>
        <v>HathiTrust Record</v>
      </c>
      <c r="AS201" s="6" t="str">
        <f>HYPERLINK("https://creighton-primo.hosted.exlibrisgroup.com/primo-explore/search?tab=default_tab&amp;search_scope=EVERYTHING&amp;vid=01CRU&amp;lang=en_US&amp;offset=0&amp;query=any,contains,991002802939702656","Catalog Record")</f>
        <v>Catalog Record</v>
      </c>
      <c r="AT201" s="6" t="str">
        <f>HYPERLINK("http://www.worldcat.org/oclc/36817290","WorldCat Record")</f>
        <v>WorldCat Record</v>
      </c>
      <c r="AU201" s="3" t="s">
        <v>2758</v>
      </c>
      <c r="AV201" s="3" t="s">
        <v>2759</v>
      </c>
      <c r="AW201" s="3" t="s">
        <v>2760</v>
      </c>
      <c r="AX201" s="3" t="s">
        <v>2760</v>
      </c>
      <c r="AY201" s="3" t="s">
        <v>2761</v>
      </c>
      <c r="AZ201" s="3" t="s">
        <v>74</v>
      </c>
      <c r="BB201" s="3" t="s">
        <v>2762</v>
      </c>
      <c r="BC201" s="3" t="s">
        <v>2763</v>
      </c>
      <c r="BD201" s="3" t="s">
        <v>2764</v>
      </c>
    </row>
    <row r="202" spans="1:56" ht="42.75" customHeight="1" x14ac:dyDescent="0.25">
      <c r="A202" s="7" t="s">
        <v>58</v>
      </c>
      <c r="B202" s="2" t="s">
        <v>2765</v>
      </c>
      <c r="C202" s="2" t="s">
        <v>2766</v>
      </c>
      <c r="D202" s="2" t="s">
        <v>2767</v>
      </c>
      <c r="F202" s="3" t="s">
        <v>58</v>
      </c>
      <c r="G202" s="3" t="s">
        <v>59</v>
      </c>
      <c r="H202" s="3" t="s">
        <v>58</v>
      </c>
      <c r="I202" s="3" t="s">
        <v>58</v>
      </c>
      <c r="J202" s="3" t="s">
        <v>60</v>
      </c>
      <c r="K202" s="2" t="s">
        <v>2768</v>
      </c>
      <c r="L202" s="2" t="s">
        <v>2769</v>
      </c>
      <c r="M202" s="3" t="s">
        <v>2770</v>
      </c>
      <c r="O202" s="3" t="s">
        <v>64</v>
      </c>
      <c r="P202" s="3" t="s">
        <v>83</v>
      </c>
      <c r="Q202" s="2" t="s">
        <v>2771</v>
      </c>
      <c r="R202" s="3" t="s">
        <v>67</v>
      </c>
      <c r="S202" s="4">
        <v>3</v>
      </c>
      <c r="T202" s="4">
        <v>3</v>
      </c>
      <c r="U202" s="5" t="s">
        <v>2772</v>
      </c>
      <c r="V202" s="5" t="s">
        <v>2772</v>
      </c>
      <c r="W202" s="5" t="s">
        <v>2773</v>
      </c>
      <c r="X202" s="5" t="s">
        <v>2773</v>
      </c>
      <c r="Y202" s="4">
        <v>316</v>
      </c>
      <c r="Z202" s="4">
        <v>276</v>
      </c>
      <c r="AA202" s="4">
        <v>285</v>
      </c>
      <c r="AB202" s="4">
        <v>5</v>
      </c>
      <c r="AC202" s="4">
        <v>5</v>
      </c>
      <c r="AD202" s="4">
        <v>11</v>
      </c>
      <c r="AE202" s="4">
        <v>11</v>
      </c>
      <c r="AF202" s="4">
        <v>4</v>
      </c>
      <c r="AG202" s="4">
        <v>4</v>
      </c>
      <c r="AH202" s="4">
        <v>1</v>
      </c>
      <c r="AI202" s="4">
        <v>1</v>
      </c>
      <c r="AJ202" s="4">
        <v>4</v>
      </c>
      <c r="AK202" s="4">
        <v>4</v>
      </c>
      <c r="AL202" s="4">
        <v>4</v>
      </c>
      <c r="AM202" s="4">
        <v>4</v>
      </c>
      <c r="AN202" s="4">
        <v>0</v>
      </c>
      <c r="AO202" s="4">
        <v>0</v>
      </c>
      <c r="AP202" s="3" t="s">
        <v>58</v>
      </c>
      <c r="AQ202" s="3" t="s">
        <v>86</v>
      </c>
      <c r="AR202" s="6" t="str">
        <f>HYPERLINK("http://catalog.hathitrust.org/Record/000130126","HathiTrust Record")</f>
        <v>HathiTrust Record</v>
      </c>
      <c r="AS202" s="6" t="str">
        <f>HYPERLINK("https://creighton-primo.hosted.exlibrisgroup.com/primo-explore/search?tab=default_tab&amp;search_scope=EVERYTHING&amp;vid=01CRU&amp;lang=en_US&amp;offset=0&amp;query=any,contains,991004198509702656","Catalog Record")</f>
        <v>Catalog Record</v>
      </c>
      <c r="AT202" s="6" t="str">
        <f>HYPERLINK("http://www.worldcat.org/oclc/2646158","WorldCat Record")</f>
        <v>WorldCat Record</v>
      </c>
      <c r="AU202" s="3" t="s">
        <v>2774</v>
      </c>
      <c r="AV202" s="3" t="s">
        <v>2775</v>
      </c>
      <c r="AW202" s="3" t="s">
        <v>2776</v>
      </c>
      <c r="AX202" s="3" t="s">
        <v>2776</v>
      </c>
      <c r="AY202" s="3" t="s">
        <v>2777</v>
      </c>
      <c r="AZ202" s="3" t="s">
        <v>74</v>
      </c>
      <c r="BB202" s="3" t="s">
        <v>2778</v>
      </c>
      <c r="BC202" s="3" t="s">
        <v>2779</v>
      </c>
      <c r="BD202" s="3" t="s">
        <v>2780</v>
      </c>
    </row>
    <row r="203" spans="1:56" ht="42.75" customHeight="1" x14ac:dyDescent="0.25">
      <c r="A203" s="7" t="s">
        <v>58</v>
      </c>
      <c r="B203" s="2" t="s">
        <v>2781</v>
      </c>
      <c r="C203" s="2" t="s">
        <v>2782</v>
      </c>
      <c r="D203" s="2" t="s">
        <v>2783</v>
      </c>
      <c r="F203" s="3" t="s">
        <v>58</v>
      </c>
      <c r="G203" s="3" t="s">
        <v>59</v>
      </c>
      <c r="H203" s="3" t="s">
        <v>58</v>
      </c>
      <c r="I203" s="3" t="s">
        <v>58</v>
      </c>
      <c r="J203" s="3" t="s">
        <v>60</v>
      </c>
      <c r="K203" s="2" t="s">
        <v>2784</v>
      </c>
      <c r="L203" s="2" t="s">
        <v>1975</v>
      </c>
      <c r="M203" s="3" t="s">
        <v>371</v>
      </c>
      <c r="O203" s="3" t="s">
        <v>64</v>
      </c>
      <c r="P203" s="3" t="s">
        <v>83</v>
      </c>
      <c r="R203" s="3" t="s">
        <v>67</v>
      </c>
      <c r="S203" s="4">
        <v>3</v>
      </c>
      <c r="T203" s="4">
        <v>3</v>
      </c>
      <c r="U203" s="5" t="s">
        <v>2785</v>
      </c>
      <c r="V203" s="5" t="s">
        <v>2785</v>
      </c>
      <c r="W203" s="5" t="s">
        <v>2065</v>
      </c>
      <c r="X203" s="5" t="s">
        <v>2065</v>
      </c>
      <c r="Y203" s="4">
        <v>489</v>
      </c>
      <c r="Z203" s="4">
        <v>393</v>
      </c>
      <c r="AA203" s="4">
        <v>398</v>
      </c>
      <c r="AB203" s="4">
        <v>6</v>
      </c>
      <c r="AC203" s="4">
        <v>6</v>
      </c>
      <c r="AD203" s="4">
        <v>14</v>
      </c>
      <c r="AE203" s="4">
        <v>14</v>
      </c>
      <c r="AF203" s="4">
        <v>4</v>
      </c>
      <c r="AG203" s="4">
        <v>4</v>
      </c>
      <c r="AH203" s="4">
        <v>3</v>
      </c>
      <c r="AI203" s="4">
        <v>3</v>
      </c>
      <c r="AJ203" s="4">
        <v>4</v>
      </c>
      <c r="AK203" s="4">
        <v>4</v>
      </c>
      <c r="AL203" s="4">
        <v>5</v>
      </c>
      <c r="AM203" s="4">
        <v>5</v>
      </c>
      <c r="AN203" s="4">
        <v>0</v>
      </c>
      <c r="AO203" s="4">
        <v>0</v>
      </c>
      <c r="AP203" s="3" t="s">
        <v>58</v>
      </c>
      <c r="AQ203" s="3" t="s">
        <v>58</v>
      </c>
      <c r="AS203" s="6" t="str">
        <f>HYPERLINK("https://creighton-primo.hosted.exlibrisgroup.com/primo-explore/search?tab=default_tab&amp;search_scope=EVERYTHING&amp;vid=01CRU&amp;lang=en_US&amp;offset=0&amp;query=any,contains,991000710669702656","Catalog Record")</f>
        <v>Catalog Record</v>
      </c>
      <c r="AT203" s="6" t="str">
        <f>HYPERLINK("http://www.worldcat.org/oclc/12582712","WorldCat Record")</f>
        <v>WorldCat Record</v>
      </c>
      <c r="AU203" s="3" t="s">
        <v>2786</v>
      </c>
      <c r="AV203" s="3" t="s">
        <v>2787</v>
      </c>
      <c r="AW203" s="3" t="s">
        <v>2788</v>
      </c>
      <c r="AX203" s="3" t="s">
        <v>2788</v>
      </c>
      <c r="AY203" s="3" t="s">
        <v>2789</v>
      </c>
      <c r="AZ203" s="3" t="s">
        <v>74</v>
      </c>
      <c r="BB203" s="3" t="s">
        <v>2790</v>
      </c>
      <c r="BC203" s="3" t="s">
        <v>2791</v>
      </c>
      <c r="BD203" s="3" t="s">
        <v>2792</v>
      </c>
    </row>
    <row r="204" spans="1:56" ht="42.75" customHeight="1" x14ac:dyDescent="0.25">
      <c r="A204" s="7" t="s">
        <v>58</v>
      </c>
      <c r="B204" s="2" t="s">
        <v>2793</v>
      </c>
      <c r="C204" s="2" t="s">
        <v>2794</v>
      </c>
      <c r="D204" s="2" t="s">
        <v>2795</v>
      </c>
      <c r="F204" s="3" t="s">
        <v>58</v>
      </c>
      <c r="G204" s="3" t="s">
        <v>59</v>
      </c>
      <c r="H204" s="3" t="s">
        <v>58</v>
      </c>
      <c r="I204" s="3" t="s">
        <v>58</v>
      </c>
      <c r="J204" s="3" t="s">
        <v>60</v>
      </c>
      <c r="K204" s="2" t="s">
        <v>2796</v>
      </c>
      <c r="L204" s="2" t="s">
        <v>2797</v>
      </c>
      <c r="M204" s="3" t="s">
        <v>144</v>
      </c>
      <c r="O204" s="3" t="s">
        <v>64</v>
      </c>
      <c r="P204" s="3" t="s">
        <v>83</v>
      </c>
      <c r="R204" s="3" t="s">
        <v>67</v>
      </c>
      <c r="S204" s="4">
        <v>7</v>
      </c>
      <c r="T204" s="4">
        <v>7</v>
      </c>
      <c r="U204" s="5" t="s">
        <v>2798</v>
      </c>
      <c r="V204" s="5" t="s">
        <v>2798</v>
      </c>
      <c r="W204" s="5" t="s">
        <v>2799</v>
      </c>
      <c r="X204" s="5" t="s">
        <v>2799</v>
      </c>
      <c r="Y204" s="4">
        <v>651</v>
      </c>
      <c r="Z204" s="4">
        <v>541</v>
      </c>
      <c r="AA204" s="4">
        <v>546</v>
      </c>
      <c r="AB204" s="4">
        <v>6</v>
      </c>
      <c r="AC204" s="4">
        <v>6</v>
      </c>
      <c r="AD204" s="4">
        <v>24</v>
      </c>
      <c r="AE204" s="4">
        <v>24</v>
      </c>
      <c r="AF204" s="4">
        <v>9</v>
      </c>
      <c r="AG204" s="4">
        <v>9</v>
      </c>
      <c r="AH204" s="4">
        <v>4</v>
      </c>
      <c r="AI204" s="4">
        <v>4</v>
      </c>
      <c r="AJ204" s="4">
        <v>12</v>
      </c>
      <c r="AK204" s="4">
        <v>12</v>
      </c>
      <c r="AL204" s="4">
        <v>5</v>
      </c>
      <c r="AM204" s="4">
        <v>5</v>
      </c>
      <c r="AN204" s="4">
        <v>0</v>
      </c>
      <c r="AO204" s="4">
        <v>0</v>
      </c>
      <c r="AP204" s="3" t="s">
        <v>58</v>
      </c>
      <c r="AQ204" s="3" t="s">
        <v>86</v>
      </c>
      <c r="AR204" s="6" t="str">
        <f>HYPERLINK("http://catalog.hathitrust.org/Record/003156151","HathiTrust Record")</f>
        <v>HathiTrust Record</v>
      </c>
      <c r="AS204" s="6" t="str">
        <f>HYPERLINK("https://creighton-primo.hosted.exlibrisgroup.com/primo-explore/search?tab=default_tab&amp;search_scope=EVERYTHING&amp;vid=01CRU&amp;lang=en_US&amp;offset=0&amp;query=any,contains,991002735669702656","Catalog Record")</f>
        <v>Catalog Record</v>
      </c>
      <c r="AT204" s="6" t="str">
        <f>HYPERLINK("http://www.worldcat.org/oclc/35910391","WorldCat Record")</f>
        <v>WorldCat Record</v>
      </c>
      <c r="AU204" s="3" t="s">
        <v>2800</v>
      </c>
      <c r="AV204" s="3" t="s">
        <v>2801</v>
      </c>
      <c r="AW204" s="3" t="s">
        <v>2802</v>
      </c>
      <c r="AX204" s="3" t="s">
        <v>2802</v>
      </c>
      <c r="AY204" s="3" t="s">
        <v>2803</v>
      </c>
      <c r="AZ204" s="3" t="s">
        <v>74</v>
      </c>
      <c r="BB204" s="3" t="s">
        <v>2804</v>
      </c>
      <c r="BC204" s="3" t="s">
        <v>2805</v>
      </c>
      <c r="BD204" s="3" t="s">
        <v>2806</v>
      </c>
    </row>
    <row r="205" spans="1:56" ht="42.75" customHeight="1" x14ac:dyDescent="0.25">
      <c r="A205" s="7" t="s">
        <v>58</v>
      </c>
      <c r="B205" s="2" t="s">
        <v>2807</v>
      </c>
      <c r="C205" s="2" t="s">
        <v>2808</v>
      </c>
      <c r="D205" s="2" t="s">
        <v>2809</v>
      </c>
      <c r="F205" s="3" t="s">
        <v>58</v>
      </c>
      <c r="G205" s="3" t="s">
        <v>59</v>
      </c>
      <c r="H205" s="3" t="s">
        <v>58</v>
      </c>
      <c r="I205" s="3" t="s">
        <v>58</v>
      </c>
      <c r="J205" s="3" t="s">
        <v>60</v>
      </c>
      <c r="K205" s="2" t="s">
        <v>2810</v>
      </c>
      <c r="L205" s="2" t="s">
        <v>2811</v>
      </c>
      <c r="M205" s="3" t="s">
        <v>1574</v>
      </c>
      <c r="O205" s="3" t="s">
        <v>64</v>
      </c>
      <c r="P205" s="3" t="s">
        <v>316</v>
      </c>
      <c r="R205" s="3" t="s">
        <v>67</v>
      </c>
      <c r="S205" s="4">
        <v>10</v>
      </c>
      <c r="T205" s="4">
        <v>10</v>
      </c>
      <c r="U205" s="5" t="s">
        <v>2812</v>
      </c>
      <c r="V205" s="5" t="s">
        <v>2812</v>
      </c>
      <c r="W205" s="5" t="s">
        <v>2813</v>
      </c>
      <c r="X205" s="5" t="s">
        <v>2813</v>
      </c>
      <c r="Y205" s="4">
        <v>420</v>
      </c>
      <c r="Z205" s="4">
        <v>398</v>
      </c>
      <c r="AA205" s="4">
        <v>413</v>
      </c>
      <c r="AB205" s="4">
        <v>2</v>
      </c>
      <c r="AC205" s="4">
        <v>2</v>
      </c>
      <c r="AD205" s="4">
        <v>8</v>
      </c>
      <c r="AE205" s="4">
        <v>8</v>
      </c>
      <c r="AF205" s="4">
        <v>5</v>
      </c>
      <c r="AG205" s="4">
        <v>5</v>
      </c>
      <c r="AH205" s="4">
        <v>1</v>
      </c>
      <c r="AI205" s="4">
        <v>1</v>
      </c>
      <c r="AJ205" s="4">
        <v>2</v>
      </c>
      <c r="AK205" s="4">
        <v>2</v>
      </c>
      <c r="AL205" s="4">
        <v>1</v>
      </c>
      <c r="AM205" s="4">
        <v>1</v>
      </c>
      <c r="AN205" s="4">
        <v>0</v>
      </c>
      <c r="AO205" s="4">
        <v>0</v>
      </c>
      <c r="AP205" s="3" t="s">
        <v>58</v>
      </c>
      <c r="AQ205" s="3" t="s">
        <v>86</v>
      </c>
      <c r="AR205" s="6" t="str">
        <f>HYPERLINK("http://catalog.hathitrust.org/Record/102653994","HathiTrust Record")</f>
        <v>HathiTrust Record</v>
      </c>
      <c r="AS205" s="6" t="str">
        <f>HYPERLINK("https://creighton-primo.hosted.exlibrisgroup.com/primo-explore/search?tab=default_tab&amp;search_scope=EVERYTHING&amp;vid=01CRU&amp;lang=en_US&amp;offset=0&amp;query=any,contains,991000047549702656","Catalog Record")</f>
        <v>Catalog Record</v>
      </c>
      <c r="AT205" s="6" t="str">
        <f>HYPERLINK("http://www.worldcat.org/oclc/8670121","WorldCat Record")</f>
        <v>WorldCat Record</v>
      </c>
      <c r="AU205" s="3" t="s">
        <v>2814</v>
      </c>
      <c r="AV205" s="3" t="s">
        <v>2815</v>
      </c>
      <c r="AW205" s="3" t="s">
        <v>2816</v>
      </c>
      <c r="AX205" s="3" t="s">
        <v>2816</v>
      </c>
      <c r="AY205" s="3" t="s">
        <v>2817</v>
      </c>
      <c r="AZ205" s="3" t="s">
        <v>74</v>
      </c>
      <c r="BB205" s="3" t="s">
        <v>2818</v>
      </c>
      <c r="BC205" s="3" t="s">
        <v>2819</v>
      </c>
      <c r="BD205" s="3" t="s">
        <v>2820</v>
      </c>
    </row>
    <row r="206" spans="1:56" ht="42.75" customHeight="1" x14ac:dyDescent="0.25">
      <c r="A206" s="7" t="s">
        <v>58</v>
      </c>
      <c r="B206" s="2" t="s">
        <v>2821</v>
      </c>
      <c r="C206" s="2" t="s">
        <v>2822</v>
      </c>
      <c r="D206" s="2" t="s">
        <v>2823</v>
      </c>
      <c r="E206" s="3" t="s">
        <v>2824</v>
      </c>
      <c r="F206" s="3" t="s">
        <v>86</v>
      </c>
      <c r="G206" s="3" t="s">
        <v>59</v>
      </c>
      <c r="H206" s="3" t="s">
        <v>86</v>
      </c>
      <c r="I206" s="3" t="s">
        <v>58</v>
      </c>
      <c r="J206" s="3" t="s">
        <v>60</v>
      </c>
      <c r="L206" s="2" t="s">
        <v>2825</v>
      </c>
      <c r="M206" s="3" t="s">
        <v>1574</v>
      </c>
      <c r="O206" s="3" t="s">
        <v>64</v>
      </c>
      <c r="P206" s="3" t="s">
        <v>115</v>
      </c>
      <c r="Q206" s="2" t="s">
        <v>2826</v>
      </c>
      <c r="R206" s="3" t="s">
        <v>67</v>
      </c>
      <c r="S206" s="4">
        <v>9</v>
      </c>
      <c r="T206" s="4">
        <v>11</v>
      </c>
      <c r="U206" s="5" t="s">
        <v>2812</v>
      </c>
      <c r="V206" s="5" t="s">
        <v>2812</v>
      </c>
      <c r="W206" s="5" t="s">
        <v>2827</v>
      </c>
      <c r="X206" s="5" t="s">
        <v>2827</v>
      </c>
      <c r="Y206" s="4">
        <v>300</v>
      </c>
      <c r="Z206" s="4">
        <v>245</v>
      </c>
      <c r="AA206" s="4">
        <v>266</v>
      </c>
      <c r="AB206" s="4">
        <v>3</v>
      </c>
      <c r="AC206" s="4">
        <v>3</v>
      </c>
      <c r="AD206" s="4">
        <v>7</v>
      </c>
      <c r="AE206" s="4">
        <v>7</v>
      </c>
      <c r="AF206" s="4">
        <v>2</v>
      </c>
      <c r="AG206" s="4">
        <v>2</v>
      </c>
      <c r="AH206" s="4">
        <v>1</v>
      </c>
      <c r="AI206" s="4">
        <v>1</v>
      </c>
      <c r="AJ206" s="4">
        <v>5</v>
      </c>
      <c r="AK206" s="4">
        <v>5</v>
      </c>
      <c r="AL206" s="4">
        <v>1</v>
      </c>
      <c r="AM206" s="4">
        <v>1</v>
      </c>
      <c r="AN206" s="4">
        <v>0</v>
      </c>
      <c r="AO206" s="4">
        <v>0</v>
      </c>
      <c r="AP206" s="3" t="s">
        <v>58</v>
      </c>
      <c r="AQ206" s="3" t="s">
        <v>86</v>
      </c>
      <c r="AR206" s="6" t="str">
        <f>HYPERLINK("http://catalog.hathitrust.org/Record/000269044","HathiTrust Record")</f>
        <v>HathiTrust Record</v>
      </c>
      <c r="AS206" s="6" t="str">
        <f>HYPERLINK("https://creighton-primo.hosted.exlibrisgroup.com/primo-explore/search?tab=default_tab&amp;search_scope=EVERYTHING&amp;vid=01CRU&amp;lang=en_US&amp;offset=0&amp;query=any,contains,991001779759702656","Catalog Record")</f>
        <v>Catalog Record</v>
      </c>
      <c r="AT206" s="6" t="str">
        <f>HYPERLINK("http://www.worldcat.org/oclc/8689752","WorldCat Record")</f>
        <v>WorldCat Record</v>
      </c>
      <c r="AU206" s="3" t="s">
        <v>2828</v>
      </c>
      <c r="AV206" s="3" t="s">
        <v>2829</v>
      </c>
      <c r="AW206" s="3" t="s">
        <v>2830</v>
      </c>
      <c r="AX206" s="3" t="s">
        <v>2830</v>
      </c>
      <c r="AY206" s="3" t="s">
        <v>2831</v>
      </c>
      <c r="AZ206" s="3" t="s">
        <v>74</v>
      </c>
      <c r="BB206" s="3" t="s">
        <v>2832</v>
      </c>
      <c r="BC206" s="3" t="s">
        <v>2833</v>
      </c>
      <c r="BD206" s="3" t="s">
        <v>2834</v>
      </c>
    </row>
    <row r="207" spans="1:56" ht="42.75" customHeight="1" x14ac:dyDescent="0.25">
      <c r="A207" s="7" t="s">
        <v>58</v>
      </c>
      <c r="B207" s="2" t="s">
        <v>2835</v>
      </c>
      <c r="C207" s="2" t="s">
        <v>2836</v>
      </c>
      <c r="D207" s="2" t="s">
        <v>2837</v>
      </c>
      <c r="F207" s="3" t="s">
        <v>58</v>
      </c>
      <c r="G207" s="3" t="s">
        <v>59</v>
      </c>
      <c r="H207" s="3" t="s">
        <v>58</v>
      </c>
      <c r="I207" s="3" t="s">
        <v>58</v>
      </c>
      <c r="J207" s="3" t="s">
        <v>60</v>
      </c>
      <c r="K207" s="2" t="s">
        <v>2838</v>
      </c>
      <c r="L207" s="2" t="s">
        <v>2839</v>
      </c>
      <c r="M207" s="3" t="s">
        <v>2770</v>
      </c>
      <c r="O207" s="3" t="s">
        <v>64</v>
      </c>
      <c r="P207" s="3" t="s">
        <v>115</v>
      </c>
      <c r="R207" s="3" t="s">
        <v>67</v>
      </c>
      <c r="S207" s="4">
        <v>14</v>
      </c>
      <c r="T207" s="4">
        <v>14</v>
      </c>
      <c r="U207" s="5" t="s">
        <v>317</v>
      </c>
      <c r="V207" s="5" t="s">
        <v>317</v>
      </c>
      <c r="W207" s="5" t="s">
        <v>2840</v>
      </c>
      <c r="X207" s="5" t="s">
        <v>2840</v>
      </c>
      <c r="Y207" s="4">
        <v>619</v>
      </c>
      <c r="Z207" s="4">
        <v>587</v>
      </c>
      <c r="AA207" s="4">
        <v>739</v>
      </c>
      <c r="AB207" s="4">
        <v>3</v>
      </c>
      <c r="AC207" s="4">
        <v>5</v>
      </c>
      <c r="AD207" s="4">
        <v>16</v>
      </c>
      <c r="AE207" s="4">
        <v>20</v>
      </c>
      <c r="AF207" s="4">
        <v>9</v>
      </c>
      <c r="AG207" s="4">
        <v>9</v>
      </c>
      <c r="AH207" s="4">
        <v>5</v>
      </c>
      <c r="AI207" s="4">
        <v>5</v>
      </c>
      <c r="AJ207" s="4">
        <v>7</v>
      </c>
      <c r="AK207" s="4">
        <v>9</v>
      </c>
      <c r="AL207" s="4">
        <v>2</v>
      </c>
      <c r="AM207" s="4">
        <v>4</v>
      </c>
      <c r="AN207" s="4">
        <v>0</v>
      </c>
      <c r="AO207" s="4">
        <v>0</v>
      </c>
      <c r="AP207" s="3" t="s">
        <v>58</v>
      </c>
      <c r="AQ207" s="3" t="s">
        <v>86</v>
      </c>
      <c r="AR207" s="6" t="str">
        <f>HYPERLINK("http://catalog.hathitrust.org/Record/000210514","HathiTrust Record")</f>
        <v>HathiTrust Record</v>
      </c>
      <c r="AS207" s="6" t="str">
        <f>HYPERLINK("https://creighton-primo.hosted.exlibrisgroup.com/primo-explore/search?tab=default_tab&amp;search_scope=EVERYTHING&amp;vid=01CRU&amp;lang=en_US&amp;offset=0&amp;query=any,contains,991004253089702656","Catalog Record")</f>
        <v>Catalog Record</v>
      </c>
      <c r="AT207" s="6" t="str">
        <f>HYPERLINK("http://www.worldcat.org/oclc/2818246","WorldCat Record")</f>
        <v>WorldCat Record</v>
      </c>
      <c r="AU207" s="3" t="s">
        <v>2841</v>
      </c>
      <c r="AV207" s="3" t="s">
        <v>2842</v>
      </c>
      <c r="AW207" s="3" t="s">
        <v>2843</v>
      </c>
      <c r="AX207" s="3" t="s">
        <v>2843</v>
      </c>
      <c r="AY207" s="3" t="s">
        <v>2844</v>
      </c>
      <c r="AZ207" s="3" t="s">
        <v>74</v>
      </c>
      <c r="BB207" s="3" t="s">
        <v>2845</v>
      </c>
      <c r="BC207" s="3" t="s">
        <v>2846</v>
      </c>
      <c r="BD207" s="3" t="s">
        <v>2847</v>
      </c>
    </row>
    <row r="208" spans="1:56" ht="42.75" customHeight="1" x14ac:dyDescent="0.25">
      <c r="A208" s="7" t="s">
        <v>58</v>
      </c>
      <c r="B208" s="2" t="s">
        <v>2848</v>
      </c>
      <c r="C208" s="2" t="s">
        <v>2849</v>
      </c>
      <c r="D208" s="2" t="s">
        <v>2850</v>
      </c>
      <c r="F208" s="3" t="s">
        <v>58</v>
      </c>
      <c r="G208" s="3" t="s">
        <v>59</v>
      </c>
      <c r="H208" s="3" t="s">
        <v>58</v>
      </c>
      <c r="I208" s="3" t="s">
        <v>58</v>
      </c>
      <c r="J208" s="3" t="s">
        <v>60</v>
      </c>
      <c r="K208" s="2" t="s">
        <v>2851</v>
      </c>
      <c r="L208" s="2" t="s">
        <v>2852</v>
      </c>
      <c r="M208" s="3" t="s">
        <v>2853</v>
      </c>
      <c r="O208" s="3" t="s">
        <v>64</v>
      </c>
      <c r="P208" s="3" t="s">
        <v>2854</v>
      </c>
      <c r="R208" s="3" t="s">
        <v>67</v>
      </c>
      <c r="S208" s="4">
        <v>5</v>
      </c>
      <c r="T208" s="4">
        <v>5</v>
      </c>
      <c r="U208" s="5" t="s">
        <v>1011</v>
      </c>
      <c r="V208" s="5" t="s">
        <v>1011</v>
      </c>
      <c r="W208" s="5" t="s">
        <v>2855</v>
      </c>
      <c r="X208" s="5" t="s">
        <v>2855</v>
      </c>
      <c r="Y208" s="4">
        <v>221</v>
      </c>
      <c r="Z208" s="4">
        <v>217</v>
      </c>
      <c r="AA208" s="4">
        <v>256</v>
      </c>
      <c r="AB208" s="4">
        <v>1</v>
      </c>
      <c r="AC208" s="4">
        <v>1</v>
      </c>
      <c r="AD208" s="4">
        <v>4</v>
      </c>
      <c r="AE208" s="4">
        <v>5</v>
      </c>
      <c r="AF208" s="4">
        <v>2</v>
      </c>
      <c r="AG208" s="4">
        <v>3</v>
      </c>
      <c r="AH208" s="4">
        <v>0</v>
      </c>
      <c r="AI208" s="4">
        <v>0</v>
      </c>
      <c r="AJ208" s="4">
        <v>3</v>
      </c>
      <c r="AK208" s="4">
        <v>3</v>
      </c>
      <c r="AL208" s="4">
        <v>0</v>
      </c>
      <c r="AM208" s="4">
        <v>0</v>
      </c>
      <c r="AN208" s="4">
        <v>0</v>
      </c>
      <c r="AO208" s="4">
        <v>0</v>
      </c>
      <c r="AP208" s="3" t="s">
        <v>58</v>
      </c>
      <c r="AQ208" s="3" t="s">
        <v>86</v>
      </c>
      <c r="AR208" s="6" t="str">
        <f>HYPERLINK("http://catalog.hathitrust.org/Record/001562194","HathiTrust Record")</f>
        <v>HathiTrust Record</v>
      </c>
      <c r="AS208" s="6" t="str">
        <f>HYPERLINK("https://creighton-primo.hosted.exlibrisgroup.com/primo-explore/search?tab=default_tab&amp;search_scope=EVERYTHING&amp;vid=01CRU&amp;lang=en_US&amp;offset=0&amp;query=any,contains,991002928779702656","Catalog Record")</f>
        <v>Catalog Record</v>
      </c>
      <c r="AT208" s="6" t="str">
        <f>HYPERLINK("http://www.worldcat.org/oclc/530097","WorldCat Record")</f>
        <v>WorldCat Record</v>
      </c>
      <c r="AU208" s="3" t="s">
        <v>2856</v>
      </c>
      <c r="AV208" s="3" t="s">
        <v>2857</v>
      </c>
      <c r="AW208" s="3" t="s">
        <v>2858</v>
      </c>
      <c r="AX208" s="3" t="s">
        <v>2858</v>
      </c>
      <c r="AY208" s="3" t="s">
        <v>2859</v>
      </c>
      <c r="AZ208" s="3" t="s">
        <v>74</v>
      </c>
      <c r="BC208" s="3" t="s">
        <v>2860</v>
      </c>
      <c r="BD208" s="3" t="s">
        <v>2861</v>
      </c>
    </row>
    <row r="209" spans="1:56" ht="42.75" customHeight="1" x14ac:dyDescent="0.25">
      <c r="A209" s="7" t="s">
        <v>58</v>
      </c>
      <c r="B209" s="2" t="s">
        <v>2862</v>
      </c>
      <c r="C209" s="2" t="s">
        <v>2863</v>
      </c>
      <c r="D209" s="2" t="s">
        <v>2864</v>
      </c>
      <c r="F209" s="3" t="s">
        <v>58</v>
      </c>
      <c r="G209" s="3" t="s">
        <v>59</v>
      </c>
      <c r="H209" s="3" t="s">
        <v>58</v>
      </c>
      <c r="I209" s="3" t="s">
        <v>58</v>
      </c>
      <c r="J209" s="3" t="s">
        <v>60</v>
      </c>
      <c r="K209" s="2" t="s">
        <v>2865</v>
      </c>
      <c r="L209" s="2" t="s">
        <v>2866</v>
      </c>
      <c r="M209" s="3" t="s">
        <v>2770</v>
      </c>
      <c r="O209" s="3" t="s">
        <v>64</v>
      </c>
      <c r="P209" s="3" t="s">
        <v>65</v>
      </c>
      <c r="R209" s="3" t="s">
        <v>67</v>
      </c>
      <c r="S209" s="4">
        <v>8</v>
      </c>
      <c r="T209" s="4">
        <v>8</v>
      </c>
      <c r="U209" s="5" t="s">
        <v>1011</v>
      </c>
      <c r="V209" s="5" t="s">
        <v>1011</v>
      </c>
      <c r="W209" s="5" t="s">
        <v>2840</v>
      </c>
      <c r="X209" s="5" t="s">
        <v>2840</v>
      </c>
      <c r="Y209" s="4">
        <v>433</v>
      </c>
      <c r="Z209" s="4">
        <v>302</v>
      </c>
      <c r="AA209" s="4">
        <v>350</v>
      </c>
      <c r="AB209" s="4">
        <v>2</v>
      </c>
      <c r="AC209" s="4">
        <v>2</v>
      </c>
      <c r="AD209" s="4">
        <v>11</v>
      </c>
      <c r="AE209" s="4">
        <v>12</v>
      </c>
      <c r="AF209" s="4">
        <v>2</v>
      </c>
      <c r="AG209" s="4">
        <v>2</v>
      </c>
      <c r="AH209" s="4">
        <v>3</v>
      </c>
      <c r="AI209" s="4">
        <v>4</v>
      </c>
      <c r="AJ209" s="4">
        <v>7</v>
      </c>
      <c r="AK209" s="4">
        <v>8</v>
      </c>
      <c r="AL209" s="4">
        <v>1</v>
      </c>
      <c r="AM209" s="4">
        <v>1</v>
      </c>
      <c r="AN209" s="4">
        <v>0</v>
      </c>
      <c r="AO209" s="4">
        <v>0</v>
      </c>
      <c r="AP209" s="3" t="s">
        <v>58</v>
      </c>
      <c r="AQ209" s="3" t="s">
        <v>86</v>
      </c>
      <c r="AR209" s="6" t="str">
        <f>HYPERLINK("http://catalog.hathitrust.org/Record/000173177","HathiTrust Record")</f>
        <v>HathiTrust Record</v>
      </c>
      <c r="AS209" s="6" t="str">
        <f>HYPERLINK("https://creighton-primo.hosted.exlibrisgroup.com/primo-explore/search?tab=default_tab&amp;search_scope=EVERYTHING&amp;vid=01CRU&amp;lang=en_US&amp;offset=0&amp;query=any,contains,991004244079702656","Catalog Record")</f>
        <v>Catalog Record</v>
      </c>
      <c r="AT209" s="6" t="str">
        <f>HYPERLINK("http://www.worldcat.org/oclc/2797764","WorldCat Record")</f>
        <v>WorldCat Record</v>
      </c>
      <c r="AU209" s="3" t="s">
        <v>2867</v>
      </c>
      <c r="AV209" s="3" t="s">
        <v>2868</v>
      </c>
      <c r="AW209" s="3" t="s">
        <v>2869</v>
      </c>
      <c r="AX209" s="3" t="s">
        <v>2869</v>
      </c>
      <c r="AY209" s="3" t="s">
        <v>2870</v>
      </c>
      <c r="AZ209" s="3" t="s">
        <v>74</v>
      </c>
      <c r="BB209" s="3" t="s">
        <v>2871</v>
      </c>
      <c r="BC209" s="3" t="s">
        <v>2872</v>
      </c>
      <c r="BD209" s="3" t="s">
        <v>2873</v>
      </c>
    </row>
    <row r="210" spans="1:56" ht="42.75" customHeight="1" x14ac:dyDescent="0.25">
      <c r="A210" s="7" t="s">
        <v>58</v>
      </c>
      <c r="B210" s="2" t="s">
        <v>2874</v>
      </c>
      <c r="C210" s="2" t="s">
        <v>2875</v>
      </c>
      <c r="D210" s="2" t="s">
        <v>2876</v>
      </c>
      <c r="F210" s="3" t="s">
        <v>58</v>
      </c>
      <c r="G210" s="3" t="s">
        <v>59</v>
      </c>
      <c r="H210" s="3" t="s">
        <v>58</v>
      </c>
      <c r="I210" s="3" t="s">
        <v>58</v>
      </c>
      <c r="J210" s="3" t="s">
        <v>60</v>
      </c>
      <c r="K210" s="2" t="s">
        <v>2877</v>
      </c>
      <c r="L210" s="2" t="s">
        <v>2878</v>
      </c>
      <c r="M210" s="3" t="s">
        <v>223</v>
      </c>
      <c r="O210" s="3" t="s">
        <v>64</v>
      </c>
      <c r="P210" s="3" t="s">
        <v>115</v>
      </c>
      <c r="R210" s="3" t="s">
        <v>67</v>
      </c>
      <c r="S210" s="4">
        <v>18</v>
      </c>
      <c r="T210" s="4">
        <v>18</v>
      </c>
      <c r="U210" s="5" t="s">
        <v>2879</v>
      </c>
      <c r="V210" s="5" t="s">
        <v>2879</v>
      </c>
      <c r="W210" s="5" t="s">
        <v>2880</v>
      </c>
      <c r="X210" s="5" t="s">
        <v>2880</v>
      </c>
      <c r="Y210" s="4">
        <v>550</v>
      </c>
      <c r="Z210" s="4">
        <v>520</v>
      </c>
      <c r="AA210" s="4">
        <v>525</v>
      </c>
      <c r="AB210" s="4">
        <v>3</v>
      </c>
      <c r="AC210" s="4">
        <v>3</v>
      </c>
      <c r="AD210" s="4">
        <v>9</v>
      </c>
      <c r="AE210" s="4">
        <v>9</v>
      </c>
      <c r="AF210" s="4">
        <v>5</v>
      </c>
      <c r="AG210" s="4">
        <v>5</v>
      </c>
      <c r="AH210" s="4">
        <v>0</v>
      </c>
      <c r="AI210" s="4">
        <v>0</v>
      </c>
      <c r="AJ210" s="4">
        <v>4</v>
      </c>
      <c r="AK210" s="4">
        <v>4</v>
      </c>
      <c r="AL210" s="4">
        <v>2</v>
      </c>
      <c r="AM210" s="4">
        <v>2</v>
      </c>
      <c r="AN210" s="4">
        <v>0</v>
      </c>
      <c r="AO210" s="4">
        <v>0</v>
      </c>
      <c r="AP210" s="3" t="s">
        <v>58</v>
      </c>
      <c r="AQ210" s="3" t="s">
        <v>58</v>
      </c>
      <c r="AS210" s="6" t="str">
        <f>HYPERLINK("https://creighton-primo.hosted.exlibrisgroup.com/primo-explore/search?tab=default_tab&amp;search_scope=EVERYTHING&amp;vid=01CRU&amp;lang=en_US&amp;offset=0&amp;query=any,contains,991004459889702656","Catalog Record")</f>
        <v>Catalog Record</v>
      </c>
      <c r="AT210" s="6" t="str">
        <f>HYPERLINK("http://www.worldcat.org/oclc/3542627","WorldCat Record")</f>
        <v>WorldCat Record</v>
      </c>
      <c r="AU210" s="3" t="s">
        <v>2881</v>
      </c>
      <c r="AV210" s="3" t="s">
        <v>2882</v>
      </c>
      <c r="AW210" s="3" t="s">
        <v>2883</v>
      </c>
      <c r="AX210" s="3" t="s">
        <v>2883</v>
      </c>
      <c r="AY210" s="3" t="s">
        <v>2884</v>
      </c>
      <c r="AZ210" s="3" t="s">
        <v>74</v>
      </c>
      <c r="BB210" s="3" t="s">
        <v>2885</v>
      </c>
      <c r="BC210" s="3" t="s">
        <v>2886</v>
      </c>
      <c r="BD210" s="3" t="s">
        <v>2887</v>
      </c>
    </row>
    <row r="211" spans="1:56" ht="42.75" customHeight="1" x14ac:dyDescent="0.25">
      <c r="A211" s="7" t="s">
        <v>58</v>
      </c>
      <c r="B211" s="2" t="s">
        <v>2888</v>
      </c>
      <c r="C211" s="2" t="s">
        <v>2889</v>
      </c>
      <c r="D211" s="2" t="s">
        <v>2890</v>
      </c>
      <c r="F211" s="3" t="s">
        <v>58</v>
      </c>
      <c r="G211" s="3" t="s">
        <v>59</v>
      </c>
      <c r="H211" s="3" t="s">
        <v>58</v>
      </c>
      <c r="I211" s="3" t="s">
        <v>58</v>
      </c>
      <c r="J211" s="3" t="s">
        <v>60</v>
      </c>
      <c r="K211" s="2" t="s">
        <v>2891</v>
      </c>
      <c r="L211" s="2" t="s">
        <v>2892</v>
      </c>
      <c r="M211" s="3" t="s">
        <v>344</v>
      </c>
      <c r="O211" s="3" t="s">
        <v>64</v>
      </c>
      <c r="P211" s="3" t="s">
        <v>2893</v>
      </c>
      <c r="Q211" s="2" t="s">
        <v>2894</v>
      </c>
      <c r="R211" s="3" t="s">
        <v>67</v>
      </c>
      <c r="S211" s="4">
        <v>15</v>
      </c>
      <c r="T211" s="4">
        <v>15</v>
      </c>
      <c r="U211" s="5" t="s">
        <v>2895</v>
      </c>
      <c r="V211" s="5" t="s">
        <v>2895</v>
      </c>
      <c r="W211" s="5" t="s">
        <v>210</v>
      </c>
      <c r="X211" s="5" t="s">
        <v>210</v>
      </c>
      <c r="Y211" s="4">
        <v>437</v>
      </c>
      <c r="Z211" s="4">
        <v>337</v>
      </c>
      <c r="AA211" s="4">
        <v>344</v>
      </c>
      <c r="AB211" s="4">
        <v>4</v>
      </c>
      <c r="AC211" s="4">
        <v>4</v>
      </c>
      <c r="AD211" s="4">
        <v>16</v>
      </c>
      <c r="AE211" s="4">
        <v>17</v>
      </c>
      <c r="AF211" s="4">
        <v>2</v>
      </c>
      <c r="AG211" s="4">
        <v>2</v>
      </c>
      <c r="AH211" s="4">
        <v>4</v>
      </c>
      <c r="AI211" s="4">
        <v>5</v>
      </c>
      <c r="AJ211" s="4">
        <v>9</v>
      </c>
      <c r="AK211" s="4">
        <v>10</v>
      </c>
      <c r="AL211" s="4">
        <v>3</v>
      </c>
      <c r="AM211" s="4">
        <v>3</v>
      </c>
      <c r="AN211" s="4">
        <v>0</v>
      </c>
      <c r="AO211" s="4">
        <v>0</v>
      </c>
      <c r="AP211" s="3" t="s">
        <v>58</v>
      </c>
      <c r="AQ211" s="3" t="s">
        <v>86</v>
      </c>
      <c r="AR211" s="6" t="str">
        <f>HYPERLINK("http://catalog.hathitrust.org/Record/000128335","HathiTrust Record")</f>
        <v>HathiTrust Record</v>
      </c>
      <c r="AS211" s="6" t="str">
        <f>HYPERLINK("https://creighton-primo.hosted.exlibrisgroup.com/primo-explore/search?tab=default_tab&amp;search_scope=EVERYTHING&amp;vid=01CRU&amp;lang=en_US&amp;offset=0&amp;query=any,contains,991005055329702656","Catalog Record")</f>
        <v>Catalog Record</v>
      </c>
      <c r="AT211" s="6" t="str">
        <f>HYPERLINK("http://www.worldcat.org/oclc/6891148","WorldCat Record")</f>
        <v>WorldCat Record</v>
      </c>
      <c r="AU211" s="3" t="s">
        <v>2896</v>
      </c>
      <c r="AV211" s="3" t="s">
        <v>2897</v>
      </c>
      <c r="AW211" s="3" t="s">
        <v>2898</v>
      </c>
      <c r="AX211" s="3" t="s">
        <v>2898</v>
      </c>
      <c r="AY211" s="3" t="s">
        <v>2899</v>
      </c>
      <c r="AZ211" s="3" t="s">
        <v>74</v>
      </c>
      <c r="BB211" s="3" t="s">
        <v>2900</v>
      </c>
      <c r="BC211" s="3" t="s">
        <v>2901</v>
      </c>
      <c r="BD211" s="3" t="s">
        <v>2902</v>
      </c>
    </row>
    <row r="212" spans="1:56" ht="42.75" customHeight="1" x14ac:dyDescent="0.25">
      <c r="A212" s="7" t="s">
        <v>58</v>
      </c>
      <c r="B212" s="2" t="s">
        <v>2903</v>
      </c>
      <c r="C212" s="2" t="s">
        <v>2904</v>
      </c>
      <c r="D212" s="2" t="s">
        <v>2905</v>
      </c>
      <c r="F212" s="3" t="s">
        <v>58</v>
      </c>
      <c r="G212" s="3" t="s">
        <v>59</v>
      </c>
      <c r="H212" s="3" t="s">
        <v>58</v>
      </c>
      <c r="I212" s="3" t="s">
        <v>58</v>
      </c>
      <c r="J212" s="3" t="s">
        <v>60</v>
      </c>
      <c r="K212" s="2" t="s">
        <v>2906</v>
      </c>
      <c r="M212" s="3" t="s">
        <v>2907</v>
      </c>
      <c r="O212" s="3" t="s">
        <v>64</v>
      </c>
      <c r="P212" s="3" t="s">
        <v>224</v>
      </c>
      <c r="R212" s="3" t="s">
        <v>67</v>
      </c>
      <c r="S212" s="4">
        <v>2</v>
      </c>
      <c r="T212" s="4">
        <v>2</v>
      </c>
      <c r="U212" s="5" t="s">
        <v>2908</v>
      </c>
      <c r="V212" s="5" t="s">
        <v>2908</v>
      </c>
      <c r="W212" s="5" t="s">
        <v>272</v>
      </c>
      <c r="X212" s="5" t="s">
        <v>272</v>
      </c>
      <c r="Y212" s="4">
        <v>95</v>
      </c>
      <c r="Z212" s="4">
        <v>90</v>
      </c>
      <c r="AA212" s="4">
        <v>96</v>
      </c>
      <c r="AB212" s="4">
        <v>1</v>
      </c>
      <c r="AC212" s="4">
        <v>1</v>
      </c>
      <c r="AD212" s="4">
        <v>1</v>
      </c>
      <c r="AE212" s="4">
        <v>1</v>
      </c>
      <c r="AF212" s="4">
        <v>0</v>
      </c>
      <c r="AG212" s="4">
        <v>0</v>
      </c>
      <c r="AH212" s="4">
        <v>0</v>
      </c>
      <c r="AI212" s="4">
        <v>0</v>
      </c>
      <c r="AJ212" s="4">
        <v>1</v>
      </c>
      <c r="AK212" s="4">
        <v>1</v>
      </c>
      <c r="AL212" s="4">
        <v>0</v>
      </c>
      <c r="AM212" s="4">
        <v>0</v>
      </c>
      <c r="AN212" s="4">
        <v>0</v>
      </c>
      <c r="AO212" s="4">
        <v>0</v>
      </c>
      <c r="AP212" s="3" t="s">
        <v>58</v>
      </c>
      <c r="AQ212" s="3" t="s">
        <v>58</v>
      </c>
      <c r="AS212" s="6" t="str">
        <f>HYPERLINK("https://creighton-primo.hosted.exlibrisgroup.com/primo-explore/search?tab=default_tab&amp;search_scope=EVERYTHING&amp;vid=01CRU&amp;lang=en_US&amp;offset=0&amp;query=any,contains,991004631829702656","Catalog Record")</f>
        <v>Catalog Record</v>
      </c>
      <c r="AT212" s="6" t="str">
        <f>HYPERLINK("http://www.worldcat.org/oclc/4378005","WorldCat Record")</f>
        <v>WorldCat Record</v>
      </c>
      <c r="AU212" s="3" t="s">
        <v>2909</v>
      </c>
      <c r="AV212" s="3" t="s">
        <v>2910</v>
      </c>
      <c r="AW212" s="3" t="s">
        <v>2911</v>
      </c>
      <c r="AX212" s="3" t="s">
        <v>2911</v>
      </c>
      <c r="AY212" s="3" t="s">
        <v>2912</v>
      </c>
      <c r="AZ212" s="3" t="s">
        <v>74</v>
      </c>
      <c r="BC212" s="3" t="s">
        <v>2913</v>
      </c>
      <c r="BD212" s="3" t="s">
        <v>2914</v>
      </c>
    </row>
    <row r="213" spans="1:56" ht="42.75" customHeight="1" x14ac:dyDescent="0.25">
      <c r="A213" s="7" t="s">
        <v>58</v>
      </c>
      <c r="B213" s="2" t="s">
        <v>2915</v>
      </c>
      <c r="C213" s="2" t="s">
        <v>2916</v>
      </c>
      <c r="D213" s="2" t="s">
        <v>2917</v>
      </c>
      <c r="F213" s="3" t="s">
        <v>58</v>
      </c>
      <c r="G213" s="3" t="s">
        <v>59</v>
      </c>
      <c r="H213" s="3" t="s">
        <v>58</v>
      </c>
      <c r="I213" s="3" t="s">
        <v>58</v>
      </c>
      <c r="J213" s="3" t="s">
        <v>60</v>
      </c>
      <c r="K213" s="2" t="s">
        <v>2918</v>
      </c>
      <c r="L213" s="2" t="s">
        <v>2919</v>
      </c>
      <c r="M213" s="3" t="s">
        <v>2920</v>
      </c>
      <c r="O213" s="3" t="s">
        <v>64</v>
      </c>
      <c r="P213" s="3" t="s">
        <v>115</v>
      </c>
      <c r="R213" s="3" t="s">
        <v>67</v>
      </c>
      <c r="S213" s="4">
        <v>2</v>
      </c>
      <c r="T213" s="4">
        <v>2</v>
      </c>
      <c r="U213" s="5" t="s">
        <v>2921</v>
      </c>
      <c r="V213" s="5" t="s">
        <v>2921</v>
      </c>
      <c r="W213" s="5" t="s">
        <v>2840</v>
      </c>
      <c r="X213" s="5" t="s">
        <v>2840</v>
      </c>
      <c r="Y213" s="4">
        <v>584</v>
      </c>
      <c r="Z213" s="4">
        <v>562</v>
      </c>
      <c r="AA213" s="4">
        <v>616</v>
      </c>
      <c r="AB213" s="4">
        <v>7</v>
      </c>
      <c r="AC213" s="4">
        <v>8</v>
      </c>
      <c r="AD213" s="4">
        <v>10</v>
      </c>
      <c r="AE213" s="4">
        <v>11</v>
      </c>
      <c r="AF213" s="4">
        <v>2</v>
      </c>
      <c r="AG213" s="4">
        <v>2</v>
      </c>
      <c r="AH213" s="4">
        <v>2</v>
      </c>
      <c r="AI213" s="4">
        <v>2</v>
      </c>
      <c r="AJ213" s="4">
        <v>2</v>
      </c>
      <c r="AK213" s="4">
        <v>2</v>
      </c>
      <c r="AL213" s="4">
        <v>5</v>
      </c>
      <c r="AM213" s="4">
        <v>6</v>
      </c>
      <c r="AN213" s="4">
        <v>0</v>
      </c>
      <c r="AO213" s="4">
        <v>0</v>
      </c>
      <c r="AP213" s="3" t="s">
        <v>58</v>
      </c>
      <c r="AQ213" s="3" t="s">
        <v>86</v>
      </c>
      <c r="AR213" s="6" t="str">
        <f>HYPERLINK("http://catalog.hathitrust.org/Record/006733196","HathiTrust Record")</f>
        <v>HathiTrust Record</v>
      </c>
      <c r="AS213" s="6" t="str">
        <f>HYPERLINK("https://creighton-primo.hosted.exlibrisgroup.com/primo-explore/search?tab=default_tab&amp;search_scope=EVERYTHING&amp;vid=01CRU&amp;lang=en_US&amp;offset=0&amp;query=any,contains,991003724949702656","Catalog Record")</f>
        <v>Catalog Record</v>
      </c>
      <c r="AT213" s="6" t="str">
        <f>HYPERLINK("http://www.worldcat.org/oclc/1371273","WorldCat Record")</f>
        <v>WorldCat Record</v>
      </c>
      <c r="AU213" s="3" t="s">
        <v>2922</v>
      </c>
      <c r="AV213" s="3" t="s">
        <v>2923</v>
      </c>
      <c r="AW213" s="3" t="s">
        <v>2924</v>
      </c>
      <c r="AX213" s="3" t="s">
        <v>2924</v>
      </c>
      <c r="AY213" s="3" t="s">
        <v>2925</v>
      </c>
      <c r="AZ213" s="3" t="s">
        <v>74</v>
      </c>
      <c r="BC213" s="3" t="s">
        <v>2926</v>
      </c>
      <c r="BD213" s="3" t="s">
        <v>2927</v>
      </c>
    </row>
    <row r="214" spans="1:56" ht="42.75" customHeight="1" x14ac:dyDescent="0.25">
      <c r="A214" s="7" t="s">
        <v>58</v>
      </c>
      <c r="B214" s="2" t="s">
        <v>2928</v>
      </c>
      <c r="C214" s="2" t="s">
        <v>2929</v>
      </c>
      <c r="D214" s="2" t="s">
        <v>2930</v>
      </c>
      <c r="F214" s="3" t="s">
        <v>58</v>
      </c>
      <c r="G214" s="3" t="s">
        <v>59</v>
      </c>
      <c r="H214" s="3" t="s">
        <v>58</v>
      </c>
      <c r="I214" s="3" t="s">
        <v>58</v>
      </c>
      <c r="J214" s="3" t="s">
        <v>60</v>
      </c>
      <c r="K214" s="2" t="s">
        <v>2931</v>
      </c>
      <c r="L214" s="2" t="s">
        <v>2932</v>
      </c>
      <c r="M214" s="3" t="s">
        <v>765</v>
      </c>
      <c r="O214" s="3" t="s">
        <v>64</v>
      </c>
      <c r="P214" s="3" t="s">
        <v>2331</v>
      </c>
      <c r="R214" s="3" t="s">
        <v>67</v>
      </c>
      <c r="S214" s="4">
        <v>7</v>
      </c>
      <c r="T214" s="4">
        <v>7</v>
      </c>
      <c r="U214" s="5" t="s">
        <v>2933</v>
      </c>
      <c r="V214" s="5" t="s">
        <v>2933</v>
      </c>
      <c r="W214" s="5" t="s">
        <v>2934</v>
      </c>
      <c r="X214" s="5" t="s">
        <v>2934</v>
      </c>
      <c r="Y214" s="4">
        <v>894</v>
      </c>
      <c r="Z214" s="4">
        <v>757</v>
      </c>
      <c r="AA214" s="4">
        <v>796</v>
      </c>
      <c r="AB214" s="4">
        <v>5</v>
      </c>
      <c r="AC214" s="4">
        <v>6</v>
      </c>
      <c r="AD214" s="4">
        <v>21</v>
      </c>
      <c r="AE214" s="4">
        <v>23</v>
      </c>
      <c r="AF214" s="4">
        <v>5</v>
      </c>
      <c r="AG214" s="4">
        <v>6</v>
      </c>
      <c r="AH214" s="4">
        <v>4</v>
      </c>
      <c r="AI214" s="4">
        <v>4</v>
      </c>
      <c r="AJ214" s="4">
        <v>12</v>
      </c>
      <c r="AK214" s="4">
        <v>12</v>
      </c>
      <c r="AL214" s="4">
        <v>3</v>
      </c>
      <c r="AM214" s="4">
        <v>4</v>
      </c>
      <c r="AN214" s="4">
        <v>0</v>
      </c>
      <c r="AO214" s="4">
        <v>0</v>
      </c>
      <c r="AP214" s="3" t="s">
        <v>58</v>
      </c>
      <c r="AQ214" s="3" t="s">
        <v>58</v>
      </c>
      <c r="AS214" s="6" t="str">
        <f>HYPERLINK("https://creighton-primo.hosted.exlibrisgroup.com/primo-explore/search?tab=default_tab&amp;search_scope=EVERYTHING&amp;vid=01CRU&amp;lang=en_US&amp;offset=0&amp;query=any,contains,991002431589702656","Catalog Record")</f>
        <v>Catalog Record</v>
      </c>
      <c r="AT214" s="6" t="str">
        <f>HYPERLINK("http://www.worldcat.org/oclc/31708713","WorldCat Record")</f>
        <v>WorldCat Record</v>
      </c>
      <c r="AU214" s="3" t="s">
        <v>2935</v>
      </c>
      <c r="AV214" s="3" t="s">
        <v>2936</v>
      </c>
      <c r="AW214" s="3" t="s">
        <v>2937</v>
      </c>
      <c r="AX214" s="3" t="s">
        <v>2937</v>
      </c>
      <c r="AY214" s="3" t="s">
        <v>2938</v>
      </c>
      <c r="AZ214" s="3" t="s">
        <v>74</v>
      </c>
      <c r="BB214" s="3" t="s">
        <v>2939</v>
      </c>
      <c r="BC214" s="3" t="s">
        <v>2940</v>
      </c>
      <c r="BD214" s="3" t="s">
        <v>2941</v>
      </c>
    </row>
    <row r="215" spans="1:56" ht="42.75" customHeight="1" x14ac:dyDescent="0.25">
      <c r="A215" s="7" t="s">
        <v>58</v>
      </c>
      <c r="B215" s="2" t="s">
        <v>2942</v>
      </c>
      <c r="C215" s="2" t="s">
        <v>2943</v>
      </c>
      <c r="D215" s="2" t="s">
        <v>2944</v>
      </c>
      <c r="F215" s="3" t="s">
        <v>58</v>
      </c>
      <c r="G215" s="3" t="s">
        <v>59</v>
      </c>
      <c r="H215" s="3" t="s">
        <v>58</v>
      </c>
      <c r="I215" s="3" t="s">
        <v>58</v>
      </c>
      <c r="J215" s="3" t="s">
        <v>60</v>
      </c>
      <c r="K215" s="2" t="s">
        <v>2945</v>
      </c>
      <c r="L215" s="2" t="s">
        <v>2946</v>
      </c>
      <c r="M215" s="3" t="s">
        <v>63</v>
      </c>
      <c r="O215" s="3" t="s">
        <v>64</v>
      </c>
      <c r="P215" s="3" t="s">
        <v>83</v>
      </c>
      <c r="R215" s="3" t="s">
        <v>67</v>
      </c>
      <c r="S215" s="4">
        <v>4</v>
      </c>
      <c r="T215" s="4">
        <v>4</v>
      </c>
      <c r="U215" s="5" t="s">
        <v>2947</v>
      </c>
      <c r="V215" s="5" t="s">
        <v>2947</v>
      </c>
      <c r="W215" s="5" t="s">
        <v>210</v>
      </c>
      <c r="X215" s="5" t="s">
        <v>210</v>
      </c>
      <c r="Y215" s="4">
        <v>965</v>
      </c>
      <c r="Z215" s="4">
        <v>823</v>
      </c>
      <c r="AA215" s="4">
        <v>830</v>
      </c>
      <c r="AB215" s="4">
        <v>3</v>
      </c>
      <c r="AC215" s="4">
        <v>3</v>
      </c>
      <c r="AD215" s="4">
        <v>23</v>
      </c>
      <c r="AE215" s="4">
        <v>23</v>
      </c>
      <c r="AF215" s="4">
        <v>7</v>
      </c>
      <c r="AG215" s="4">
        <v>7</v>
      </c>
      <c r="AH215" s="4">
        <v>6</v>
      </c>
      <c r="AI215" s="4">
        <v>6</v>
      </c>
      <c r="AJ215" s="4">
        <v>11</v>
      </c>
      <c r="AK215" s="4">
        <v>11</v>
      </c>
      <c r="AL215" s="4">
        <v>2</v>
      </c>
      <c r="AM215" s="4">
        <v>2</v>
      </c>
      <c r="AN215" s="4">
        <v>0</v>
      </c>
      <c r="AO215" s="4">
        <v>0</v>
      </c>
      <c r="AP215" s="3" t="s">
        <v>58</v>
      </c>
      <c r="AQ215" s="3" t="s">
        <v>58</v>
      </c>
      <c r="AS215" s="6" t="str">
        <f>HYPERLINK("https://creighton-primo.hosted.exlibrisgroup.com/primo-explore/search?tab=default_tab&amp;search_scope=EVERYTHING&amp;vid=01CRU&amp;lang=en_US&amp;offset=0&amp;query=any,contains,991000197489702656","Catalog Record")</f>
        <v>Catalog Record</v>
      </c>
      <c r="AT215" s="6" t="str">
        <f>HYPERLINK("http://www.worldcat.org/oclc/9442237","WorldCat Record")</f>
        <v>WorldCat Record</v>
      </c>
      <c r="AU215" s="3" t="s">
        <v>2948</v>
      </c>
      <c r="AV215" s="3" t="s">
        <v>2949</v>
      </c>
      <c r="AW215" s="3" t="s">
        <v>2950</v>
      </c>
      <c r="AX215" s="3" t="s">
        <v>2950</v>
      </c>
      <c r="AY215" s="3" t="s">
        <v>2951</v>
      </c>
      <c r="AZ215" s="3" t="s">
        <v>74</v>
      </c>
      <c r="BB215" s="3" t="s">
        <v>2952</v>
      </c>
      <c r="BC215" s="3" t="s">
        <v>2953</v>
      </c>
      <c r="BD215" s="3" t="s">
        <v>2954</v>
      </c>
    </row>
    <row r="216" spans="1:56" ht="42.75" customHeight="1" x14ac:dyDescent="0.25">
      <c r="A216" s="7" t="s">
        <v>58</v>
      </c>
      <c r="B216" s="2" t="s">
        <v>2955</v>
      </c>
      <c r="C216" s="2" t="s">
        <v>2956</v>
      </c>
      <c r="D216" s="2" t="s">
        <v>2957</v>
      </c>
      <c r="F216" s="3" t="s">
        <v>58</v>
      </c>
      <c r="G216" s="3" t="s">
        <v>59</v>
      </c>
      <c r="H216" s="3" t="s">
        <v>58</v>
      </c>
      <c r="I216" s="3" t="s">
        <v>58</v>
      </c>
      <c r="J216" s="3" t="s">
        <v>60</v>
      </c>
      <c r="L216" s="2" t="s">
        <v>2958</v>
      </c>
      <c r="M216" s="3" t="s">
        <v>2227</v>
      </c>
      <c r="O216" s="3" t="s">
        <v>64</v>
      </c>
      <c r="P216" s="3" t="s">
        <v>254</v>
      </c>
      <c r="R216" s="3" t="s">
        <v>67</v>
      </c>
      <c r="S216" s="4">
        <v>8</v>
      </c>
      <c r="T216" s="4">
        <v>8</v>
      </c>
      <c r="U216" s="5" t="s">
        <v>2959</v>
      </c>
      <c r="V216" s="5" t="s">
        <v>2959</v>
      </c>
      <c r="W216" s="5" t="s">
        <v>210</v>
      </c>
      <c r="X216" s="5" t="s">
        <v>210</v>
      </c>
      <c r="Y216" s="4">
        <v>142</v>
      </c>
      <c r="Z216" s="4">
        <v>99</v>
      </c>
      <c r="AA216" s="4">
        <v>104</v>
      </c>
      <c r="AB216" s="4">
        <v>2</v>
      </c>
      <c r="AC216" s="4">
        <v>2</v>
      </c>
      <c r="AD216" s="4">
        <v>2</v>
      </c>
      <c r="AE216" s="4">
        <v>2</v>
      </c>
      <c r="AF216" s="4">
        <v>0</v>
      </c>
      <c r="AG216" s="4">
        <v>0</v>
      </c>
      <c r="AH216" s="4">
        <v>1</v>
      </c>
      <c r="AI216" s="4">
        <v>1</v>
      </c>
      <c r="AJ216" s="4">
        <v>1</v>
      </c>
      <c r="AK216" s="4">
        <v>1</v>
      </c>
      <c r="AL216" s="4">
        <v>1</v>
      </c>
      <c r="AM216" s="4">
        <v>1</v>
      </c>
      <c r="AN216" s="4">
        <v>0</v>
      </c>
      <c r="AO216" s="4">
        <v>0</v>
      </c>
      <c r="AP216" s="3" t="s">
        <v>58</v>
      </c>
      <c r="AQ216" s="3" t="s">
        <v>58</v>
      </c>
      <c r="AS216" s="6" t="str">
        <f>HYPERLINK("https://creighton-primo.hosted.exlibrisgroup.com/primo-explore/search?tab=default_tab&amp;search_scope=EVERYTHING&amp;vid=01CRU&amp;lang=en_US&amp;offset=0&amp;query=any,contains,991000489829702656","Catalog Record")</f>
        <v>Catalog Record</v>
      </c>
      <c r="AT216" s="6" t="str">
        <f>HYPERLINK("http://www.worldcat.org/oclc/11091543","WorldCat Record")</f>
        <v>WorldCat Record</v>
      </c>
      <c r="AU216" s="3" t="s">
        <v>2960</v>
      </c>
      <c r="AV216" s="3" t="s">
        <v>2961</v>
      </c>
      <c r="AW216" s="3" t="s">
        <v>2962</v>
      </c>
      <c r="AX216" s="3" t="s">
        <v>2962</v>
      </c>
      <c r="AY216" s="3" t="s">
        <v>2963</v>
      </c>
      <c r="AZ216" s="3" t="s">
        <v>74</v>
      </c>
      <c r="BB216" s="3" t="s">
        <v>2964</v>
      </c>
      <c r="BC216" s="3" t="s">
        <v>2965</v>
      </c>
      <c r="BD216" s="3" t="s">
        <v>2966</v>
      </c>
    </row>
    <row r="217" spans="1:56" ht="42.75" customHeight="1" x14ac:dyDescent="0.25">
      <c r="A217" s="7" t="s">
        <v>58</v>
      </c>
      <c r="B217" s="2" t="s">
        <v>2967</v>
      </c>
      <c r="C217" s="2" t="s">
        <v>2968</v>
      </c>
      <c r="D217" s="2" t="s">
        <v>2969</v>
      </c>
      <c r="F217" s="3" t="s">
        <v>58</v>
      </c>
      <c r="G217" s="3" t="s">
        <v>59</v>
      </c>
      <c r="H217" s="3" t="s">
        <v>58</v>
      </c>
      <c r="I217" s="3" t="s">
        <v>58</v>
      </c>
      <c r="J217" s="3" t="s">
        <v>60</v>
      </c>
      <c r="K217" s="2" t="s">
        <v>2970</v>
      </c>
      <c r="L217" s="2" t="s">
        <v>2971</v>
      </c>
      <c r="M217" s="3" t="s">
        <v>177</v>
      </c>
      <c r="O217" s="3" t="s">
        <v>64</v>
      </c>
      <c r="P217" s="3" t="s">
        <v>115</v>
      </c>
      <c r="R217" s="3" t="s">
        <v>67</v>
      </c>
      <c r="S217" s="4">
        <v>7</v>
      </c>
      <c r="T217" s="4">
        <v>7</v>
      </c>
      <c r="U217" s="5" t="s">
        <v>2972</v>
      </c>
      <c r="V217" s="5" t="s">
        <v>2972</v>
      </c>
      <c r="W217" s="5" t="s">
        <v>2973</v>
      </c>
      <c r="X217" s="5" t="s">
        <v>2973</v>
      </c>
      <c r="Y217" s="4">
        <v>596</v>
      </c>
      <c r="Z217" s="4">
        <v>497</v>
      </c>
      <c r="AA217" s="4">
        <v>504</v>
      </c>
      <c r="AB217" s="4">
        <v>4</v>
      </c>
      <c r="AC217" s="4">
        <v>4</v>
      </c>
      <c r="AD217" s="4">
        <v>13</v>
      </c>
      <c r="AE217" s="4">
        <v>13</v>
      </c>
      <c r="AF217" s="4">
        <v>5</v>
      </c>
      <c r="AG217" s="4">
        <v>5</v>
      </c>
      <c r="AH217" s="4">
        <v>3</v>
      </c>
      <c r="AI217" s="4">
        <v>3</v>
      </c>
      <c r="AJ217" s="4">
        <v>4</v>
      </c>
      <c r="AK217" s="4">
        <v>4</v>
      </c>
      <c r="AL217" s="4">
        <v>3</v>
      </c>
      <c r="AM217" s="4">
        <v>3</v>
      </c>
      <c r="AN217" s="4">
        <v>0</v>
      </c>
      <c r="AO217" s="4">
        <v>0</v>
      </c>
      <c r="AP217" s="3" t="s">
        <v>58</v>
      </c>
      <c r="AQ217" s="3" t="s">
        <v>86</v>
      </c>
      <c r="AR217" s="6" t="str">
        <f>HYPERLINK("http://catalog.hathitrust.org/Record/001562304","HathiTrust Record")</f>
        <v>HathiTrust Record</v>
      </c>
      <c r="AS217" s="6" t="str">
        <f>HYPERLINK("https://creighton-primo.hosted.exlibrisgroup.com/primo-explore/search?tab=default_tab&amp;search_scope=EVERYTHING&amp;vid=01CRU&amp;lang=en_US&amp;offset=0&amp;query=any,contains,991003079199702656","Catalog Record")</f>
        <v>Catalog Record</v>
      </c>
      <c r="AT217" s="6" t="str">
        <f>HYPERLINK("http://www.worldcat.org/oclc/631922","WorldCat Record")</f>
        <v>WorldCat Record</v>
      </c>
      <c r="AU217" s="3" t="s">
        <v>2974</v>
      </c>
      <c r="AV217" s="3" t="s">
        <v>2975</v>
      </c>
      <c r="AW217" s="3" t="s">
        <v>2976</v>
      </c>
      <c r="AX217" s="3" t="s">
        <v>2976</v>
      </c>
      <c r="AY217" s="3" t="s">
        <v>2977</v>
      </c>
      <c r="AZ217" s="3" t="s">
        <v>74</v>
      </c>
      <c r="BB217" s="3" t="s">
        <v>2978</v>
      </c>
      <c r="BC217" s="3" t="s">
        <v>2979</v>
      </c>
      <c r="BD217" s="3" t="s">
        <v>2980</v>
      </c>
    </row>
    <row r="218" spans="1:56" ht="42.75" customHeight="1" x14ac:dyDescent="0.25">
      <c r="A218" s="7" t="s">
        <v>58</v>
      </c>
      <c r="B218" s="2" t="s">
        <v>2981</v>
      </c>
      <c r="C218" s="2" t="s">
        <v>2982</v>
      </c>
      <c r="D218" s="2" t="s">
        <v>2983</v>
      </c>
      <c r="F218" s="3" t="s">
        <v>58</v>
      </c>
      <c r="G218" s="3" t="s">
        <v>59</v>
      </c>
      <c r="H218" s="3" t="s">
        <v>58</v>
      </c>
      <c r="I218" s="3" t="s">
        <v>58</v>
      </c>
      <c r="J218" s="3" t="s">
        <v>60</v>
      </c>
      <c r="K218" s="2" t="s">
        <v>2984</v>
      </c>
      <c r="L218" s="2" t="s">
        <v>2985</v>
      </c>
      <c r="M218" s="3" t="s">
        <v>1181</v>
      </c>
      <c r="O218" s="3" t="s">
        <v>64</v>
      </c>
      <c r="P218" s="3" t="s">
        <v>115</v>
      </c>
      <c r="Q218" s="2" t="s">
        <v>2986</v>
      </c>
      <c r="R218" s="3" t="s">
        <v>67</v>
      </c>
      <c r="S218" s="4">
        <v>1</v>
      </c>
      <c r="T218" s="4">
        <v>1</v>
      </c>
      <c r="U218" s="5" t="s">
        <v>2757</v>
      </c>
      <c r="V218" s="5" t="s">
        <v>2757</v>
      </c>
      <c r="W218" s="5" t="s">
        <v>2757</v>
      </c>
      <c r="X218" s="5" t="s">
        <v>2757</v>
      </c>
      <c r="Y218" s="4">
        <v>484</v>
      </c>
      <c r="Z218" s="4">
        <v>428</v>
      </c>
      <c r="AA218" s="4">
        <v>452</v>
      </c>
      <c r="AB218" s="4">
        <v>2</v>
      </c>
      <c r="AC218" s="4">
        <v>2</v>
      </c>
      <c r="AD218" s="4">
        <v>8</v>
      </c>
      <c r="AE218" s="4">
        <v>8</v>
      </c>
      <c r="AF218" s="4">
        <v>3</v>
      </c>
      <c r="AG218" s="4">
        <v>3</v>
      </c>
      <c r="AH218" s="4">
        <v>1</v>
      </c>
      <c r="AI218" s="4">
        <v>1</v>
      </c>
      <c r="AJ218" s="4">
        <v>5</v>
      </c>
      <c r="AK218" s="4">
        <v>5</v>
      </c>
      <c r="AL218" s="4">
        <v>1</v>
      </c>
      <c r="AM218" s="4">
        <v>1</v>
      </c>
      <c r="AN218" s="4">
        <v>0</v>
      </c>
      <c r="AO218" s="4">
        <v>0</v>
      </c>
      <c r="AP218" s="3" t="s">
        <v>58</v>
      </c>
      <c r="AQ218" s="3" t="s">
        <v>58</v>
      </c>
      <c r="AS218" s="6" t="str">
        <f>HYPERLINK("https://creighton-primo.hosted.exlibrisgroup.com/primo-explore/search?tab=default_tab&amp;search_scope=EVERYTHING&amp;vid=01CRU&amp;lang=en_US&amp;offset=0&amp;query=any,contains,991004696779702656","Catalog Record")</f>
        <v>Catalog Record</v>
      </c>
      <c r="AT218" s="6" t="str">
        <f>HYPERLINK("http://www.worldcat.org/oclc/51534557","WorldCat Record")</f>
        <v>WorldCat Record</v>
      </c>
      <c r="AU218" s="3" t="s">
        <v>2987</v>
      </c>
      <c r="AV218" s="3" t="s">
        <v>2988</v>
      </c>
      <c r="AW218" s="3" t="s">
        <v>2989</v>
      </c>
      <c r="AX218" s="3" t="s">
        <v>2989</v>
      </c>
      <c r="AY218" s="3" t="s">
        <v>2990</v>
      </c>
      <c r="AZ218" s="3" t="s">
        <v>74</v>
      </c>
      <c r="BB218" s="3" t="s">
        <v>2991</v>
      </c>
      <c r="BC218" s="3" t="s">
        <v>2992</v>
      </c>
      <c r="BD218" s="3" t="s">
        <v>2993</v>
      </c>
    </row>
    <row r="219" spans="1:56" ht="42.75" customHeight="1" x14ac:dyDescent="0.25">
      <c r="A219" s="7" t="s">
        <v>58</v>
      </c>
      <c r="B219" s="2" t="s">
        <v>2994</v>
      </c>
      <c r="C219" s="2" t="s">
        <v>2995</v>
      </c>
      <c r="D219" s="2" t="s">
        <v>2996</v>
      </c>
      <c r="F219" s="3" t="s">
        <v>58</v>
      </c>
      <c r="G219" s="3" t="s">
        <v>59</v>
      </c>
      <c r="H219" s="3" t="s">
        <v>58</v>
      </c>
      <c r="I219" s="3" t="s">
        <v>58</v>
      </c>
      <c r="J219" s="3" t="s">
        <v>60</v>
      </c>
      <c r="K219" s="2" t="s">
        <v>2997</v>
      </c>
      <c r="L219" s="2" t="s">
        <v>2998</v>
      </c>
      <c r="M219" s="3" t="s">
        <v>371</v>
      </c>
      <c r="O219" s="3" t="s">
        <v>64</v>
      </c>
      <c r="P219" s="3" t="s">
        <v>1898</v>
      </c>
      <c r="R219" s="3" t="s">
        <v>67</v>
      </c>
      <c r="S219" s="4">
        <v>16</v>
      </c>
      <c r="T219" s="4">
        <v>16</v>
      </c>
      <c r="U219" s="5" t="s">
        <v>2999</v>
      </c>
      <c r="V219" s="5" t="s">
        <v>2999</v>
      </c>
      <c r="W219" s="5" t="s">
        <v>3000</v>
      </c>
      <c r="X219" s="5" t="s">
        <v>3000</v>
      </c>
      <c r="Y219" s="4">
        <v>380</v>
      </c>
      <c r="Z219" s="4">
        <v>362</v>
      </c>
      <c r="AA219" s="4">
        <v>367</v>
      </c>
      <c r="AB219" s="4">
        <v>4</v>
      </c>
      <c r="AC219" s="4">
        <v>4</v>
      </c>
      <c r="AD219" s="4">
        <v>1</v>
      </c>
      <c r="AE219" s="4">
        <v>1</v>
      </c>
      <c r="AF219" s="4">
        <v>0</v>
      </c>
      <c r="AG219" s="4">
        <v>0</v>
      </c>
      <c r="AH219" s="4">
        <v>0</v>
      </c>
      <c r="AI219" s="4">
        <v>0</v>
      </c>
      <c r="AJ219" s="4">
        <v>0</v>
      </c>
      <c r="AK219" s="4">
        <v>0</v>
      </c>
      <c r="AL219" s="4">
        <v>1</v>
      </c>
      <c r="AM219" s="4">
        <v>1</v>
      </c>
      <c r="AN219" s="4">
        <v>0</v>
      </c>
      <c r="AO219" s="4">
        <v>0</v>
      </c>
      <c r="AP219" s="3" t="s">
        <v>58</v>
      </c>
      <c r="AQ219" s="3" t="s">
        <v>58</v>
      </c>
      <c r="AS219" s="6" t="str">
        <f>HYPERLINK("https://creighton-primo.hosted.exlibrisgroup.com/primo-explore/search?tab=default_tab&amp;search_scope=EVERYTHING&amp;vid=01CRU&amp;lang=en_US&amp;offset=0&amp;query=any,contains,991000589619702656","Catalog Record")</f>
        <v>Catalog Record</v>
      </c>
      <c r="AT219" s="6" t="str">
        <f>HYPERLINK("http://www.worldcat.org/oclc/11784177","WorldCat Record")</f>
        <v>WorldCat Record</v>
      </c>
      <c r="AU219" s="3" t="s">
        <v>3001</v>
      </c>
      <c r="AV219" s="3" t="s">
        <v>3002</v>
      </c>
      <c r="AW219" s="3" t="s">
        <v>3003</v>
      </c>
      <c r="AX219" s="3" t="s">
        <v>3003</v>
      </c>
      <c r="AY219" s="3" t="s">
        <v>3004</v>
      </c>
      <c r="AZ219" s="3" t="s">
        <v>74</v>
      </c>
      <c r="BB219" s="3" t="s">
        <v>3005</v>
      </c>
      <c r="BC219" s="3" t="s">
        <v>3006</v>
      </c>
      <c r="BD219" s="3" t="s">
        <v>3007</v>
      </c>
    </row>
    <row r="220" spans="1:56" ht="42.75" customHeight="1" x14ac:dyDescent="0.25">
      <c r="A220" s="7" t="s">
        <v>58</v>
      </c>
      <c r="B220" s="2" t="s">
        <v>3008</v>
      </c>
      <c r="C220" s="2" t="s">
        <v>3009</v>
      </c>
      <c r="D220" s="2" t="s">
        <v>3010</v>
      </c>
      <c r="F220" s="3" t="s">
        <v>58</v>
      </c>
      <c r="G220" s="3" t="s">
        <v>59</v>
      </c>
      <c r="H220" s="3" t="s">
        <v>58</v>
      </c>
      <c r="I220" s="3" t="s">
        <v>58</v>
      </c>
      <c r="J220" s="3" t="s">
        <v>60</v>
      </c>
      <c r="K220" s="2" t="s">
        <v>3011</v>
      </c>
      <c r="L220" s="2" t="s">
        <v>3012</v>
      </c>
      <c r="M220" s="3" t="s">
        <v>695</v>
      </c>
      <c r="O220" s="3" t="s">
        <v>64</v>
      </c>
      <c r="P220" s="3" t="s">
        <v>115</v>
      </c>
      <c r="R220" s="3" t="s">
        <v>67</v>
      </c>
      <c r="S220" s="4">
        <v>20</v>
      </c>
      <c r="T220" s="4">
        <v>20</v>
      </c>
      <c r="U220" s="5" t="s">
        <v>3013</v>
      </c>
      <c r="V220" s="5" t="s">
        <v>3013</v>
      </c>
      <c r="W220" s="5" t="s">
        <v>3014</v>
      </c>
      <c r="X220" s="5" t="s">
        <v>3014</v>
      </c>
      <c r="Y220" s="4">
        <v>705</v>
      </c>
      <c r="Z220" s="4">
        <v>653</v>
      </c>
      <c r="AA220" s="4">
        <v>658</v>
      </c>
      <c r="AB220" s="4">
        <v>9</v>
      </c>
      <c r="AC220" s="4">
        <v>9</v>
      </c>
      <c r="AD220" s="4">
        <v>17</v>
      </c>
      <c r="AE220" s="4">
        <v>17</v>
      </c>
      <c r="AF220" s="4">
        <v>5</v>
      </c>
      <c r="AG220" s="4">
        <v>5</v>
      </c>
      <c r="AH220" s="4">
        <v>0</v>
      </c>
      <c r="AI220" s="4">
        <v>0</v>
      </c>
      <c r="AJ220" s="4">
        <v>9</v>
      </c>
      <c r="AK220" s="4">
        <v>9</v>
      </c>
      <c r="AL220" s="4">
        <v>5</v>
      </c>
      <c r="AM220" s="4">
        <v>5</v>
      </c>
      <c r="AN220" s="4">
        <v>0</v>
      </c>
      <c r="AO220" s="4">
        <v>0</v>
      </c>
      <c r="AP220" s="3" t="s">
        <v>58</v>
      </c>
      <c r="AQ220" s="3" t="s">
        <v>58</v>
      </c>
      <c r="AS220" s="6" t="str">
        <f>HYPERLINK("https://creighton-primo.hosted.exlibrisgroup.com/primo-explore/search?tab=default_tab&amp;search_scope=EVERYTHING&amp;vid=01CRU&amp;lang=en_US&amp;offset=0&amp;query=any,contains,991002190979702656","Catalog Record")</f>
        <v>Catalog Record</v>
      </c>
      <c r="AT220" s="6" t="str">
        <f>HYPERLINK("http://www.worldcat.org/oclc/28183445","WorldCat Record")</f>
        <v>WorldCat Record</v>
      </c>
      <c r="AU220" s="3" t="s">
        <v>3015</v>
      </c>
      <c r="AV220" s="3" t="s">
        <v>3016</v>
      </c>
      <c r="AW220" s="3" t="s">
        <v>3017</v>
      </c>
      <c r="AX220" s="3" t="s">
        <v>3017</v>
      </c>
      <c r="AY220" s="3" t="s">
        <v>3018</v>
      </c>
      <c r="AZ220" s="3" t="s">
        <v>74</v>
      </c>
      <c r="BB220" s="3" t="s">
        <v>3019</v>
      </c>
      <c r="BC220" s="3" t="s">
        <v>3020</v>
      </c>
      <c r="BD220" s="3" t="s">
        <v>3021</v>
      </c>
    </row>
    <row r="221" spans="1:56" ht="42.75" customHeight="1" x14ac:dyDescent="0.25">
      <c r="A221" s="7" t="s">
        <v>58</v>
      </c>
      <c r="B221" s="2" t="s">
        <v>3022</v>
      </c>
      <c r="C221" s="2" t="s">
        <v>3023</v>
      </c>
      <c r="D221" s="2" t="s">
        <v>3024</v>
      </c>
      <c r="F221" s="3" t="s">
        <v>58</v>
      </c>
      <c r="G221" s="3" t="s">
        <v>59</v>
      </c>
      <c r="H221" s="3" t="s">
        <v>58</v>
      </c>
      <c r="I221" s="3" t="s">
        <v>58</v>
      </c>
      <c r="J221" s="3" t="s">
        <v>60</v>
      </c>
      <c r="L221" s="2" t="s">
        <v>3025</v>
      </c>
      <c r="M221" s="3" t="s">
        <v>805</v>
      </c>
      <c r="O221" s="3" t="s">
        <v>64</v>
      </c>
      <c r="P221" s="3" t="s">
        <v>3026</v>
      </c>
      <c r="R221" s="3" t="s">
        <v>67</v>
      </c>
      <c r="S221" s="4">
        <v>2</v>
      </c>
      <c r="T221" s="4">
        <v>2</v>
      </c>
      <c r="U221" s="5" t="s">
        <v>3027</v>
      </c>
      <c r="V221" s="5" t="s">
        <v>3027</v>
      </c>
      <c r="W221" s="5" t="s">
        <v>3028</v>
      </c>
      <c r="X221" s="5" t="s">
        <v>3028</v>
      </c>
      <c r="Y221" s="4">
        <v>371</v>
      </c>
      <c r="Z221" s="4">
        <v>294</v>
      </c>
      <c r="AA221" s="4">
        <v>297</v>
      </c>
      <c r="AB221" s="4">
        <v>1</v>
      </c>
      <c r="AC221" s="4">
        <v>1</v>
      </c>
      <c r="AD221" s="4">
        <v>15</v>
      </c>
      <c r="AE221" s="4">
        <v>15</v>
      </c>
      <c r="AF221" s="4">
        <v>5</v>
      </c>
      <c r="AG221" s="4">
        <v>5</v>
      </c>
      <c r="AH221" s="4">
        <v>3</v>
      </c>
      <c r="AI221" s="4">
        <v>3</v>
      </c>
      <c r="AJ221" s="4">
        <v>11</v>
      </c>
      <c r="AK221" s="4">
        <v>11</v>
      </c>
      <c r="AL221" s="4">
        <v>0</v>
      </c>
      <c r="AM221" s="4">
        <v>0</v>
      </c>
      <c r="AN221" s="4">
        <v>0</v>
      </c>
      <c r="AO221" s="4">
        <v>0</v>
      </c>
      <c r="AP221" s="3" t="s">
        <v>58</v>
      </c>
      <c r="AQ221" s="3" t="s">
        <v>86</v>
      </c>
      <c r="AR221" s="6" t="str">
        <f>HYPERLINK("http://catalog.hathitrust.org/Record/003135447","HathiTrust Record")</f>
        <v>HathiTrust Record</v>
      </c>
      <c r="AS221" s="6" t="str">
        <f>HYPERLINK("https://creighton-primo.hosted.exlibrisgroup.com/primo-explore/search?tab=default_tab&amp;search_scope=EVERYTHING&amp;vid=01CRU&amp;lang=en_US&amp;offset=0&amp;query=any,contains,991004549669702656","Catalog Record")</f>
        <v>Catalog Record</v>
      </c>
      <c r="AT221" s="6" t="str">
        <f>HYPERLINK("http://www.worldcat.org/oclc/34746028","WorldCat Record")</f>
        <v>WorldCat Record</v>
      </c>
      <c r="AU221" s="3" t="s">
        <v>3029</v>
      </c>
      <c r="AV221" s="3" t="s">
        <v>3030</v>
      </c>
      <c r="AW221" s="3" t="s">
        <v>3031</v>
      </c>
      <c r="AX221" s="3" t="s">
        <v>3031</v>
      </c>
      <c r="AY221" s="3" t="s">
        <v>3032</v>
      </c>
      <c r="AZ221" s="3" t="s">
        <v>74</v>
      </c>
      <c r="BB221" s="3" t="s">
        <v>3033</v>
      </c>
      <c r="BC221" s="3" t="s">
        <v>3034</v>
      </c>
      <c r="BD221" s="3" t="s">
        <v>3035</v>
      </c>
    </row>
    <row r="222" spans="1:56" ht="42.75" customHeight="1" x14ac:dyDescent="0.25">
      <c r="A222" s="7" t="s">
        <v>58</v>
      </c>
      <c r="B222" s="2" t="s">
        <v>3036</v>
      </c>
      <c r="C222" s="2" t="s">
        <v>3037</v>
      </c>
      <c r="D222" s="2" t="s">
        <v>3038</v>
      </c>
      <c r="F222" s="3" t="s">
        <v>58</v>
      </c>
      <c r="G222" s="3" t="s">
        <v>59</v>
      </c>
      <c r="H222" s="3" t="s">
        <v>58</v>
      </c>
      <c r="I222" s="3" t="s">
        <v>58</v>
      </c>
      <c r="J222" s="3" t="s">
        <v>60</v>
      </c>
      <c r="K222" s="2" t="s">
        <v>3039</v>
      </c>
      <c r="L222" s="2" t="s">
        <v>3040</v>
      </c>
      <c r="M222" s="3" t="s">
        <v>3041</v>
      </c>
      <c r="O222" s="3" t="s">
        <v>64</v>
      </c>
      <c r="P222" s="3" t="s">
        <v>2854</v>
      </c>
      <c r="R222" s="3" t="s">
        <v>67</v>
      </c>
      <c r="S222" s="4">
        <v>4</v>
      </c>
      <c r="T222" s="4">
        <v>4</v>
      </c>
      <c r="U222" s="5" t="s">
        <v>3042</v>
      </c>
      <c r="V222" s="5" t="s">
        <v>3042</v>
      </c>
      <c r="W222" s="5" t="s">
        <v>3043</v>
      </c>
      <c r="X222" s="5" t="s">
        <v>3043</v>
      </c>
      <c r="Y222" s="4">
        <v>410</v>
      </c>
      <c r="Z222" s="4">
        <v>389</v>
      </c>
      <c r="AA222" s="4">
        <v>1317</v>
      </c>
      <c r="AB222" s="4">
        <v>6</v>
      </c>
      <c r="AC222" s="4">
        <v>11</v>
      </c>
      <c r="AD222" s="4">
        <v>15</v>
      </c>
      <c r="AE222" s="4">
        <v>48</v>
      </c>
      <c r="AF222" s="4">
        <v>3</v>
      </c>
      <c r="AG222" s="4">
        <v>21</v>
      </c>
      <c r="AH222" s="4">
        <v>3</v>
      </c>
      <c r="AI222" s="4">
        <v>9</v>
      </c>
      <c r="AJ222" s="4">
        <v>6</v>
      </c>
      <c r="AK222" s="4">
        <v>20</v>
      </c>
      <c r="AL222" s="4">
        <v>5</v>
      </c>
      <c r="AM222" s="4">
        <v>8</v>
      </c>
      <c r="AN222" s="4">
        <v>0</v>
      </c>
      <c r="AO222" s="4">
        <v>1</v>
      </c>
      <c r="AP222" s="3" t="s">
        <v>58</v>
      </c>
      <c r="AQ222" s="3" t="s">
        <v>86</v>
      </c>
      <c r="AR222" s="6" t="str">
        <f>HYPERLINK("http://catalog.hathitrust.org/Record/001562373","HathiTrust Record")</f>
        <v>HathiTrust Record</v>
      </c>
      <c r="AS222" s="6" t="str">
        <f>HYPERLINK("https://creighton-primo.hosted.exlibrisgroup.com/primo-explore/search?tab=default_tab&amp;search_scope=EVERYTHING&amp;vid=01CRU&amp;lang=en_US&amp;offset=0&amp;query=any,contains,991000951259702656","Catalog Record")</f>
        <v>Catalog Record</v>
      </c>
      <c r="AT222" s="6" t="str">
        <f>HYPERLINK("http://www.worldcat.org/oclc/14674775","WorldCat Record")</f>
        <v>WorldCat Record</v>
      </c>
      <c r="AU222" s="3" t="s">
        <v>3044</v>
      </c>
      <c r="AV222" s="3" t="s">
        <v>3045</v>
      </c>
      <c r="AW222" s="3" t="s">
        <v>3046</v>
      </c>
      <c r="AX222" s="3" t="s">
        <v>3046</v>
      </c>
      <c r="AY222" s="3" t="s">
        <v>3047</v>
      </c>
      <c r="AZ222" s="3" t="s">
        <v>74</v>
      </c>
      <c r="BB222" s="3" t="s">
        <v>3048</v>
      </c>
      <c r="BC222" s="3" t="s">
        <v>3049</v>
      </c>
      <c r="BD222" s="3" t="s">
        <v>3050</v>
      </c>
    </row>
    <row r="223" spans="1:56" ht="42.75" customHeight="1" x14ac:dyDescent="0.25">
      <c r="A223" s="7" t="s">
        <v>58</v>
      </c>
      <c r="B223" s="2" t="s">
        <v>3051</v>
      </c>
      <c r="C223" s="2" t="s">
        <v>3052</v>
      </c>
      <c r="D223" s="2" t="s">
        <v>3053</v>
      </c>
      <c r="F223" s="3" t="s">
        <v>58</v>
      </c>
      <c r="G223" s="3" t="s">
        <v>59</v>
      </c>
      <c r="H223" s="3" t="s">
        <v>58</v>
      </c>
      <c r="I223" s="3" t="s">
        <v>58</v>
      </c>
      <c r="J223" s="3" t="s">
        <v>60</v>
      </c>
      <c r="K223" s="2" t="s">
        <v>3054</v>
      </c>
      <c r="L223" s="2" t="s">
        <v>3055</v>
      </c>
      <c r="M223" s="3" t="s">
        <v>192</v>
      </c>
      <c r="N223" s="2" t="s">
        <v>1736</v>
      </c>
      <c r="O223" s="3" t="s">
        <v>64</v>
      </c>
      <c r="P223" s="3" t="s">
        <v>115</v>
      </c>
      <c r="R223" s="3" t="s">
        <v>67</v>
      </c>
      <c r="S223" s="4">
        <v>5</v>
      </c>
      <c r="T223" s="4">
        <v>5</v>
      </c>
      <c r="U223" s="5" t="s">
        <v>225</v>
      </c>
      <c r="V223" s="5" t="s">
        <v>225</v>
      </c>
      <c r="W223" s="5" t="s">
        <v>3056</v>
      </c>
      <c r="X223" s="5" t="s">
        <v>3056</v>
      </c>
      <c r="Y223" s="4">
        <v>1116</v>
      </c>
      <c r="Z223" s="4">
        <v>1077</v>
      </c>
      <c r="AA223" s="4">
        <v>1305</v>
      </c>
      <c r="AB223" s="4">
        <v>8</v>
      </c>
      <c r="AC223" s="4">
        <v>11</v>
      </c>
      <c r="AD223" s="4">
        <v>22</v>
      </c>
      <c r="AE223" s="4">
        <v>25</v>
      </c>
      <c r="AF223" s="4">
        <v>6</v>
      </c>
      <c r="AG223" s="4">
        <v>7</v>
      </c>
      <c r="AH223" s="4">
        <v>4</v>
      </c>
      <c r="AI223" s="4">
        <v>4</v>
      </c>
      <c r="AJ223" s="4">
        <v>10</v>
      </c>
      <c r="AK223" s="4">
        <v>11</v>
      </c>
      <c r="AL223" s="4">
        <v>5</v>
      </c>
      <c r="AM223" s="4">
        <v>6</v>
      </c>
      <c r="AN223" s="4">
        <v>0</v>
      </c>
      <c r="AO223" s="4">
        <v>0</v>
      </c>
      <c r="AP223" s="3" t="s">
        <v>58</v>
      </c>
      <c r="AQ223" s="3" t="s">
        <v>86</v>
      </c>
      <c r="AR223" s="6" t="str">
        <f>HYPERLINK("http://catalog.hathitrust.org/Record/005397774","HathiTrust Record")</f>
        <v>HathiTrust Record</v>
      </c>
      <c r="AS223" s="6" t="str">
        <f>HYPERLINK("https://creighton-primo.hosted.exlibrisgroup.com/primo-explore/search?tab=default_tab&amp;search_scope=EVERYTHING&amp;vid=01CRU&amp;lang=en_US&amp;offset=0&amp;query=any,contains,991004982679702656","Catalog Record")</f>
        <v>Catalog Record</v>
      </c>
      <c r="AT223" s="6" t="str">
        <f>HYPERLINK("http://www.worldcat.org/oclc/70823341","WorldCat Record")</f>
        <v>WorldCat Record</v>
      </c>
      <c r="AU223" s="3" t="s">
        <v>3057</v>
      </c>
      <c r="AV223" s="3" t="s">
        <v>3058</v>
      </c>
      <c r="AW223" s="3" t="s">
        <v>3059</v>
      </c>
      <c r="AX223" s="3" t="s">
        <v>3059</v>
      </c>
      <c r="AY223" s="3" t="s">
        <v>3060</v>
      </c>
      <c r="AZ223" s="3" t="s">
        <v>74</v>
      </c>
      <c r="BB223" s="3" t="s">
        <v>3061</v>
      </c>
      <c r="BC223" s="3" t="s">
        <v>3062</v>
      </c>
      <c r="BD223" s="3" t="s">
        <v>3063</v>
      </c>
    </row>
    <row r="224" spans="1:56" ht="42.75" customHeight="1" x14ac:dyDescent="0.25">
      <c r="A224" s="7" t="s">
        <v>58</v>
      </c>
      <c r="B224" s="2" t="s">
        <v>3064</v>
      </c>
      <c r="C224" s="2" t="s">
        <v>3065</v>
      </c>
      <c r="D224" s="2" t="s">
        <v>3066</v>
      </c>
      <c r="F224" s="3" t="s">
        <v>58</v>
      </c>
      <c r="G224" s="3" t="s">
        <v>59</v>
      </c>
      <c r="H224" s="3" t="s">
        <v>86</v>
      </c>
      <c r="I224" s="3" t="s">
        <v>58</v>
      </c>
      <c r="J224" s="3" t="s">
        <v>60</v>
      </c>
      <c r="K224" s="2" t="s">
        <v>3067</v>
      </c>
      <c r="L224" s="2" t="s">
        <v>3068</v>
      </c>
      <c r="M224" s="3" t="s">
        <v>3069</v>
      </c>
      <c r="O224" s="3" t="s">
        <v>64</v>
      </c>
      <c r="P224" s="3" t="s">
        <v>3070</v>
      </c>
      <c r="R224" s="3" t="s">
        <v>67</v>
      </c>
      <c r="S224" s="4">
        <v>0</v>
      </c>
      <c r="T224" s="4">
        <v>1</v>
      </c>
      <c r="V224" s="5" t="s">
        <v>3071</v>
      </c>
      <c r="W224" s="5" t="s">
        <v>272</v>
      </c>
      <c r="X224" s="5" t="s">
        <v>272</v>
      </c>
      <c r="Y224" s="4">
        <v>151</v>
      </c>
      <c r="Z224" s="4">
        <v>125</v>
      </c>
      <c r="AA224" s="4">
        <v>129</v>
      </c>
      <c r="AB224" s="4">
        <v>3</v>
      </c>
      <c r="AC224" s="4">
        <v>3</v>
      </c>
      <c r="AD224" s="4">
        <v>5</v>
      </c>
      <c r="AE224" s="4">
        <v>5</v>
      </c>
      <c r="AF224" s="4">
        <v>0</v>
      </c>
      <c r="AG224" s="4">
        <v>0</v>
      </c>
      <c r="AH224" s="4">
        <v>1</v>
      </c>
      <c r="AI224" s="4">
        <v>1</v>
      </c>
      <c r="AJ224" s="4">
        <v>4</v>
      </c>
      <c r="AK224" s="4">
        <v>4</v>
      </c>
      <c r="AL224" s="4">
        <v>1</v>
      </c>
      <c r="AM224" s="4">
        <v>1</v>
      </c>
      <c r="AN224" s="4">
        <v>0</v>
      </c>
      <c r="AO224" s="4">
        <v>0</v>
      </c>
      <c r="AP224" s="3" t="s">
        <v>58</v>
      </c>
      <c r="AQ224" s="3" t="s">
        <v>86</v>
      </c>
      <c r="AR224" s="6" t="str">
        <f>HYPERLINK("http://catalog.hathitrust.org/Record/001562525","HathiTrust Record")</f>
        <v>HathiTrust Record</v>
      </c>
      <c r="AS224" s="6" t="str">
        <f>HYPERLINK("https://creighton-primo.hosted.exlibrisgroup.com/primo-explore/search?tab=default_tab&amp;search_scope=EVERYTHING&amp;vid=01CRU&amp;lang=en_US&amp;offset=0&amp;query=any,contains,991001779199702656","Catalog Record")</f>
        <v>Catalog Record</v>
      </c>
      <c r="AT224" s="6" t="str">
        <f>HYPERLINK("http://www.worldcat.org/oclc/14505932","WorldCat Record")</f>
        <v>WorldCat Record</v>
      </c>
      <c r="AU224" s="3" t="s">
        <v>3072</v>
      </c>
      <c r="AV224" s="3" t="s">
        <v>3073</v>
      </c>
      <c r="AW224" s="3" t="s">
        <v>3074</v>
      </c>
      <c r="AX224" s="3" t="s">
        <v>3074</v>
      </c>
      <c r="AY224" s="3" t="s">
        <v>3075</v>
      </c>
      <c r="AZ224" s="3" t="s">
        <v>74</v>
      </c>
      <c r="BC224" s="3" t="s">
        <v>3076</v>
      </c>
      <c r="BD224" s="3" t="s">
        <v>3077</v>
      </c>
    </row>
    <row r="225" spans="1:56" ht="42.75" customHeight="1" x14ac:dyDescent="0.25">
      <c r="A225" s="7" t="s">
        <v>58</v>
      </c>
      <c r="B225" s="2" t="s">
        <v>3078</v>
      </c>
      <c r="C225" s="2" t="s">
        <v>3079</v>
      </c>
      <c r="D225" s="2" t="s">
        <v>3080</v>
      </c>
      <c r="F225" s="3" t="s">
        <v>58</v>
      </c>
      <c r="G225" s="3" t="s">
        <v>59</v>
      </c>
      <c r="H225" s="3" t="s">
        <v>58</v>
      </c>
      <c r="I225" s="3" t="s">
        <v>58</v>
      </c>
      <c r="J225" s="3" t="s">
        <v>60</v>
      </c>
      <c r="K225" s="2" t="s">
        <v>3081</v>
      </c>
      <c r="L225" s="2" t="s">
        <v>3082</v>
      </c>
      <c r="M225" s="3" t="s">
        <v>3083</v>
      </c>
      <c r="O225" s="3" t="s">
        <v>64</v>
      </c>
      <c r="P225" s="3" t="s">
        <v>145</v>
      </c>
      <c r="Q225" s="2" t="s">
        <v>3084</v>
      </c>
      <c r="R225" s="3" t="s">
        <v>67</v>
      </c>
      <c r="S225" s="4">
        <v>4</v>
      </c>
      <c r="T225" s="4">
        <v>4</v>
      </c>
      <c r="U225" s="5" t="s">
        <v>3085</v>
      </c>
      <c r="V225" s="5" t="s">
        <v>3085</v>
      </c>
      <c r="W225" s="5" t="s">
        <v>272</v>
      </c>
      <c r="X225" s="5" t="s">
        <v>272</v>
      </c>
      <c r="Y225" s="4">
        <v>195</v>
      </c>
      <c r="Z225" s="4">
        <v>170</v>
      </c>
      <c r="AA225" s="4">
        <v>172</v>
      </c>
      <c r="AB225" s="4">
        <v>2</v>
      </c>
      <c r="AC225" s="4">
        <v>2</v>
      </c>
      <c r="AD225" s="4">
        <v>5</v>
      </c>
      <c r="AE225" s="4">
        <v>5</v>
      </c>
      <c r="AF225" s="4">
        <v>0</v>
      </c>
      <c r="AG225" s="4">
        <v>0</v>
      </c>
      <c r="AH225" s="4">
        <v>2</v>
      </c>
      <c r="AI225" s="4">
        <v>2</v>
      </c>
      <c r="AJ225" s="4">
        <v>4</v>
      </c>
      <c r="AK225" s="4">
        <v>4</v>
      </c>
      <c r="AL225" s="4">
        <v>0</v>
      </c>
      <c r="AM225" s="4">
        <v>0</v>
      </c>
      <c r="AN225" s="4">
        <v>0</v>
      </c>
      <c r="AO225" s="4">
        <v>0</v>
      </c>
      <c r="AP225" s="3" t="s">
        <v>58</v>
      </c>
      <c r="AQ225" s="3" t="s">
        <v>58</v>
      </c>
      <c r="AR225" s="6" t="str">
        <f>HYPERLINK("http://catalog.hathitrust.org/Record/010072412","HathiTrust Record")</f>
        <v>HathiTrust Record</v>
      </c>
      <c r="AS225" s="6" t="str">
        <f>HYPERLINK("https://creighton-primo.hosted.exlibrisgroup.com/primo-explore/search?tab=default_tab&amp;search_scope=EVERYTHING&amp;vid=01CRU&amp;lang=en_US&amp;offset=0&amp;query=any,contains,991005265199702656","Catalog Record")</f>
        <v>Catalog Record</v>
      </c>
      <c r="AT225" s="6" t="str">
        <f>HYPERLINK("http://www.worldcat.org/oclc/1597245","WorldCat Record")</f>
        <v>WorldCat Record</v>
      </c>
      <c r="AU225" s="3" t="s">
        <v>3086</v>
      </c>
      <c r="AV225" s="3" t="s">
        <v>3087</v>
      </c>
      <c r="AW225" s="3" t="s">
        <v>3088</v>
      </c>
      <c r="AX225" s="3" t="s">
        <v>3088</v>
      </c>
      <c r="AY225" s="3" t="s">
        <v>3089</v>
      </c>
      <c r="AZ225" s="3" t="s">
        <v>74</v>
      </c>
      <c r="BC225" s="3" t="s">
        <v>3090</v>
      </c>
      <c r="BD225" s="3" t="s">
        <v>3091</v>
      </c>
    </row>
    <row r="226" spans="1:56" ht="42.75" customHeight="1" x14ac:dyDescent="0.25">
      <c r="A226" s="7" t="s">
        <v>58</v>
      </c>
      <c r="B226" s="2" t="s">
        <v>3092</v>
      </c>
      <c r="C226" s="2" t="s">
        <v>3093</v>
      </c>
      <c r="D226" s="2" t="s">
        <v>3094</v>
      </c>
      <c r="F226" s="3" t="s">
        <v>58</v>
      </c>
      <c r="G226" s="3" t="s">
        <v>59</v>
      </c>
      <c r="H226" s="3" t="s">
        <v>86</v>
      </c>
      <c r="I226" s="3" t="s">
        <v>58</v>
      </c>
      <c r="J226" s="3" t="s">
        <v>60</v>
      </c>
      <c r="L226" s="2" t="s">
        <v>3095</v>
      </c>
      <c r="M226" s="3" t="s">
        <v>371</v>
      </c>
      <c r="N226" s="2" t="s">
        <v>3096</v>
      </c>
      <c r="O226" s="3" t="s">
        <v>64</v>
      </c>
      <c r="P226" s="3" t="s">
        <v>115</v>
      </c>
      <c r="R226" s="3" t="s">
        <v>67</v>
      </c>
      <c r="S226" s="4">
        <v>17</v>
      </c>
      <c r="T226" s="4">
        <v>17</v>
      </c>
      <c r="U226" s="5" t="s">
        <v>3097</v>
      </c>
      <c r="V226" s="5" t="s">
        <v>3097</v>
      </c>
      <c r="W226" s="5" t="s">
        <v>85</v>
      </c>
      <c r="X226" s="5" t="s">
        <v>85</v>
      </c>
      <c r="Y226" s="4">
        <v>295</v>
      </c>
      <c r="Z226" s="4">
        <v>219</v>
      </c>
      <c r="AA226" s="4">
        <v>402</v>
      </c>
      <c r="AB226" s="4">
        <v>3</v>
      </c>
      <c r="AC226" s="4">
        <v>3</v>
      </c>
      <c r="AD226" s="4">
        <v>10</v>
      </c>
      <c r="AE226" s="4">
        <v>15</v>
      </c>
      <c r="AF226" s="4">
        <v>2</v>
      </c>
      <c r="AG226" s="4">
        <v>5</v>
      </c>
      <c r="AH226" s="4">
        <v>1</v>
      </c>
      <c r="AI226" s="4">
        <v>2</v>
      </c>
      <c r="AJ226" s="4">
        <v>7</v>
      </c>
      <c r="AK226" s="4">
        <v>10</v>
      </c>
      <c r="AL226" s="4">
        <v>1</v>
      </c>
      <c r="AM226" s="4">
        <v>1</v>
      </c>
      <c r="AN226" s="4">
        <v>0</v>
      </c>
      <c r="AO226" s="4">
        <v>0</v>
      </c>
      <c r="AP226" s="3" t="s">
        <v>58</v>
      </c>
      <c r="AQ226" s="3" t="s">
        <v>58</v>
      </c>
      <c r="AS226" s="6" t="str">
        <f>HYPERLINK("https://creighton-primo.hosted.exlibrisgroup.com/primo-explore/search?tab=default_tab&amp;search_scope=EVERYTHING&amp;vid=01CRU&amp;lang=en_US&amp;offset=0&amp;query=any,contains,991000785489702656","Catalog Record")</f>
        <v>Catalog Record</v>
      </c>
      <c r="AT226" s="6" t="str">
        <f>HYPERLINK("http://www.worldcat.org/oclc/13124129","WorldCat Record")</f>
        <v>WorldCat Record</v>
      </c>
      <c r="AU226" s="3" t="s">
        <v>3098</v>
      </c>
      <c r="AV226" s="3" t="s">
        <v>3099</v>
      </c>
      <c r="AW226" s="3" t="s">
        <v>3100</v>
      </c>
      <c r="AX226" s="3" t="s">
        <v>3100</v>
      </c>
      <c r="AY226" s="3" t="s">
        <v>3101</v>
      </c>
      <c r="AZ226" s="3" t="s">
        <v>74</v>
      </c>
      <c r="BB226" s="3" t="s">
        <v>3102</v>
      </c>
      <c r="BC226" s="3" t="s">
        <v>3103</v>
      </c>
      <c r="BD226" s="3" t="s">
        <v>3104</v>
      </c>
    </row>
    <row r="227" spans="1:56" ht="42.75" customHeight="1" x14ac:dyDescent="0.25">
      <c r="A227" s="7" t="s">
        <v>58</v>
      </c>
      <c r="B227" s="2" t="s">
        <v>3105</v>
      </c>
      <c r="C227" s="2" t="s">
        <v>3106</v>
      </c>
      <c r="D227" s="2" t="s">
        <v>3107</v>
      </c>
      <c r="F227" s="3" t="s">
        <v>58</v>
      </c>
      <c r="G227" s="3" t="s">
        <v>59</v>
      </c>
      <c r="H227" s="3" t="s">
        <v>58</v>
      </c>
      <c r="I227" s="3" t="s">
        <v>58</v>
      </c>
      <c r="J227" s="3" t="s">
        <v>60</v>
      </c>
      <c r="L227" s="2" t="s">
        <v>3108</v>
      </c>
      <c r="M227" s="3" t="s">
        <v>805</v>
      </c>
      <c r="O227" s="3" t="s">
        <v>64</v>
      </c>
      <c r="P227" s="3" t="s">
        <v>65</v>
      </c>
      <c r="Q227" s="2" t="s">
        <v>3109</v>
      </c>
      <c r="R227" s="3" t="s">
        <v>67</v>
      </c>
      <c r="S227" s="4">
        <v>12</v>
      </c>
      <c r="T227" s="4">
        <v>12</v>
      </c>
      <c r="U227" s="5" t="s">
        <v>3110</v>
      </c>
      <c r="V227" s="5" t="s">
        <v>3110</v>
      </c>
      <c r="W227" s="5" t="s">
        <v>3111</v>
      </c>
      <c r="X227" s="5" t="s">
        <v>3111</v>
      </c>
      <c r="Y227" s="4">
        <v>89</v>
      </c>
      <c r="Z227" s="4">
        <v>42</v>
      </c>
      <c r="AA227" s="4">
        <v>47</v>
      </c>
      <c r="AB227" s="4">
        <v>1</v>
      </c>
      <c r="AC227" s="4">
        <v>1</v>
      </c>
      <c r="AD227" s="4">
        <v>0</v>
      </c>
      <c r="AE227" s="4">
        <v>0</v>
      </c>
      <c r="AF227" s="4">
        <v>0</v>
      </c>
      <c r="AG227" s="4">
        <v>0</v>
      </c>
      <c r="AH227" s="4">
        <v>0</v>
      </c>
      <c r="AI227" s="4">
        <v>0</v>
      </c>
      <c r="AJ227" s="4">
        <v>0</v>
      </c>
      <c r="AK227" s="4">
        <v>0</v>
      </c>
      <c r="AL227" s="4">
        <v>0</v>
      </c>
      <c r="AM227" s="4">
        <v>0</v>
      </c>
      <c r="AN227" s="4">
        <v>0</v>
      </c>
      <c r="AO227" s="4">
        <v>0</v>
      </c>
      <c r="AP227" s="3" t="s">
        <v>58</v>
      </c>
      <c r="AQ227" s="3" t="s">
        <v>58</v>
      </c>
      <c r="AS227" s="6" t="str">
        <f>HYPERLINK("https://creighton-primo.hosted.exlibrisgroup.com/primo-explore/search?tab=default_tab&amp;search_scope=EVERYTHING&amp;vid=01CRU&amp;lang=en_US&amp;offset=0&amp;query=any,contains,991002596839702656","Catalog Record")</f>
        <v>Catalog Record</v>
      </c>
      <c r="AT227" s="6" t="str">
        <f>HYPERLINK("http://www.worldcat.org/oclc/34026495","WorldCat Record")</f>
        <v>WorldCat Record</v>
      </c>
      <c r="AU227" s="3" t="s">
        <v>3112</v>
      </c>
      <c r="AV227" s="3" t="s">
        <v>3113</v>
      </c>
      <c r="AW227" s="3" t="s">
        <v>3114</v>
      </c>
      <c r="AX227" s="3" t="s">
        <v>3114</v>
      </c>
      <c r="AY227" s="3" t="s">
        <v>3115</v>
      </c>
      <c r="AZ227" s="3" t="s">
        <v>74</v>
      </c>
      <c r="BB227" s="3" t="s">
        <v>3116</v>
      </c>
      <c r="BC227" s="3" t="s">
        <v>3117</v>
      </c>
      <c r="BD227" s="3" t="s">
        <v>3118</v>
      </c>
    </row>
    <row r="228" spans="1:56" ht="42.75" customHeight="1" x14ac:dyDescent="0.25">
      <c r="A228" s="7" t="s">
        <v>58</v>
      </c>
      <c r="B228" s="2" t="s">
        <v>3119</v>
      </c>
      <c r="C228" s="2" t="s">
        <v>3120</v>
      </c>
      <c r="D228" s="2" t="s">
        <v>3121</v>
      </c>
      <c r="F228" s="3" t="s">
        <v>58</v>
      </c>
      <c r="G228" s="3" t="s">
        <v>59</v>
      </c>
      <c r="H228" s="3" t="s">
        <v>58</v>
      </c>
      <c r="I228" s="3" t="s">
        <v>58</v>
      </c>
      <c r="J228" s="3" t="s">
        <v>60</v>
      </c>
      <c r="K228" s="2" t="s">
        <v>3122</v>
      </c>
      <c r="L228" s="2" t="s">
        <v>3123</v>
      </c>
      <c r="M228" s="3" t="s">
        <v>3124</v>
      </c>
      <c r="O228" s="3" t="s">
        <v>64</v>
      </c>
      <c r="P228" s="3" t="s">
        <v>359</v>
      </c>
      <c r="R228" s="3" t="s">
        <v>67</v>
      </c>
      <c r="S228" s="4">
        <v>3</v>
      </c>
      <c r="T228" s="4">
        <v>3</v>
      </c>
      <c r="U228" s="5" t="s">
        <v>3125</v>
      </c>
      <c r="V228" s="5" t="s">
        <v>3125</v>
      </c>
      <c r="W228" s="5" t="s">
        <v>2855</v>
      </c>
      <c r="X228" s="5" t="s">
        <v>2855</v>
      </c>
      <c r="Y228" s="4">
        <v>150</v>
      </c>
      <c r="Z228" s="4">
        <v>111</v>
      </c>
      <c r="AA228" s="4">
        <v>112</v>
      </c>
      <c r="AB228" s="4">
        <v>2</v>
      </c>
      <c r="AC228" s="4">
        <v>2</v>
      </c>
      <c r="AD228" s="4">
        <v>4</v>
      </c>
      <c r="AE228" s="4">
        <v>4</v>
      </c>
      <c r="AF228" s="4">
        <v>0</v>
      </c>
      <c r="AG228" s="4">
        <v>0</v>
      </c>
      <c r="AH228" s="4">
        <v>1</v>
      </c>
      <c r="AI228" s="4">
        <v>1</v>
      </c>
      <c r="AJ228" s="4">
        <v>3</v>
      </c>
      <c r="AK228" s="4">
        <v>3</v>
      </c>
      <c r="AL228" s="4">
        <v>1</v>
      </c>
      <c r="AM228" s="4">
        <v>1</v>
      </c>
      <c r="AN228" s="4">
        <v>0</v>
      </c>
      <c r="AO228" s="4">
        <v>0</v>
      </c>
      <c r="AP228" s="3" t="s">
        <v>58</v>
      </c>
      <c r="AQ228" s="3" t="s">
        <v>86</v>
      </c>
      <c r="AR228" s="6" t="str">
        <f>HYPERLINK("http://catalog.hathitrust.org/Record/001562527","HathiTrust Record")</f>
        <v>HathiTrust Record</v>
      </c>
      <c r="AS228" s="6" t="str">
        <f>HYPERLINK("https://creighton-primo.hosted.exlibrisgroup.com/primo-explore/search?tab=default_tab&amp;search_scope=EVERYTHING&amp;vid=01CRU&amp;lang=en_US&amp;offset=0&amp;query=any,contains,991000533739702656","Catalog Record")</f>
        <v>Catalog Record</v>
      </c>
      <c r="AT228" s="6" t="str">
        <f>HYPERLINK("http://www.worldcat.org/oclc/89919","WorldCat Record")</f>
        <v>WorldCat Record</v>
      </c>
      <c r="AU228" s="3" t="s">
        <v>3126</v>
      </c>
      <c r="AV228" s="3" t="s">
        <v>3127</v>
      </c>
      <c r="AW228" s="3" t="s">
        <v>3128</v>
      </c>
      <c r="AX228" s="3" t="s">
        <v>3128</v>
      </c>
      <c r="AY228" s="3" t="s">
        <v>3129</v>
      </c>
      <c r="AZ228" s="3" t="s">
        <v>74</v>
      </c>
      <c r="BC228" s="3" t="s">
        <v>3130</v>
      </c>
      <c r="BD228" s="3" t="s">
        <v>3131</v>
      </c>
    </row>
    <row r="229" spans="1:56" ht="42.75" customHeight="1" x14ac:dyDescent="0.25">
      <c r="A229" s="7" t="s">
        <v>58</v>
      </c>
      <c r="B229" s="2" t="s">
        <v>3132</v>
      </c>
      <c r="C229" s="2" t="s">
        <v>3133</v>
      </c>
      <c r="D229" s="2" t="s">
        <v>3134</v>
      </c>
      <c r="F229" s="3" t="s">
        <v>58</v>
      </c>
      <c r="G229" s="3" t="s">
        <v>59</v>
      </c>
      <c r="H229" s="3" t="s">
        <v>58</v>
      </c>
      <c r="I229" s="3" t="s">
        <v>58</v>
      </c>
      <c r="J229" s="3" t="s">
        <v>60</v>
      </c>
      <c r="L229" s="2" t="s">
        <v>3135</v>
      </c>
      <c r="M229" s="3" t="s">
        <v>695</v>
      </c>
      <c r="O229" s="3" t="s">
        <v>64</v>
      </c>
      <c r="P229" s="3" t="s">
        <v>99</v>
      </c>
      <c r="R229" s="3" t="s">
        <v>67</v>
      </c>
      <c r="S229" s="4">
        <v>9</v>
      </c>
      <c r="T229" s="4">
        <v>9</v>
      </c>
      <c r="U229" s="5" t="s">
        <v>3136</v>
      </c>
      <c r="V229" s="5" t="s">
        <v>3136</v>
      </c>
      <c r="W229" s="5" t="s">
        <v>3137</v>
      </c>
      <c r="X229" s="5" t="s">
        <v>3137</v>
      </c>
      <c r="Y229" s="4">
        <v>182</v>
      </c>
      <c r="Z229" s="4">
        <v>166</v>
      </c>
      <c r="AA229" s="4">
        <v>171</v>
      </c>
      <c r="AB229" s="4">
        <v>1</v>
      </c>
      <c r="AC229" s="4">
        <v>1</v>
      </c>
      <c r="AD229" s="4">
        <v>1</v>
      </c>
      <c r="AE229" s="4">
        <v>1</v>
      </c>
      <c r="AF229" s="4">
        <v>0</v>
      </c>
      <c r="AG229" s="4">
        <v>0</v>
      </c>
      <c r="AH229" s="4">
        <v>0</v>
      </c>
      <c r="AI229" s="4">
        <v>0</v>
      </c>
      <c r="AJ229" s="4">
        <v>1</v>
      </c>
      <c r="AK229" s="4">
        <v>1</v>
      </c>
      <c r="AL229" s="4">
        <v>0</v>
      </c>
      <c r="AM229" s="4">
        <v>0</v>
      </c>
      <c r="AN229" s="4">
        <v>0</v>
      </c>
      <c r="AO229" s="4">
        <v>0</v>
      </c>
      <c r="AP229" s="3" t="s">
        <v>58</v>
      </c>
      <c r="AQ229" s="3" t="s">
        <v>58</v>
      </c>
      <c r="AS229" s="6" t="str">
        <f>HYPERLINK("https://creighton-primo.hosted.exlibrisgroup.com/primo-explore/search?tab=default_tab&amp;search_scope=EVERYTHING&amp;vid=01CRU&amp;lang=en_US&amp;offset=0&amp;query=any,contains,991002251189702656","Catalog Record")</f>
        <v>Catalog Record</v>
      </c>
      <c r="AT229" s="6" t="str">
        <f>HYPERLINK("http://www.worldcat.org/oclc/29149120","WorldCat Record")</f>
        <v>WorldCat Record</v>
      </c>
      <c r="AU229" s="3" t="s">
        <v>3138</v>
      </c>
      <c r="AV229" s="3" t="s">
        <v>3139</v>
      </c>
      <c r="AW229" s="3" t="s">
        <v>3140</v>
      </c>
      <c r="AX229" s="3" t="s">
        <v>3140</v>
      </c>
      <c r="AY229" s="3" t="s">
        <v>3141</v>
      </c>
      <c r="AZ229" s="3" t="s">
        <v>74</v>
      </c>
      <c r="BB229" s="3" t="s">
        <v>3142</v>
      </c>
      <c r="BC229" s="3" t="s">
        <v>3143</v>
      </c>
      <c r="BD229" s="3" t="s">
        <v>3144</v>
      </c>
    </row>
    <row r="230" spans="1:56" ht="42.75" customHeight="1" x14ac:dyDescent="0.25">
      <c r="A230" s="7" t="s">
        <v>58</v>
      </c>
      <c r="B230" s="2" t="s">
        <v>3145</v>
      </c>
      <c r="C230" s="2" t="s">
        <v>3146</v>
      </c>
      <c r="D230" s="2" t="s">
        <v>3147</v>
      </c>
      <c r="F230" s="3" t="s">
        <v>58</v>
      </c>
      <c r="G230" s="3" t="s">
        <v>59</v>
      </c>
      <c r="H230" s="3" t="s">
        <v>58</v>
      </c>
      <c r="I230" s="3" t="s">
        <v>58</v>
      </c>
      <c r="J230" s="3" t="s">
        <v>60</v>
      </c>
      <c r="K230" s="2" t="s">
        <v>3148</v>
      </c>
      <c r="L230" s="2" t="s">
        <v>3149</v>
      </c>
      <c r="M230" s="3" t="s">
        <v>1448</v>
      </c>
      <c r="O230" s="3" t="s">
        <v>64</v>
      </c>
      <c r="P230" s="3" t="s">
        <v>115</v>
      </c>
      <c r="R230" s="3" t="s">
        <v>67</v>
      </c>
      <c r="S230" s="4">
        <v>1</v>
      </c>
      <c r="T230" s="4">
        <v>1</v>
      </c>
      <c r="U230" s="5" t="s">
        <v>3150</v>
      </c>
      <c r="V230" s="5" t="s">
        <v>3150</v>
      </c>
      <c r="W230" s="5" t="s">
        <v>3150</v>
      </c>
      <c r="X230" s="5" t="s">
        <v>3150</v>
      </c>
      <c r="Y230" s="4">
        <v>173</v>
      </c>
      <c r="Z230" s="4">
        <v>161</v>
      </c>
      <c r="AA230" s="4">
        <v>950</v>
      </c>
      <c r="AB230" s="4">
        <v>4</v>
      </c>
      <c r="AC230" s="4">
        <v>19</v>
      </c>
      <c r="AD230" s="4">
        <v>1</v>
      </c>
      <c r="AE230" s="4">
        <v>14</v>
      </c>
      <c r="AF230" s="4">
        <v>0</v>
      </c>
      <c r="AG230" s="4">
        <v>5</v>
      </c>
      <c r="AH230" s="4">
        <v>0</v>
      </c>
      <c r="AI230" s="4">
        <v>1</v>
      </c>
      <c r="AJ230" s="4">
        <v>1</v>
      </c>
      <c r="AK230" s="4">
        <v>2</v>
      </c>
      <c r="AL230" s="4">
        <v>0</v>
      </c>
      <c r="AM230" s="4">
        <v>8</v>
      </c>
      <c r="AN230" s="4">
        <v>0</v>
      </c>
      <c r="AO230" s="4">
        <v>0</v>
      </c>
      <c r="AP230" s="3" t="s">
        <v>58</v>
      </c>
      <c r="AQ230" s="3" t="s">
        <v>58</v>
      </c>
      <c r="AS230" s="6" t="str">
        <f>HYPERLINK("https://creighton-primo.hosted.exlibrisgroup.com/primo-explore/search?tab=default_tab&amp;search_scope=EVERYTHING&amp;vid=01CRU&amp;lang=en_US&amp;offset=0&amp;query=any,contains,991005321849702656","Catalog Record")</f>
        <v>Catalog Record</v>
      </c>
      <c r="AT230" s="6" t="str">
        <f>HYPERLINK("http://www.worldcat.org/oclc/290435828","WorldCat Record")</f>
        <v>WorldCat Record</v>
      </c>
      <c r="AU230" s="3" t="s">
        <v>3151</v>
      </c>
      <c r="AV230" s="3" t="s">
        <v>3152</v>
      </c>
      <c r="AW230" s="3" t="s">
        <v>3153</v>
      </c>
      <c r="AX230" s="3" t="s">
        <v>3153</v>
      </c>
      <c r="AY230" s="3" t="s">
        <v>3154</v>
      </c>
      <c r="AZ230" s="3" t="s">
        <v>74</v>
      </c>
      <c r="BB230" s="3" t="s">
        <v>3155</v>
      </c>
      <c r="BC230" s="3" t="s">
        <v>3156</v>
      </c>
      <c r="BD230" s="3" t="s">
        <v>3157</v>
      </c>
    </row>
    <row r="231" spans="1:56" ht="42.75" customHeight="1" x14ac:dyDescent="0.25">
      <c r="A231" s="7" t="s">
        <v>58</v>
      </c>
      <c r="B231" s="2" t="s">
        <v>3158</v>
      </c>
      <c r="C231" s="2" t="s">
        <v>3159</v>
      </c>
      <c r="D231" s="2" t="s">
        <v>3160</v>
      </c>
      <c r="F231" s="3" t="s">
        <v>58</v>
      </c>
      <c r="G231" s="3" t="s">
        <v>59</v>
      </c>
      <c r="H231" s="3" t="s">
        <v>58</v>
      </c>
      <c r="I231" s="3" t="s">
        <v>58</v>
      </c>
      <c r="J231" s="3" t="s">
        <v>60</v>
      </c>
      <c r="K231" s="2" t="s">
        <v>3161</v>
      </c>
      <c r="L231" s="2" t="s">
        <v>3162</v>
      </c>
      <c r="M231" s="3" t="s">
        <v>344</v>
      </c>
      <c r="O231" s="3" t="s">
        <v>64</v>
      </c>
      <c r="P231" s="3" t="s">
        <v>3163</v>
      </c>
      <c r="R231" s="3" t="s">
        <v>67</v>
      </c>
      <c r="S231" s="4">
        <v>8</v>
      </c>
      <c r="T231" s="4">
        <v>8</v>
      </c>
      <c r="U231" s="5" t="s">
        <v>3164</v>
      </c>
      <c r="V231" s="5" t="s">
        <v>3164</v>
      </c>
      <c r="W231" s="5" t="s">
        <v>210</v>
      </c>
      <c r="X231" s="5" t="s">
        <v>210</v>
      </c>
      <c r="Y231" s="4">
        <v>156</v>
      </c>
      <c r="Z231" s="4">
        <v>150</v>
      </c>
      <c r="AA231" s="4">
        <v>156</v>
      </c>
      <c r="AB231" s="4">
        <v>3</v>
      </c>
      <c r="AC231" s="4">
        <v>3</v>
      </c>
      <c r="AD231" s="4">
        <v>1</v>
      </c>
      <c r="AE231" s="4">
        <v>1</v>
      </c>
      <c r="AF231" s="4">
        <v>0</v>
      </c>
      <c r="AG231" s="4">
        <v>0</v>
      </c>
      <c r="AH231" s="4">
        <v>0</v>
      </c>
      <c r="AI231" s="4">
        <v>0</v>
      </c>
      <c r="AJ231" s="4">
        <v>0</v>
      </c>
      <c r="AK231" s="4">
        <v>0</v>
      </c>
      <c r="AL231" s="4">
        <v>1</v>
      </c>
      <c r="AM231" s="4">
        <v>1</v>
      </c>
      <c r="AN231" s="4">
        <v>0</v>
      </c>
      <c r="AO231" s="4">
        <v>0</v>
      </c>
      <c r="AP231" s="3" t="s">
        <v>58</v>
      </c>
      <c r="AQ231" s="3" t="s">
        <v>58</v>
      </c>
      <c r="AS231" s="6" t="str">
        <f>HYPERLINK("https://creighton-primo.hosted.exlibrisgroup.com/primo-explore/search?tab=default_tab&amp;search_scope=EVERYTHING&amp;vid=01CRU&amp;lang=en_US&amp;offset=0&amp;query=any,contains,991004990919702656","Catalog Record")</f>
        <v>Catalog Record</v>
      </c>
      <c r="AT231" s="6" t="str">
        <f>HYPERLINK("http://www.worldcat.org/oclc/6487268","WorldCat Record")</f>
        <v>WorldCat Record</v>
      </c>
      <c r="AU231" s="3" t="s">
        <v>3165</v>
      </c>
      <c r="AV231" s="3" t="s">
        <v>3166</v>
      </c>
      <c r="AW231" s="3" t="s">
        <v>3167</v>
      </c>
      <c r="AX231" s="3" t="s">
        <v>3167</v>
      </c>
      <c r="AY231" s="3" t="s">
        <v>3168</v>
      </c>
      <c r="AZ231" s="3" t="s">
        <v>74</v>
      </c>
      <c r="BB231" s="3" t="s">
        <v>3169</v>
      </c>
      <c r="BC231" s="3" t="s">
        <v>3170</v>
      </c>
      <c r="BD231" s="3" t="s">
        <v>3171</v>
      </c>
    </row>
    <row r="232" spans="1:56" ht="42.75" customHeight="1" x14ac:dyDescent="0.25">
      <c r="A232" s="7" t="s">
        <v>58</v>
      </c>
      <c r="B232" s="2" t="s">
        <v>3172</v>
      </c>
      <c r="C232" s="2" t="s">
        <v>3173</v>
      </c>
      <c r="D232" s="2" t="s">
        <v>3174</v>
      </c>
      <c r="F232" s="3" t="s">
        <v>58</v>
      </c>
      <c r="G232" s="3" t="s">
        <v>59</v>
      </c>
      <c r="H232" s="3" t="s">
        <v>58</v>
      </c>
      <c r="I232" s="3" t="s">
        <v>86</v>
      </c>
      <c r="J232" s="3" t="s">
        <v>60</v>
      </c>
      <c r="K232" s="2" t="s">
        <v>3175</v>
      </c>
      <c r="L232" s="2" t="s">
        <v>3176</v>
      </c>
      <c r="M232" s="3" t="s">
        <v>1574</v>
      </c>
      <c r="O232" s="3" t="s">
        <v>64</v>
      </c>
      <c r="P232" s="3" t="s">
        <v>115</v>
      </c>
      <c r="R232" s="3" t="s">
        <v>67</v>
      </c>
      <c r="S232" s="4">
        <v>7</v>
      </c>
      <c r="T232" s="4">
        <v>7</v>
      </c>
      <c r="U232" s="5" t="s">
        <v>3125</v>
      </c>
      <c r="V232" s="5" t="s">
        <v>3125</v>
      </c>
      <c r="W232" s="5" t="s">
        <v>85</v>
      </c>
      <c r="X232" s="5" t="s">
        <v>85</v>
      </c>
      <c r="Y232" s="4">
        <v>341</v>
      </c>
      <c r="Z232" s="4">
        <v>324</v>
      </c>
      <c r="AA232" s="4">
        <v>839</v>
      </c>
      <c r="AB232" s="4">
        <v>2</v>
      </c>
      <c r="AC232" s="4">
        <v>5</v>
      </c>
      <c r="AD232" s="4">
        <v>6</v>
      </c>
      <c r="AE232" s="4">
        <v>20</v>
      </c>
      <c r="AF232" s="4">
        <v>2</v>
      </c>
      <c r="AG232" s="4">
        <v>9</v>
      </c>
      <c r="AH232" s="4">
        <v>1</v>
      </c>
      <c r="AI232" s="4">
        <v>3</v>
      </c>
      <c r="AJ232" s="4">
        <v>4</v>
      </c>
      <c r="AK232" s="4">
        <v>10</v>
      </c>
      <c r="AL232" s="4">
        <v>0</v>
      </c>
      <c r="AM232" s="4">
        <v>3</v>
      </c>
      <c r="AN232" s="4">
        <v>0</v>
      </c>
      <c r="AO232" s="4">
        <v>0</v>
      </c>
      <c r="AP232" s="3" t="s">
        <v>58</v>
      </c>
      <c r="AQ232" s="3" t="s">
        <v>86</v>
      </c>
      <c r="AR232" s="6" t="str">
        <f>HYPERLINK("http://catalog.hathitrust.org/Record/000167430","HathiTrust Record")</f>
        <v>HathiTrust Record</v>
      </c>
      <c r="AS232" s="6" t="str">
        <f>HYPERLINK("https://creighton-primo.hosted.exlibrisgroup.com/primo-explore/search?tab=default_tab&amp;search_scope=EVERYTHING&amp;vid=01CRU&amp;lang=en_US&amp;offset=0&amp;query=any,contains,991005183699702656","Catalog Record")</f>
        <v>Catalog Record</v>
      </c>
      <c r="AT232" s="6" t="str">
        <f>HYPERLINK("http://www.worldcat.org/oclc/7948157","WorldCat Record")</f>
        <v>WorldCat Record</v>
      </c>
      <c r="AU232" s="3" t="s">
        <v>3177</v>
      </c>
      <c r="AV232" s="3" t="s">
        <v>3178</v>
      </c>
      <c r="AW232" s="3" t="s">
        <v>3179</v>
      </c>
      <c r="AX232" s="3" t="s">
        <v>3179</v>
      </c>
      <c r="AY232" s="3" t="s">
        <v>3180</v>
      </c>
      <c r="AZ232" s="3" t="s">
        <v>74</v>
      </c>
      <c r="BB232" s="3" t="s">
        <v>3181</v>
      </c>
      <c r="BC232" s="3" t="s">
        <v>3182</v>
      </c>
      <c r="BD232" s="3" t="s">
        <v>3183</v>
      </c>
    </row>
    <row r="233" spans="1:56" ht="42.75" customHeight="1" x14ac:dyDescent="0.25">
      <c r="A233" s="7" t="s">
        <v>58</v>
      </c>
      <c r="B233" s="2" t="s">
        <v>3184</v>
      </c>
      <c r="C233" s="2" t="s">
        <v>3185</v>
      </c>
      <c r="D233" s="2" t="s">
        <v>3186</v>
      </c>
      <c r="F233" s="3" t="s">
        <v>58</v>
      </c>
      <c r="G233" s="3" t="s">
        <v>59</v>
      </c>
      <c r="H233" s="3" t="s">
        <v>58</v>
      </c>
      <c r="I233" s="3" t="s">
        <v>86</v>
      </c>
      <c r="J233" s="3" t="s">
        <v>60</v>
      </c>
      <c r="K233" s="2" t="s">
        <v>3175</v>
      </c>
      <c r="L233" s="2" t="s">
        <v>3187</v>
      </c>
      <c r="M233" s="3" t="s">
        <v>371</v>
      </c>
      <c r="N233" s="2" t="s">
        <v>1844</v>
      </c>
      <c r="O233" s="3" t="s">
        <v>64</v>
      </c>
      <c r="P233" s="3" t="s">
        <v>208</v>
      </c>
      <c r="R233" s="3" t="s">
        <v>67</v>
      </c>
      <c r="S233" s="4">
        <v>32</v>
      </c>
      <c r="T233" s="4">
        <v>32</v>
      </c>
      <c r="U233" s="5" t="s">
        <v>3188</v>
      </c>
      <c r="V233" s="5" t="s">
        <v>3188</v>
      </c>
      <c r="W233" s="5" t="s">
        <v>3189</v>
      </c>
      <c r="X233" s="5" t="s">
        <v>3189</v>
      </c>
      <c r="Y233" s="4">
        <v>300</v>
      </c>
      <c r="Z233" s="4">
        <v>253</v>
      </c>
      <c r="AA233" s="4">
        <v>839</v>
      </c>
      <c r="AB233" s="4">
        <v>3</v>
      </c>
      <c r="AC233" s="4">
        <v>5</v>
      </c>
      <c r="AD233" s="4">
        <v>12</v>
      </c>
      <c r="AE233" s="4">
        <v>20</v>
      </c>
      <c r="AF233" s="4">
        <v>5</v>
      </c>
      <c r="AG233" s="4">
        <v>9</v>
      </c>
      <c r="AH233" s="4">
        <v>3</v>
      </c>
      <c r="AI233" s="4">
        <v>3</v>
      </c>
      <c r="AJ233" s="4">
        <v>5</v>
      </c>
      <c r="AK233" s="4">
        <v>10</v>
      </c>
      <c r="AL233" s="4">
        <v>2</v>
      </c>
      <c r="AM233" s="4">
        <v>3</v>
      </c>
      <c r="AN233" s="4">
        <v>0</v>
      </c>
      <c r="AO233" s="4">
        <v>0</v>
      </c>
      <c r="AP233" s="3" t="s">
        <v>58</v>
      </c>
      <c r="AQ233" s="3" t="s">
        <v>86</v>
      </c>
      <c r="AR233" s="6" t="str">
        <f>HYPERLINK("http://catalog.hathitrust.org/Record/000441948","HathiTrust Record")</f>
        <v>HathiTrust Record</v>
      </c>
      <c r="AS233" s="6" t="str">
        <f>HYPERLINK("https://creighton-primo.hosted.exlibrisgroup.com/primo-explore/search?tab=default_tab&amp;search_scope=EVERYTHING&amp;vid=01CRU&amp;lang=en_US&amp;offset=0&amp;query=any,contains,991000750199702656","Catalog Record")</f>
        <v>Catalog Record</v>
      </c>
      <c r="AT233" s="6" t="str">
        <f>HYPERLINK("http://www.worldcat.org/oclc/12909223","WorldCat Record")</f>
        <v>WorldCat Record</v>
      </c>
      <c r="AU233" s="3" t="s">
        <v>3177</v>
      </c>
      <c r="AV233" s="3" t="s">
        <v>3190</v>
      </c>
      <c r="AW233" s="3" t="s">
        <v>3191</v>
      </c>
      <c r="AX233" s="3" t="s">
        <v>3191</v>
      </c>
      <c r="AY233" s="3" t="s">
        <v>3192</v>
      </c>
      <c r="AZ233" s="3" t="s">
        <v>74</v>
      </c>
      <c r="BB233" s="3" t="s">
        <v>3193</v>
      </c>
      <c r="BC233" s="3" t="s">
        <v>3194</v>
      </c>
      <c r="BD233" s="3" t="s">
        <v>3195</v>
      </c>
    </row>
    <row r="234" spans="1:56" ht="42.75" customHeight="1" x14ac:dyDescent="0.25">
      <c r="A234" s="7" t="s">
        <v>58</v>
      </c>
      <c r="B234" s="2" t="s">
        <v>3196</v>
      </c>
      <c r="C234" s="2" t="s">
        <v>3197</v>
      </c>
      <c r="D234" s="2" t="s">
        <v>3198</v>
      </c>
      <c r="F234" s="3" t="s">
        <v>58</v>
      </c>
      <c r="G234" s="3" t="s">
        <v>59</v>
      </c>
      <c r="H234" s="3" t="s">
        <v>58</v>
      </c>
      <c r="I234" s="3" t="s">
        <v>58</v>
      </c>
      <c r="J234" s="3" t="s">
        <v>60</v>
      </c>
      <c r="K234" s="2" t="s">
        <v>3199</v>
      </c>
      <c r="L234" s="2" t="s">
        <v>3200</v>
      </c>
      <c r="M234" s="3" t="s">
        <v>1141</v>
      </c>
      <c r="N234" s="2" t="s">
        <v>1736</v>
      </c>
      <c r="O234" s="3" t="s">
        <v>64</v>
      </c>
      <c r="P234" s="3" t="s">
        <v>208</v>
      </c>
      <c r="R234" s="3" t="s">
        <v>67</v>
      </c>
      <c r="S234" s="4">
        <v>2</v>
      </c>
      <c r="T234" s="4">
        <v>2</v>
      </c>
      <c r="U234" s="5" t="s">
        <v>3201</v>
      </c>
      <c r="V234" s="5" t="s">
        <v>3201</v>
      </c>
      <c r="W234" s="5" t="s">
        <v>3202</v>
      </c>
      <c r="X234" s="5" t="s">
        <v>3202</v>
      </c>
      <c r="Y234" s="4">
        <v>480</v>
      </c>
      <c r="Z234" s="4">
        <v>466</v>
      </c>
      <c r="AA234" s="4">
        <v>471</v>
      </c>
      <c r="AB234" s="4">
        <v>5</v>
      </c>
      <c r="AC234" s="4">
        <v>5</v>
      </c>
      <c r="AD234" s="4">
        <v>6</v>
      </c>
      <c r="AE234" s="4">
        <v>6</v>
      </c>
      <c r="AF234" s="4">
        <v>1</v>
      </c>
      <c r="AG234" s="4">
        <v>1</v>
      </c>
      <c r="AH234" s="4">
        <v>3</v>
      </c>
      <c r="AI234" s="4">
        <v>3</v>
      </c>
      <c r="AJ234" s="4">
        <v>1</v>
      </c>
      <c r="AK234" s="4">
        <v>1</v>
      </c>
      <c r="AL234" s="4">
        <v>2</v>
      </c>
      <c r="AM234" s="4">
        <v>2</v>
      </c>
      <c r="AN234" s="4">
        <v>0</v>
      </c>
      <c r="AO234" s="4">
        <v>0</v>
      </c>
      <c r="AP234" s="3" t="s">
        <v>58</v>
      </c>
      <c r="AQ234" s="3" t="s">
        <v>58</v>
      </c>
      <c r="AS234" s="6" t="str">
        <f>HYPERLINK("https://creighton-primo.hosted.exlibrisgroup.com/primo-explore/search?tab=default_tab&amp;search_scope=EVERYTHING&amp;vid=01CRU&amp;lang=en_US&amp;offset=0&amp;query=any,contains,991004330139702656","Catalog Record")</f>
        <v>Catalog Record</v>
      </c>
      <c r="AT234" s="6" t="str">
        <f>HYPERLINK("http://www.worldcat.org/oclc/50164829","WorldCat Record")</f>
        <v>WorldCat Record</v>
      </c>
      <c r="AU234" s="3" t="s">
        <v>3203</v>
      </c>
      <c r="AV234" s="3" t="s">
        <v>3204</v>
      </c>
      <c r="AW234" s="3" t="s">
        <v>3205</v>
      </c>
      <c r="AX234" s="3" t="s">
        <v>3205</v>
      </c>
      <c r="AY234" s="3" t="s">
        <v>3206</v>
      </c>
      <c r="AZ234" s="3" t="s">
        <v>74</v>
      </c>
      <c r="BB234" s="3" t="s">
        <v>3207</v>
      </c>
      <c r="BC234" s="3" t="s">
        <v>3208</v>
      </c>
      <c r="BD234" s="3" t="s">
        <v>3209</v>
      </c>
    </row>
    <row r="235" spans="1:56" ht="42.75" customHeight="1" x14ac:dyDescent="0.25">
      <c r="A235" s="7" t="s">
        <v>58</v>
      </c>
      <c r="B235" s="2" t="s">
        <v>3210</v>
      </c>
      <c r="C235" s="2" t="s">
        <v>3211</v>
      </c>
      <c r="D235" s="2" t="s">
        <v>3212</v>
      </c>
      <c r="F235" s="3" t="s">
        <v>58</v>
      </c>
      <c r="G235" s="3" t="s">
        <v>59</v>
      </c>
      <c r="H235" s="3" t="s">
        <v>58</v>
      </c>
      <c r="I235" s="3" t="s">
        <v>58</v>
      </c>
      <c r="J235" s="3" t="s">
        <v>60</v>
      </c>
      <c r="K235" s="2" t="s">
        <v>3213</v>
      </c>
      <c r="L235" s="2" t="s">
        <v>3214</v>
      </c>
      <c r="M235" s="3" t="s">
        <v>3215</v>
      </c>
      <c r="O235" s="3" t="s">
        <v>64</v>
      </c>
      <c r="P235" s="3" t="s">
        <v>239</v>
      </c>
      <c r="Q235" s="2" t="s">
        <v>3216</v>
      </c>
      <c r="R235" s="3" t="s">
        <v>67</v>
      </c>
      <c r="S235" s="4">
        <v>3</v>
      </c>
      <c r="T235" s="4">
        <v>3</v>
      </c>
      <c r="U235" s="5" t="s">
        <v>3217</v>
      </c>
      <c r="V235" s="5" t="s">
        <v>3217</v>
      </c>
      <c r="W235" s="5" t="s">
        <v>272</v>
      </c>
      <c r="X235" s="5" t="s">
        <v>272</v>
      </c>
      <c r="Y235" s="4">
        <v>156</v>
      </c>
      <c r="Z235" s="4">
        <v>107</v>
      </c>
      <c r="AA235" s="4">
        <v>284</v>
      </c>
      <c r="AB235" s="4">
        <v>1</v>
      </c>
      <c r="AC235" s="4">
        <v>2</v>
      </c>
      <c r="AD235" s="4">
        <v>3</v>
      </c>
      <c r="AE235" s="4">
        <v>13</v>
      </c>
      <c r="AF235" s="4">
        <v>1</v>
      </c>
      <c r="AG235" s="4">
        <v>5</v>
      </c>
      <c r="AH235" s="4">
        <v>1</v>
      </c>
      <c r="AI235" s="4">
        <v>4</v>
      </c>
      <c r="AJ235" s="4">
        <v>2</v>
      </c>
      <c r="AK235" s="4">
        <v>7</v>
      </c>
      <c r="AL235" s="4">
        <v>0</v>
      </c>
      <c r="AM235" s="4">
        <v>1</v>
      </c>
      <c r="AN235" s="4">
        <v>0</v>
      </c>
      <c r="AO235" s="4">
        <v>0</v>
      </c>
      <c r="AP235" s="3" t="s">
        <v>58</v>
      </c>
      <c r="AQ235" s="3" t="s">
        <v>86</v>
      </c>
      <c r="AR235" s="6" t="str">
        <f>HYPERLINK("http://catalog.hathitrust.org/Record/005708815","HathiTrust Record")</f>
        <v>HathiTrust Record</v>
      </c>
      <c r="AS235" s="6" t="str">
        <f>HYPERLINK("https://creighton-primo.hosted.exlibrisgroup.com/primo-explore/search?tab=default_tab&amp;search_scope=EVERYTHING&amp;vid=01CRU&amp;lang=en_US&amp;offset=0&amp;query=any,contains,991002780919702656","Catalog Record")</f>
        <v>Catalog Record</v>
      </c>
      <c r="AT235" s="6" t="str">
        <f>HYPERLINK("http://www.worldcat.org/oclc/440196","WorldCat Record")</f>
        <v>WorldCat Record</v>
      </c>
      <c r="AU235" s="3" t="s">
        <v>3218</v>
      </c>
      <c r="AV235" s="3" t="s">
        <v>3219</v>
      </c>
      <c r="AW235" s="3" t="s">
        <v>3220</v>
      </c>
      <c r="AX235" s="3" t="s">
        <v>3220</v>
      </c>
      <c r="AY235" s="3" t="s">
        <v>3221</v>
      </c>
      <c r="AZ235" s="3" t="s">
        <v>74</v>
      </c>
      <c r="BC235" s="3" t="s">
        <v>3222</v>
      </c>
      <c r="BD235" s="3" t="s">
        <v>3223</v>
      </c>
    </row>
    <row r="236" spans="1:56" ht="42.75" customHeight="1" x14ac:dyDescent="0.25">
      <c r="A236" s="7" t="s">
        <v>58</v>
      </c>
      <c r="B236" s="2" t="s">
        <v>3224</v>
      </c>
      <c r="C236" s="2" t="s">
        <v>3225</v>
      </c>
      <c r="D236" s="2" t="s">
        <v>3226</v>
      </c>
      <c r="F236" s="3" t="s">
        <v>58</v>
      </c>
      <c r="G236" s="3" t="s">
        <v>59</v>
      </c>
      <c r="H236" s="3" t="s">
        <v>58</v>
      </c>
      <c r="I236" s="3" t="s">
        <v>58</v>
      </c>
      <c r="J236" s="3" t="s">
        <v>60</v>
      </c>
      <c r="K236" s="2" t="s">
        <v>3227</v>
      </c>
      <c r="L236" s="2" t="s">
        <v>3228</v>
      </c>
      <c r="M236" s="3" t="s">
        <v>805</v>
      </c>
      <c r="N236" s="2" t="s">
        <v>1736</v>
      </c>
      <c r="O236" s="3" t="s">
        <v>64</v>
      </c>
      <c r="P236" s="3" t="s">
        <v>115</v>
      </c>
      <c r="R236" s="3" t="s">
        <v>67</v>
      </c>
      <c r="S236" s="4">
        <v>1</v>
      </c>
      <c r="T236" s="4">
        <v>1</v>
      </c>
      <c r="U236" s="5" t="s">
        <v>3229</v>
      </c>
      <c r="V236" s="5" t="s">
        <v>3229</v>
      </c>
      <c r="W236" s="5" t="s">
        <v>3230</v>
      </c>
      <c r="X236" s="5" t="s">
        <v>3230</v>
      </c>
      <c r="Y236" s="4">
        <v>464</v>
      </c>
      <c r="Z236" s="4">
        <v>426</v>
      </c>
      <c r="AA236" s="4">
        <v>539</v>
      </c>
      <c r="AB236" s="4">
        <v>2</v>
      </c>
      <c r="AC236" s="4">
        <v>2</v>
      </c>
      <c r="AD236" s="4">
        <v>14</v>
      </c>
      <c r="AE236" s="4">
        <v>17</v>
      </c>
      <c r="AF236" s="4">
        <v>4</v>
      </c>
      <c r="AG236" s="4">
        <v>7</v>
      </c>
      <c r="AH236" s="4">
        <v>2</v>
      </c>
      <c r="AI236" s="4">
        <v>2</v>
      </c>
      <c r="AJ236" s="4">
        <v>8</v>
      </c>
      <c r="AK236" s="4">
        <v>9</v>
      </c>
      <c r="AL236" s="4">
        <v>1</v>
      </c>
      <c r="AM236" s="4">
        <v>1</v>
      </c>
      <c r="AN236" s="4">
        <v>0</v>
      </c>
      <c r="AO236" s="4">
        <v>0</v>
      </c>
      <c r="AP236" s="3" t="s">
        <v>58</v>
      </c>
      <c r="AQ236" s="3" t="s">
        <v>58</v>
      </c>
      <c r="AS236" s="6" t="str">
        <f>HYPERLINK("https://creighton-primo.hosted.exlibrisgroup.com/primo-explore/search?tab=default_tab&amp;search_scope=EVERYTHING&amp;vid=01CRU&amp;lang=en_US&amp;offset=0&amp;query=any,contains,991002601869702656","Catalog Record")</f>
        <v>Catalog Record</v>
      </c>
      <c r="AT236" s="6" t="str">
        <f>HYPERLINK("http://www.worldcat.org/oclc/34078983","WorldCat Record")</f>
        <v>WorldCat Record</v>
      </c>
      <c r="AU236" s="3" t="s">
        <v>3231</v>
      </c>
      <c r="AV236" s="3" t="s">
        <v>3232</v>
      </c>
      <c r="AW236" s="3" t="s">
        <v>3233</v>
      </c>
      <c r="AX236" s="3" t="s">
        <v>3233</v>
      </c>
      <c r="AY236" s="3" t="s">
        <v>3234</v>
      </c>
      <c r="AZ236" s="3" t="s">
        <v>74</v>
      </c>
      <c r="BB236" s="3" t="s">
        <v>3235</v>
      </c>
      <c r="BC236" s="3" t="s">
        <v>3236</v>
      </c>
      <c r="BD236" s="3" t="s">
        <v>3237</v>
      </c>
    </row>
    <row r="237" spans="1:56" ht="42.75" customHeight="1" x14ac:dyDescent="0.25">
      <c r="A237" s="7" t="s">
        <v>58</v>
      </c>
      <c r="B237" s="2" t="s">
        <v>3238</v>
      </c>
      <c r="C237" s="2" t="s">
        <v>3239</v>
      </c>
      <c r="D237" s="2" t="s">
        <v>3240</v>
      </c>
      <c r="F237" s="3" t="s">
        <v>58</v>
      </c>
      <c r="G237" s="3" t="s">
        <v>59</v>
      </c>
      <c r="H237" s="3" t="s">
        <v>86</v>
      </c>
      <c r="I237" s="3" t="s">
        <v>58</v>
      </c>
      <c r="J237" s="3" t="s">
        <v>60</v>
      </c>
      <c r="K237" s="2" t="s">
        <v>3241</v>
      </c>
      <c r="L237" s="2" t="s">
        <v>3242</v>
      </c>
      <c r="M237" s="3" t="s">
        <v>805</v>
      </c>
      <c r="O237" s="3" t="s">
        <v>64</v>
      </c>
      <c r="P237" s="3" t="s">
        <v>115</v>
      </c>
      <c r="R237" s="3" t="s">
        <v>67</v>
      </c>
      <c r="S237" s="4">
        <v>15</v>
      </c>
      <c r="T237" s="4">
        <v>22</v>
      </c>
      <c r="U237" s="5" t="s">
        <v>3243</v>
      </c>
      <c r="V237" s="5" t="s">
        <v>3243</v>
      </c>
      <c r="W237" s="5" t="s">
        <v>3244</v>
      </c>
      <c r="X237" s="5" t="s">
        <v>3245</v>
      </c>
      <c r="Y237" s="4">
        <v>939</v>
      </c>
      <c r="Z237" s="4">
        <v>933</v>
      </c>
      <c r="AA237" s="4">
        <v>1876</v>
      </c>
      <c r="AB237" s="4">
        <v>17</v>
      </c>
      <c r="AC237" s="4">
        <v>23</v>
      </c>
      <c r="AD237" s="4">
        <v>20</v>
      </c>
      <c r="AE237" s="4">
        <v>32</v>
      </c>
      <c r="AF237" s="4">
        <v>8</v>
      </c>
      <c r="AG237" s="4">
        <v>13</v>
      </c>
      <c r="AH237" s="4">
        <v>1</v>
      </c>
      <c r="AI237" s="4">
        <v>2</v>
      </c>
      <c r="AJ237" s="4">
        <v>4</v>
      </c>
      <c r="AK237" s="4">
        <v>11</v>
      </c>
      <c r="AL237" s="4">
        <v>10</v>
      </c>
      <c r="AM237" s="4">
        <v>13</v>
      </c>
      <c r="AN237" s="4">
        <v>0</v>
      </c>
      <c r="AO237" s="4">
        <v>0</v>
      </c>
      <c r="AP237" s="3" t="s">
        <v>58</v>
      </c>
      <c r="AQ237" s="3" t="s">
        <v>86</v>
      </c>
      <c r="AR237" s="6" t="str">
        <f>HYPERLINK("http://catalog.hathitrust.org/Record/003251387","HathiTrust Record")</f>
        <v>HathiTrust Record</v>
      </c>
      <c r="AS237" s="6" t="str">
        <f>HYPERLINK("https://creighton-primo.hosted.exlibrisgroup.com/primo-explore/search?tab=default_tab&amp;search_scope=EVERYTHING&amp;vid=01CRU&amp;lang=en_US&amp;offset=0&amp;query=any,contains,991001774789702656","Catalog Record")</f>
        <v>Catalog Record</v>
      </c>
      <c r="AT237" s="6" t="str">
        <f>HYPERLINK("http://www.worldcat.org/oclc/38874995","WorldCat Record")</f>
        <v>WorldCat Record</v>
      </c>
      <c r="AU237" s="3" t="s">
        <v>3246</v>
      </c>
      <c r="AV237" s="3" t="s">
        <v>3247</v>
      </c>
      <c r="AW237" s="3" t="s">
        <v>3248</v>
      </c>
      <c r="AX237" s="3" t="s">
        <v>3248</v>
      </c>
      <c r="AY237" s="3" t="s">
        <v>3249</v>
      </c>
      <c r="AZ237" s="3" t="s">
        <v>74</v>
      </c>
      <c r="BB237" s="3" t="s">
        <v>3250</v>
      </c>
      <c r="BC237" s="3" t="s">
        <v>3251</v>
      </c>
      <c r="BD237" s="3" t="s">
        <v>3252</v>
      </c>
    </row>
    <row r="238" spans="1:56" ht="42.75" customHeight="1" x14ac:dyDescent="0.25">
      <c r="A238" s="7" t="s">
        <v>58</v>
      </c>
      <c r="B238" s="2" t="s">
        <v>3253</v>
      </c>
      <c r="C238" s="2" t="s">
        <v>3254</v>
      </c>
      <c r="D238" s="2" t="s">
        <v>3255</v>
      </c>
      <c r="F238" s="3" t="s">
        <v>58</v>
      </c>
      <c r="G238" s="3" t="s">
        <v>59</v>
      </c>
      <c r="H238" s="3" t="s">
        <v>58</v>
      </c>
      <c r="I238" s="3" t="s">
        <v>58</v>
      </c>
      <c r="J238" s="3" t="s">
        <v>60</v>
      </c>
      <c r="K238" s="2" t="s">
        <v>3256</v>
      </c>
      <c r="L238" s="2" t="s">
        <v>3257</v>
      </c>
      <c r="M238" s="3" t="s">
        <v>942</v>
      </c>
      <c r="O238" s="3" t="s">
        <v>64</v>
      </c>
      <c r="P238" s="3" t="s">
        <v>1898</v>
      </c>
      <c r="R238" s="3" t="s">
        <v>67</v>
      </c>
      <c r="S238" s="4">
        <v>4</v>
      </c>
      <c r="T238" s="4">
        <v>4</v>
      </c>
      <c r="U238" s="5" t="s">
        <v>3258</v>
      </c>
      <c r="V238" s="5" t="s">
        <v>3258</v>
      </c>
      <c r="W238" s="5" t="s">
        <v>3259</v>
      </c>
      <c r="X238" s="5" t="s">
        <v>3259</v>
      </c>
      <c r="Y238" s="4">
        <v>924</v>
      </c>
      <c r="Z238" s="4">
        <v>801</v>
      </c>
      <c r="AA238" s="4">
        <v>979</v>
      </c>
      <c r="AB238" s="4">
        <v>3</v>
      </c>
      <c r="AC238" s="4">
        <v>3</v>
      </c>
      <c r="AD238" s="4">
        <v>33</v>
      </c>
      <c r="AE238" s="4">
        <v>41</v>
      </c>
      <c r="AF238" s="4">
        <v>17</v>
      </c>
      <c r="AG238" s="4">
        <v>21</v>
      </c>
      <c r="AH238" s="4">
        <v>7</v>
      </c>
      <c r="AI238" s="4">
        <v>11</v>
      </c>
      <c r="AJ238" s="4">
        <v>15</v>
      </c>
      <c r="AK238" s="4">
        <v>18</v>
      </c>
      <c r="AL238" s="4">
        <v>2</v>
      </c>
      <c r="AM238" s="4">
        <v>2</v>
      </c>
      <c r="AN238" s="4">
        <v>1</v>
      </c>
      <c r="AO238" s="4">
        <v>1</v>
      </c>
      <c r="AP238" s="3" t="s">
        <v>58</v>
      </c>
      <c r="AQ238" s="3" t="s">
        <v>58</v>
      </c>
      <c r="AS238" s="6" t="str">
        <f>HYPERLINK("https://creighton-primo.hosted.exlibrisgroup.com/primo-explore/search?tab=default_tab&amp;search_scope=EVERYTHING&amp;vid=01CRU&amp;lang=en_US&amp;offset=0&amp;query=any,contains,991005429649702656","Catalog Record")</f>
        <v>Catalog Record</v>
      </c>
      <c r="AT238" s="6" t="str">
        <f>HYPERLINK("http://www.worldcat.org/oclc/40200136","WorldCat Record")</f>
        <v>WorldCat Record</v>
      </c>
      <c r="AU238" s="3" t="s">
        <v>3260</v>
      </c>
      <c r="AV238" s="3" t="s">
        <v>3261</v>
      </c>
      <c r="AW238" s="3" t="s">
        <v>3262</v>
      </c>
      <c r="AX238" s="3" t="s">
        <v>3262</v>
      </c>
      <c r="AY238" s="3" t="s">
        <v>3263</v>
      </c>
      <c r="AZ238" s="3" t="s">
        <v>74</v>
      </c>
      <c r="BB238" s="3" t="s">
        <v>3264</v>
      </c>
      <c r="BC238" s="3" t="s">
        <v>3265</v>
      </c>
      <c r="BD238" s="3" t="s">
        <v>3266</v>
      </c>
    </row>
    <row r="239" spans="1:56" ht="42.75" customHeight="1" x14ac:dyDescent="0.25">
      <c r="A239" s="7" t="s">
        <v>58</v>
      </c>
      <c r="B239" s="2" t="s">
        <v>3267</v>
      </c>
      <c r="C239" s="2" t="s">
        <v>3268</v>
      </c>
      <c r="D239" s="2" t="s">
        <v>3269</v>
      </c>
      <c r="F239" s="3" t="s">
        <v>58</v>
      </c>
      <c r="G239" s="3" t="s">
        <v>59</v>
      </c>
      <c r="H239" s="3" t="s">
        <v>58</v>
      </c>
      <c r="I239" s="3" t="s">
        <v>58</v>
      </c>
      <c r="J239" s="3" t="s">
        <v>60</v>
      </c>
      <c r="K239" s="2" t="s">
        <v>3270</v>
      </c>
      <c r="L239" s="2" t="s">
        <v>3271</v>
      </c>
      <c r="M239" s="3" t="s">
        <v>888</v>
      </c>
      <c r="N239" s="2" t="s">
        <v>3272</v>
      </c>
      <c r="O239" s="3" t="s">
        <v>64</v>
      </c>
      <c r="P239" s="3" t="s">
        <v>115</v>
      </c>
      <c r="R239" s="3" t="s">
        <v>67</v>
      </c>
      <c r="S239" s="4">
        <v>2</v>
      </c>
      <c r="T239" s="4">
        <v>2</v>
      </c>
      <c r="U239" s="5" t="s">
        <v>3273</v>
      </c>
      <c r="V239" s="5" t="s">
        <v>3273</v>
      </c>
      <c r="W239" s="5" t="s">
        <v>3274</v>
      </c>
      <c r="X239" s="5" t="s">
        <v>3274</v>
      </c>
      <c r="Y239" s="4">
        <v>297</v>
      </c>
      <c r="Z239" s="4">
        <v>270</v>
      </c>
      <c r="AA239" s="4">
        <v>628</v>
      </c>
      <c r="AB239" s="4">
        <v>1</v>
      </c>
      <c r="AC239" s="4">
        <v>1</v>
      </c>
      <c r="AD239" s="4">
        <v>8</v>
      </c>
      <c r="AE239" s="4">
        <v>17</v>
      </c>
      <c r="AF239" s="4">
        <v>3</v>
      </c>
      <c r="AG239" s="4">
        <v>9</v>
      </c>
      <c r="AH239" s="4">
        <v>3</v>
      </c>
      <c r="AI239" s="4">
        <v>5</v>
      </c>
      <c r="AJ239" s="4">
        <v>4</v>
      </c>
      <c r="AK239" s="4">
        <v>9</v>
      </c>
      <c r="AL239" s="4">
        <v>0</v>
      </c>
      <c r="AM239" s="4">
        <v>0</v>
      </c>
      <c r="AN239" s="4">
        <v>0</v>
      </c>
      <c r="AO239" s="4">
        <v>0</v>
      </c>
      <c r="AP239" s="3" t="s">
        <v>58</v>
      </c>
      <c r="AQ239" s="3" t="s">
        <v>58</v>
      </c>
      <c r="AS239" s="6" t="str">
        <f>HYPERLINK("https://creighton-primo.hosted.exlibrisgroup.com/primo-explore/search?tab=default_tab&amp;search_scope=EVERYTHING&amp;vid=01CRU&amp;lang=en_US&amp;offset=0&amp;query=any,contains,991004257099702656","Catalog Record")</f>
        <v>Catalog Record</v>
      </c>
      <c r="AT239" s="6" t="str">
        <f>HYPERLINK("http://www.worldcat.org/oclc/39162273","WorldCat Record")</f>
        <v>WorldCat Record</v>
      </c>
      <c r="AU239" s="3" t="s">
        <v>3275</v>
      </c>
      <c r="AV239" s="3" t="s">
        <v>3276</v>
      </c>
      <c r="AW239" s="3" t="s">
        <v>3277</v>
      </c>
      <c r="AX239" s="3" t="s">
        <v>3277</v>
      </c>
      <c r="AY239" s="3" t="s">
        <v>3278</v>
      </c>
      <c r="AZ239" s="3" t="s">
        <v>74</v>
      </c>
      <c r="BB239" s="3" t="s">
        <v>3279</v>
      </c>
      <c r="BC239" s="3" t="s">
        <v>3280</v>
      </c>
      <c r="BD239" s="3" t="s">
        <v>3281</v>
      </c>
    </row>
    <row r="240" spans="1:56" ht="42.75" customHeight="1" x14ac:dyDescent="0.25">
      <c r="A240" s="7" t="s">
        <v>58</v>
      </c>
      <c r="B240" s="2" t="s">
        <v>3282</v>
      </c>
      <c r="C240" s="2" t="s">
        <v>3283</v>
      </c>
      <c r="D240" s="2" t="s">
        <v>3284</v>
      </c>
      <c r="F240" s="3" t="s">
        <v>58</v>
      </c>
      <c r="G240" s="3" t="s">
        <v>59</v>
      </c>
      <c r="H240" s="3" t="s">
        <v>58</v>
      </c>
      <c r="I240" s="3" t="s">
        <v>58</v>
      </c>
      <c r="J240" s="3" t="s">
        <v>60</v>
      </c>
      <c r="L240" s="2" t="s">
        <v>3285</v>
      </c>
      <c r="M240" s="3" t="s">
        <v>695</v>
      </c>
      <c r="O240" s="3" t="s">
        <v>64</v>
      </c>
      <c r="P240" s="3" t="s">
        <v>115</v>
      </c>
      <c r="Q240" s="2" t="s">
        <v>3286</v>
      </c>
      <c r="R240" s="3" t="s">
        <v>67</v>
      </c>
      <c r="S240" s="4">
        <v>12</v>
      </c>
      <c r="T240" s="4">
        <v>12</v>
      </c>
      <c r="U240" s="5" t="s">
        <v>3287</v>
      </c>
      <c r="V240" s="5" t="s">
        <v>3287</v>
      </c>
      <c r="W240" s="5" t="s">
        <v>3288</v>
      </c>
      <c r="X240" s="5" t="s">
        <v>3288</v>
      </c>
      <c r="Y240" s="4">
        <v>208</v>
      </c>
      <c r="Z240" s="4">
        <v>167</v>
      </c>
      <c r="AA240" s="4">
        <v>174</v>
      </c>
      <c r="AB240" s="4">
        <v>1</v>
      </c>
      <c r="AC240" s="4">
        <v>1</v>
      </c>
      <c r="AD240" s="4">
        <v>3</v>
      </c>
      <c r="AE240" s="4">
        <v>3</v>
      </c>
      <c r="AF240" s="4">
        <v>0</v>
      </c>
      <c r="AG240" s="4">
        <v>0</v>
      </c>
      <c r="AH240" s="4">
        <v>1</v>
      </c>
      <c r="AI240" s="4">
        <v>1</v>
      </c>
      <c r="AJ240" s="4">
        <v>2</v>
      </c>
      <c r="AK240" s="4">
        <v>2</v>
      </c>
      <c r="AL240" s="4">
        <v>0</v>
      </c>
      <c r="AM240" s="4">
        <v>0</v>
      </c>
      <c r="AN240" s="4">
        <v>0</v>
      </c>
      <c r="AO240" s="4">
        <v>0</v>
      </c>
      <c r="AP240" s="3" t="s">
        <v>58</v>
      </c>
      <c r="AQ240" s="3" t="s">
        <v>58</v>
      </c>
      <c r="AS240" s="6" t="str">
        <f>HYPERLINK("https://creighton-primo.hosted.exlibrisgroup.com/primo-explore/search?tab=default_tab&amp;search_scope=EVERYTHING&amp;vid=01CRU&amp;lang=en_US&amp;offset=0&amp;query=any,contains,991002174899702656","Catalog Record")</f>
        <v>Catalog Record</v>
      </c>
      <c r="AT240" s="6" t="str">
        <f>HYPERLINK("http://www.worldcat.org/oclc/27978568","WorldCat Record")</f>
        <v>WorldCat Record</v>
      </c>
      <c r="AU240" s="3" t="s">
        <v>3289</v>
      </c>
      <c r="AV240" s="3" t="s">
        <v>3290</v>
      </c>
      <c r="AW240" s="3" t="s">
        <v>3291</v>
      </c>
      <c r="AX240" s="3" t="s">
        <v>3291</v>
      </c>
      <c r="AY240" s="3" t="s">
        <v>3292</v>
      </c>
      <c r="AZ240" s="3" t="s">
        <v>74</v>
      </c>
      <c r="BB240" s="3" t="s">
        <v>3293</v>
      </c>
      <c r="BC240" s="3" t="s">
        <v>3294</v>
      </c>
      <c r="BD240" s="3" t="s">
        <v>3295</v>
      </c>
    </row>
    <row r="241" spans="1:56" ht="42.75" customHeight="1" x14ac:dyDescent="0.25">
      <c r="A241" s="7" t="s">
        <v>58</v>
      </c>
      <c r="B241" s="2" t="s">
        <v>3296</v>
      </c>
      <c r="C241" s="2" t="s">
        <v>3297</v>
      </c>
      <c r="D241" s="2" t="s">
        <v>3298</v>
      </c>
      <c r="F241" s="3" t="s">
        <v>58</v>
      </c>
      <c r="G241" s="3" t="s">
        <v>59</v>
      </c>
      <c r="H241" s="3" t="s">
        <v>58</v>
      </c>
      <c r="I241" s="3" t="s">
        <v>58</v>
      </c>
      <c r="J241" s="3" t="s">
        <v>60</v>
      </c>
      <c r="L241" s="2" t="s">
        <v>1682</v>
      </c>
      <c r="M241" s="3" t="s">
        <v>63</v>
      </c>
      <c r="O241" s="3" t="s">
        <v>64</v>
      </c>
      <c r="P241" s="3" t="s">
        <v>115</v>
      </c>
      <c r="Q241" s="2" t="s">
        <v>3299</v>
      </c>
      <c r="R241" s="3" t="s">
        <v>67</v>
      </c>
      <c r="S241" s="4">
        <v>9</v>
      </c>
      <c r="T241" s="4">
        <v>9</v>
      </c>
      <c r="U241" s="5" t="s">
        <v>3125</v>
      </c>
      <c r="V241" s="5" t="s">
        <v>3125</v>
      </c>
      <c r="W241" s="5" t="s">
        <v>3300</v>
      </c>
      <c r="X241" s="5" t="s">
        <v>3300</v>
      </c>
      <c r="Y241" s="4">
        <v>170</v>
      </c>
      <c r="Z241" s="4">
        <v>116</v>
      </c>
      <c r="AA241" s="4">
        <v>118</v>
      </c>
      <c r="AB241" s="4">
        <v>1</v>
      </c>
      <c r="AC241" s="4">
        <v>1</v>
      </c>
      <c r="AD241" s="4">
        <v>2</v>
      </c>
      <c r="AE241" s="4">
        <v>2</v>
      </c>
      <c r="AF241" s="4">
        <v>1</v>
      </c>
      <c r="AG241" s="4">
        <v>1</v>
      </c>
      <c r="AH241" s="4">
        <v>0</v>
      </c>
      <c r="AI241" s="4">
        <v>0</v>
      </c>
      <c r="AJ241" s="4">
        <v>1</v>
      </c>
      <c r="AK241" s="4">
        <v>1</v>
      </c>
      <c r="AL241" s="4">
        <v>0</v>
      </c>
      <c r="AM241" s="4">
        <v>0</v>
      </c>
      <c r="AN241" s="4">
        <v>0</v>
      </c>
      <c r="AO241" s="4">
        <v>0</v>
      </c>
      <c r="AP241" s="3" t="s">
        <v>58</v>
      </c>
      <c r="AQ241" s="3" t="s">
        <v>86</v>
      </c>
      <c r="AR241" s="6" t="str">
        <f>HYPERLINK("http://catalog.hathitrust.org/Record/000780895","HathiTrust Record")</f>
        <v>HathiTrust Record</v>
      </c>
      <c r="AS241" s="6" t="str">
        <f>HYPERLINK("https://creighton-primo.hosted.exlibrisgroup.com/primo-explore/search?tab=default_tab&amp;search_scope=EVERYTHING&amp;vid=01CRU&amp;lang=en_US&amp;offset=0&amp;query=any,contains,991000228239702656","Catalog Record")</f>
        <v>Catalog Record</v>
      </c>
      <c r="AT241" s="6" t="str">
        <f>HYPERLINK("http://www.worldcat.org/oclc/9622345","WorldCat Record")</f>
        <v>WorldCat Record</v>
      </c>
      <c r="AU241" s="3" t="s">
        <v>3301</v>
      </c>
      <c r="AV241" s="3" t="s">
        <v>3302</v>
      </c>
      <c r="AW241" s="3" t="s">
        <v>3303</v>
      </c>
      <c r="AX241" s="3" t="s">
        <v>3303</v>
      </c>
      <c r="AY241" s="3" t="s">
        <v>3304</v>
      </c>
      <c r="AZ241" s="3" t="s">
        <v>74</v>
      </c>
      <c r="BB241" s="3" t="s">
        <v>3305</v>
      </c>
      <c r="BC241" s="3" t="s">
        <v>3306</v>
      </c>
      <c r="BD241" s="3" t="s">
        <v>3307</v>
      </c>
    </row>
    <row r="242" spans="1:56" ht="42.75" customHeight="1" x14ac:dyDescent="0.25">
      <c r="A242" s="7" t="s">
        <v>58</v>
      </c>
      <c r="B242" s="2" t="s">
        <v>3308</v>
      </c>
      <c r="C242" s="2" t="s">
        <v>3309</v>
      </c>
      <c r="D242" s="2" t="s">
        <v>3310</v>
      </c>
      <c r="F242" s="3" t="s">
        <v>58</v>
      </c>
      <c r="G242" s="3" t="s">
        <v>59</v>
      </c>
      <c r="H242" s="3" t="s">
        <v>58</v>
      </c>
      <c r="I242" s="3" t="s">
        <v>58</v>
      </c>
      <c r="J242" s="3" t="s">
        <v>60</v>
      </c>
      <c r="L242" s="2" t="s">
        <v>3311</v>
      </c>
      <c r="M242" s="3" t="s">
        <v>114</v>
      </c>
      <c r="O242" s="3" t="s">
        <v>64</v>
      </c>
      <c r="P242" s="3" t="s">
        <v>115</v>
      </c>
      <c r="Q242" s="2" t="s">
        <v>3312</v>
      </c>
      <c r="R242" s="3" t="s">
        <v>67</v>
      </c>
      <c r="S242" s="4">
        <v>20</v>
      </c>
      <c r="T242" s="4">
        <v>20</v>
      </c>
      <c r="U242" s="5" t="s">
        <v>3125</v>
      </c>
      <c r="V242" s="5" t="s">
        <v>3125</v>
      </c>
      <c r="W242" s="5" t="s">
        <v>3300</v>
      </c>
      <c r="X242" s="5" t="s">
        <v>3300</v>
      </c>
      <c r="Y242" s="4">
        <v>180</v>
      </c>
      <c r="Z242" s="4">
        <v>137</v>
      </c>
      <c r="AA242" s="4">
        <v>137</v>
      </c>
      <c r="AB242" s="4">
        <v>2</v>
      </c>
      <c r="AC242" s="4">
        <v>2</v>
      </c>
      <c r="AD242" s="4">
        <v>3</v>
      </c>
      <c r="AE242" s="4">
        <v>3</v>
      </c>
      <c r="AF242" s="4">
        <v>0</v>
      </c>
      <c r="AG242" s="4">
        <v>0</v>
      </c>
      <c r="AH242" s="4">
        <v>1</v>
      </c>
      <c r="AI242" s="4">
        <v>1</v>
      </c>
      <c r="AJ242" s="4">
        <v>2</v>
      </c>
      <c r="AK242" s="4">
        <v>2</v>
      </c>
      <c r="AL242" s="4">
        <v>1</v>
      </c>
      <c r="AM242" s="4">
        <v>1</v>
      </c>
      <c r="AN242" s="4">
        <v>0</v>
      </c>
      <c r="AO242" s="4">
        <v>0</v>
      </c>
      <c r="AP242" s="3" t="s">
        <v>58</v>
      </c>
      <c r="AQ242" s="3" t="s">
        <v>58</v>
      </c>
      <c r="AS242" s="6" t="str">
        <f>HYPERLINK("https://creighton-primo.hosted.exlibrisgroup.com/primo-explore/search?tab=default_tab&amp;search_scope=EVERYTHING&amp;vid=01CRU&amp;lang=en_US&amp;offset=0&amp;query=any,contains,991000374259702656","Catalog Record")</f>
        <v>Catalog Record</v>
      </c>
      <c r="AT242" s="6" t="str">
        <f>HYPERLINK("http://www.worldcat.org/oclc/10456879","WorldCat Record")</f>
        <v>WorldCat Record</v>
      </c>
      <c r="AU242" s="3" t="s">
        <v>3313</v>
      </c>
      <c r="AV242" s="3" t="s">
        <v>3314</v>
      </c>
      <c r="AW242" s="3" t="s">
        <v>3315</v>
      </c>
      <c r="AX242" s="3" t="s">
        <v>3315</v>
      </c>
      <c r="AY242" s="3" t="s">
        <v>3316</v>
      </c>
      <c r="AZ242" s="3" t="s">
        <v>74</v>
      </c>
      <c r="BB242" s="3" t="s">
        <v>3317</v>
      </c>
      <c r="BC242" s="3" t="s">
        <v>3318</v>
      </c>
      <c r="BD242" s="3" t="s">
        <v>3319</v>
      </c>
    </row>
    <row r="243" spans="1:56" ht="42.75" customHeight="1" x14ac:dyDescent="0.25">
      <c r="A243" s="7" t="s">
        <v>58</v>
      </c>
      <c r="B243" s="2" t="s">
        <v>3320</v>
      </c>
      <c r="C243" s="2" t="s">
        <v>3321</v>
      </c>
      <c r="D243" s="2" t="s">
        <v>3322</v>
      </c>
      <c r="F243" s="3" t="s">
        <v>58</v>
      </c>
      <c r="G243" s="3" t="s">
        <v>59</v>
      </c>
      <c r="H243" s="3" t="s">
        <v>58</v>
      </c>
      <c r="I243" s="3" t="s">
        <v>58</v>
      </c>
      <c r="J243" s="3" t="s">
        <v>60</v>
      </c>
      <c r="L243" s="2" t="s">
        <v>3323</v>
      </c>
      <c r="M243" s="3" t="s">
        <v>114</v>
      </c>
      <c r="O243" s="3" t="s">
        <v>64</v>
      </c>
      <c r="P243" s="3" t="s">
        <v>115</v>
      </c>
      <c r="R243" s="3" t="s">
        <v>67</v>
      </c>
      <c r="S243" s="4">
        <v>4</v>
      </c>
      <c r="T243" s="4">
        <v>4</v>
      </c>
      <c r="U243" s="5" t="s">
        <v>3125</v>
      </c>
      <c r="V243" s="5" t="s">
        <v>3125</v>
      </c>
      <c r="W243" s="5" t="s">
        <v>3324</v>
      </c>
      <c r="X243" s="5" t="s">
        <v>3324</v>
      </c>
      <c r="Y243" s="4">
        <v>98</v>
      </c>
      <c r="Z243" s="4">
        <v>81</v>
      </c>
      <c r="AA243" s="4">
        <v>108</v>
      </c>
      <c r="AB243" s="4">
        <v>2</v>
      </c>
      <c r="AC243" s="4">
        <v>2</v>
      </c>
      <c r="AD243" s="4">
        <v>3</v>
      </c>
      <c r="AE243" s="4">
        <v>4</v>
      </c>
      <c r="AF243" s="4">
        <v>0</v>
      </c>
      <c r="AG243" s="4">
        <v>1</v>
      </c>
      <c r="AH243" s="4">
        <v>1</v>
      </c>
      <c r="AI243" s="4">
        <v>1</v>
      </c>
      <c r="AJ243" s="4">
        <v>2</v>
      </c>
      <c r="AK243" s="4">
        <v>3</v>
      </c>
      <c r="AL243" s="4">
        <v>1</v>
      </c>
      <c r="AM243" s="4">
        <v>1</v>
      </c>
      <c r="AN243" s="4">
        <v>0</v>
      </c>
      <c r="AO243" s="4">
        <v>0</v>
      </c>
      <c r="AP243" s="3" t="s">
        <v>58</v>
      </c>
      <c r="AQ243" s="3" t="s">
        <v>86</v>
      </c>
      <c r="AR243" s="6" t="str">
        <f>HYPERLINK("http://catalog.hathitrust.org/Record/000609994","HathiTrust Record")</f>
        <v>HathiTrust Record</v>
      </c>
      <c r="AS243" s="6" t="str">
        <f>HYPERLINK("https://creighton-primo.hosted.exlibrisgroup.com/primo-explore/search?tab=default_tab&amp;search_scope=EVERYTHING&amp;vid=01CRU&amp;lang=en_US&amp;offset=0&amp;query=any,contains,991000503269702656","Catalog Record")</f>
        <v>Catalog Record</v>
      </c>
      <c r="AT243" s="6" t="str">
        <f>HYPERLINK("http://www.worldcat.org/oclc/11187729","WorldCat Record")</f>
        <v>WorldCat Record</v>
      </c>
      <c r="AU243" s="3" t="s">
        <v>3325</v>
      </c>
      <c r="AV243" s="3" t="s">
        <v>3326</v>
      </c>
      <c r="AW243" s="3" t="s">
        <v>3327</v>
      </c>
      <c r="AX243" s="3" t="s">
        <v>3327</v>
      </c>
      <c r="AY243" s="3" t="s">
        <v>3328</v>
      </c>
      <c r="AZ243" s="3" t="s">
        <v>74</v>
      </c>
      <c r="BB243" s="3" t="s">
        <v>3329</v>
      </c>
      <c r="BC243" s="3" t="s">
        <v>3330</v>
      </c>
      <c r="BD243" s="3" t="s">
        <v>3331</v>
      </c>
    </row>
    <row r="244" spans="1:56" ht="42.75" customHeight="1" x14ac:dyDescent="0.25">
      <c r="A244" s="7" t="s">
        <v>58</v>
      </c>
      <c r="B244" s="2" t="s">
        <v>3332</v>
      </c>
      <c r="C244" s="2" t="s">
        <v>3333</v>
      </c>
      <c r="D244" s="2" t="s">
        <v>3334</v>
      </c>
      <c r="F244" s="3" t="s">
        <v>58</v>
      </c>
      <c r="G244" s="3" t="s">
        <v>59</v>
      </c>
      <c r="H244" s="3" t="s">
        <v>58</v>
      </c>
      <c r="I244" s="3" t="s">
        <v>58</v>
      </c>
      <c r="J244" s="3" t="s">
        <v>60</v>
      </c>
      <c r="L244" s="2" t="s">
        <v>3335</v>
      </c>
      <c r="M244" s="3" t="s">
        <v>2770</v>
      </c>
      <c r="O244" s="3" t="s">
        <v>64</v>
      </c>
      <c r="P244" s="3" t="s">
        <v>115</v>
      </c>
      <c r="Q244" s="2" t="s">
        <v>3336</v>
      </c>
      <c r="R244" s="3" t="s">
        <v>67</v>
      </c>
      <c r="S244" s="4">
        <v>10</v>
      </c>
      <c r="T244" s="4">
        <v>10</v>
      </c>
      <c r="U244" s="5" t="s">
        <v>3125</v>
      </c>
      <c r="V244" s="5" t="s">
        <v>3125</v>
      </c>
      <c r="W244" s="5" t="s">
        <v>616</v>
      </c>
      <c r="X244" s="5" t="s">
        <v>616</v>
      </c>
      <c r="Y244" s="4">
        <v>294</v>
      </c>
      <c r="Z244" s="4">
        <v>217</v>
      </c>
      <c r="AA244" s="4">
        <v>224</v>
      </c>
      <c r="AB244" s="4">
        <v>2</v>
      </c>
      <c r="AC244" s="4">
        <v>2</v>
      </c>
      <c r="AD244" s="4">
        <v>4</v>
      </c>
      <c r="AE244" s="4">
        <v>4</v>
      </c>
      <c r="AF244" s="4">
        <v>1</v>
      </c>
      <c r="AG244" s="4">
        <v>1</v>
      </c>
      <c r="AH244" s="4">
        <v>3</v>
      </c>
      <c r="AI244" s="4">
        <v>3</v>
      </c>
      <c r="AJ244" s="4">
        <v>1</v>
      </c>
      <c r="AK244" s="4">
        <v>1</v>
      </c>
      <c r="AL244" s="4">
        <v>1</v>
      </c>
      <c r="AM244" s="4">
        <v>1</v>
      </c>
      <c r="AN244" s="4">
        <v>0</v>
      </c>
      <c r="AO244" s="4">
        <v>0</v>
      </c>
      <c r="AP244" s="3" t="s">
        <v>58</v>
      </c>
      <c r="AQ244" s="3" t="s">
        <v>86</v>
      </c>
      <c r="AR244" s="6" t="str">
        <f>HYPERLINK("http://catalog.hathitrust.org/Record/000212913","HathiTrust Record")</f>
        <v>HathiTrust Record</v>
      </c>
      <c r="AS244" s="6" t="str">
        <f>HYPERLINK("https://creighton-primo.hosted.exlibrisgroup.com/primo-explore/search?tab=default_tab&amp;search_scope=EVERYTHING&amp;vid=01CRU&amp;lang=en_US&amp;offset=0&amp;query=any,contains,991004289719702656","Catalog Record")</f>
        <v>Catalog Record</v>
      </c>
      <c r="AT244" s="6" t="str">
        <f>HYPERLINK("http://www.worldcat.org/oclc/2940000","WorldCat Record")</f>
        <v>WorldCat Record</v>
      </c>
      <c r="AU244" s="3" t="s">
        <v>3337</v>
      </c>
      <c r="AV244" s="3" t="s">
        <v>3338</v>
      </c>
      <c r="AW244" s="3" t="s">
        <v>3339</v>
      </c>
      <c r="AX244" s="3" t="s">
        <v>3339</v>
      </c>
      <c r="AY244" s="3" t="s">
        <v>3340</v>
      </c>
      <c r="AZ244" s="3" t="s">
        <v>74</v>
      </c>
      <c r="BB244" s="3" t="s">
        <v>3341</v>
      </c>
      <c r="BC244" s="3" t="s">
        <v>3342</v>
      </c>
      <c r="BD244" s="3" t="s">
        <v>3343</v>
      </c>
    </row>
    <row r="245" spans="1:56" ht="42.75" customHeight="1" x14ac:dyDescent="0.25">
      <c r="A245" s="7" t="s">
        <v>58</v>
      </c>
      <c r="B245" s="2" t="s">
        <v>3344</v>
      </c>
      <c r="C245" s="2" t="s">
        <v>3345</v>
      </c>
      <c r="D245" s="2" t="s">
        <v>3346</v>
      </c>
      <c r="F245" s="3" t="s">
        <v>58</v>
      </c>
      <c r="G245" s="3" t="s">
        <v>59</v>
      </c>
      <c r="H245" s="3" t="s">
        <v>58</v>
      </c>
      <c r="I245" s="3" t="s">
        <v>58</v>
      </c>
      <c r="J245" s="3" t="s">
        <v>60</v>
      </c>
      <c r="L245" s="2" t="s">
        <v>3347</v>
      </c>
      <c r="M245" s="3" t="s">
        <v>765</v>
      </c>
      <c r="O245" s="3" t="s">
        <v>64</v>
      </c>
      <c r="P245" s="3" t="s">
        <v>3348</v>
      </c>
      <c r="Q245" s="2" t="s">
        <v>3349</v>
      </c>
      <c r="R245" s="3" t="s">
        <v>67</v>
      </c>
      <c r="S245" s="4">
        <v>6</v>
      </c>
      <c r="T245" s="4">
        <v>6</v>
      </c>
      <c r="U245" s="5" t="s">
        <v>3350</v>
      </c>
      <c r="V245" s="5" t="s">
        <v>3350</v>
      </c>
      <c r="W245" s="5" t="s">
        <v>3351</v>
      </c>
      <c r="X245" s="5" t="s">
        <v>3351</v>
      </c>
      <c r="Y245" s="4">
        <v>129</v>
      </c>
      <c r="Z245" s="4">
        <v>78</v>
      </c>
      <c r="AA245" s="4">
        <v>82</v>
      </c>
      <c r="AB245" s="4">
        <v>1</v>
      </c>
      <c r="AC245" s="4">
        <v>1</v>
      </c>
      <c r="AD245" s="4">
        <v>2</v>
      </c>
      <c r="AE245" s="4">
        <v>2</v>
      </c>
      <c r="AF245" s="4">
        <v>0</v>
      </c>
      <c r="AG245" s="4">
        <v>0</v>
      </c>
      <c r="AH245" s="4">
        <v>1</v>
      </c>
      <c r="AI245" s="4">
        <v>1</v>
      </c>
      <c r="AJ245" s="4">
        <v>2</v>
      </c>
      <c r="AK245" s="4">
        <v>2</v>
      </c>
      <c r="AL245" s="4">
        <v>0</v>
      </c>
      <c r="AM245" s="4">
        <v>0</v>
      </c>
      <c r="AN245" s="4">
        <v>0</v>
      </c>
      <c r="AO245" s="4">
        <v>0</v>
      </c>
      <c r="AP245" s="3" t="s">
        <v>58</v>
      </c>
      <c r="AQ245" s="3" t="s">
        <v>58</v>
      </c>
      <c r="AS245" s="6" t="str">
        <f>HYPERLINK("https://creighton-primo.hosted.exlibrisgroup.com/primo-explore/search?tab=default_tab&amp;search_scope=EVERYTHING&amp;vid=01CRU&amp;lang=en_US&amp;offset=0&amp;query=any,contains,991002602429702656","Catalog Record")</f>
        <v>Catalog Record</v>
      </c>
      <c r="AT245" s="6" t="str">
        <f>HYPERLINK("http://www.worldcat.org/oclc/34089575","WorldCat Record")</f>
        <v>WorldCat Record</v>
      </c>
      <c r="AU245" s="3" t="s">
        <v>3352</v>
      </c>
      <c r="AV245" s="3" t="s">
        <v>3353</v>
      </c>
      <c r="AW245" s="3" t="s">
        <v>3354</v>
      </c>
      <c r="AX245" s="3" t="s">
        <v>3354</v>
      </c>
      <c r="AY245" s="3" t="s">
        <v>3355</v>
      </c>
      <c r="AZ245" s="3" t="s">
        <v>74</v>
      </c>
      <c r="BB245" s="3" t="s">
        <v>3356</v>
      </c>
      <c r="BC245" s="3" t="s">
        <v>3357</v>
      </c>
      <c r="BD245" s="3" t="s">
        <v>3358</v>
      </c>
    </row>
    <row r="246" spans="1:56" ht="42.75" customHeight="1" x14ac:dyDescent="0.25">
      <c r="A246" s="7" t="s">
        <v>58</v>
      </c>
      <c r="B246" s="2" t="s">
        <v>3359</v>
      </c>
      <c r="C246" s="2" t="s">
        <v>3360</v>
      </c>
      <c r="D246" s="2" t="s">
        <v>3361</v>
      </c>
      <c r="F246" s="3" t="s">
        <v>58</v>
      </c>
      <c r="G246" s="3" t="s">
        <v>59</v>
      </c>
      <c r="H246" s="3" t="s">
        <v>86</v>
      </c>
      <c r="I246" s="3" t="s">
        <v>58</v>
      </c>
      <c r="J246" s="3" t="s">
        <v>60</v>
      </c>
      <c r="K246" s="2" t="s">
        <v>3362</v>
      </c>
      <c r="L246" s="2" t="s">
        <v>3363</v>
      </c>
      <c r="M246" s="3" t="s">
        <v>371</v>
      </c>
      <c r="O246" s="3" t="s">
        <v>64</v>
      </c>
      <c r="P246" s="3" t="s">
        <v>254</v>
      </c>
      <c r="R246" s="3" t="s">
        <v>67</v>
      </c>
      <c r="S246" s="4">
        <v>8</v>
      </c>
      <c r="T246" s="4">
        <v>11</v>
      </c>
      <c r="U246" s="5" t="s">
        <v>3125</v>
      </c>
      <c r="V246" s="5" t="s">
        <v>3125</v>
      </c>
      <c r="W246" s="5" t="s">
        <v>1641</v>
      </c>
      <c r="X246" s="5" t="s">
        <v>1641</v>
      </c>
      <c r="Y246" s="4">
        <v>195</v>
      </c>
      <c r="Z246" s="4">
        <v>138</v>
      </c>
      <c r="AA246" s="4">
        <v>205</v>
      </c>
      <c r="AB246" s="4">
        <v>2</v>
      </c>
      <c r="AC246" s="4">
        <v>3</v>
      </c>
      <c r="AD246" s="4">
        <v>3</v>
      </c>
      <c r="AE246" s="4">
        <v>7</v>
      </c>
      <c r="AF246" s="4">
        <v>1</v>
      </c>
      <c r="AG246" s="4">
        <v>2</v>
      </c>
      <c r="AH246" s="4">
        <v>1</v>
      </c>
      <c r="AI246" s="4">
        <v>2</v>
      </c>
      <c r="AJ246" s="4">
        <v>2</v>
      </c>
      <c r="AK246" s="4">
        <v>5</v>
      </c>
      <c r="AL246" s="4">
        <v>0</v>
      </c>
      <c r="AM246" s="4">
        <v>1</v>
      </c>
      <c r="AN246" s="4">
        <v>0</v>
      </c>
      <c r="AO246" s="4">
        <v>0</v>
      </c>
      <c r="AP246" s="3" t="s">
        <v>58</v>
      </c>
      <c r="AQ246" s="3" t="s">
        <v>86</v>
      </c>
      <c r="AR246" s="6" t="str">
        <f>HYPERLINK("http://catalog.hathitrust.org/Record/000441863","HathiTrust Record")</f>
        <v>HathiTrust Record</v>
      </c>
      <c r="AS246" s="6" t="str">
        <f>HYPERLINK("https://creighton-primo.hosted.exlibrisgroup.com/primo-explore/search?tab=default_tab&amp;search_scope=EVERYTHING&amp;vid=01CRU&amp;lang=en_US&amp;offset=0&amp;query=any,contains,991001784319702656","Catalog Record")</f>
        <v>Catalog Record</v>
      </c>
      <c r="AT246" s="6" t="str">
        <f>HYPERLINK("http://www.worldcat.org/oclc/12911028","WorldCat Record")</f>
        <v>WorldCat Record</v>
      </c>
      <c r="AU246" s="3" t="s">
        <v>3364</v>
      </c>
      <c r="AV246" s="3" t="s">
        <v>3365</v>
      </c>
      <c r="AW246" s="3" t="s">
        <v>3366</v>
      </c>
      <c r="AX246" s="3" t="s">
        <v>3366</v>
      </c>
      <c r="AY246" s="3" t="s">
        <v>3367</v>
      </c>
      <c r="AZ246" s="3" t="s">
        <v>74</v>
      </c>
      <c r="BB246" s="3" t="s">
        <v>3368</v>
      </c>
      <c r="BC246" s="3" t="s">
        <v>3369</v>
      </c>
      <c r="BD246" s="3" t="s">
        <v>3370</v>
      </c>
    </row>
    <row r="247" spans="1:56" ht="42.75" customHeight="1" x14ac:dyDescent="0.25">
      <c r="A247" s="7" t="s">
        <v>58</v>
      </c>
      <c r="B247" s="2" t="s">
        <v>3371</v>
      </c>
      <c r="C247" s="2" t="s">
        <v>3372</v>
      </c>
      <c r="D247" s="2" t="s">
        <v>3373</v>
      </c>
      <c r="F247" s="3" t="s">
        <v>58</v>
      </c>
      <c r="G247" s="3" t="s">
        <v>59</v>
      </c>
      <c r="H247" s="3" t="s">
        <v>58</v>
      </c>
      <c r="I247" s="3" t="s">
        <v>58</v>
      </c>
      <c r="J247" s="3" t="s">
        <v>60</v>
      </c>
      <c r="K247" s="2" t="s">
        <v>3374</v>
      </c>
      <c r="L247" s="2" t="s">
        <v>3375</v>
      </c>
      <c r="M247" s="3" t="s">
        <v>223</v>
      </c>
      <c r="O247" s="3" t="s">
        <v>64</v>
      </c>
      <c r="P247" s="3" t="s">
        <v>65</v>
      </c>
      <c r="Q247" s="2" t="s">
        <v>3376</v>
      </c>
      <c r="R247" s="3" t="s">
        <v>67</v>
      </c>
      <c r="S247" s="4">
        <v>10</v>
      </c>
      <c r="T247" s="4">
        <v>10</v>
      </c>
      <c r="U247" s="5" t="s">
        <v>3287</v>
      </c>
      <c r="V247" s="5" t="s">
        <v>3287</v>
      </c>
      <c r="W247" s="5" t="s">
        <v>1641</v>
      </c>
      <c r="X247" s="5" t="s">
        <v>1641</v>
      </c>
      <c r="Y247" s="4">
        <v>142</v>
      </c>
      <c r="Z247" s="4">
        <v>92</v>
      </c>
      <c r="AA247" s="4">
        <v>94</v>
      </c>
      <c r="AB247" s="4">
        <v>2</v>
      </c>
      <c r="AC247" s="4">
        <v>2</v>
      </c>
      <c r="AD247" s="4">
        <v>1</v>
      </c>
      <c r="AE247" s="4">
        <v>1</v>
      </c>
      <c r="AF247" s="4">
        <v>0</v>
      </c>
      <c r="AG247" s="4">
        <v>0</v>
      </c>
      <c r="AH247" s="4">
        <v>0</v>
      </c>
      <c r="AI247" s="4">
        <v>0</v>
      </c>
      <c r="AJ247" s="4">
        <v>0</v>
      </c>
      <c r="AK247" s="4">
        <v>0</v>
      </c>
      <c r="AL247" s="4">
        <v>1</v>
      </c>
      <c r="AM247" s="4">
        <v>1</v>
      </c>
      <c r="AN247" s="4">
        <v>0</v>
      </c>
      <c r="AO247" s="4">
        <v>0</v>
      </c>
      <c r="AP247" s="3" t="s">
        <v>58</v>
      </c>
      <c r="AQ247" s="3" t="s">
        <v>86</v>
      </c>
      <c r="AR247" s="6" t="str">
        <f>HYPERLINK("http://catalog.hathitrust.org/Record/000040837","HathiTrust Record")</f>
        <v>HathiTrust Record</v>
      </c>
      <c r="AS247" s="6" t="str">
        <f>HYPERLINK("https://creighton-primo.hosted.exlibrisgroup.com/primo-explore/search?tab=default_tab&amp;search_scope=EVERYTHING&amp;vid=01CRU&amp;lang=en_US&amp;offset=0&amp;query=any,contains,991004707049702656","Catalog Record")</f>
        <v>Catalog Record</v>
      </c>
      <c r="AT247" s="6" t="str">
        <f>HYPERLINK("http://www.worldcat.org/oclc/4723810","WorldCat Record")</f>
        <v>WorldCat Record</v>
      </c>
      <c r="AU247" s="3" t="s">
        <v>3377</v>
      </c>
      <c r="AV247" s="3" t="s">
        <v>3378</v>
      </c>
      <c r="AW247" s="3" t="s">
        <v>3379</v>
      </c>
      <c r="AX247" s="3" t="s">
        <v>3379</v>
      </c>
      <c r="AY247" s="3" t="s">
        <v>3380</v>
      </c>
      <c r="AZ247" s="3" t="s">
        <v>74</v>
      </c>
      <c r="BB247" s="3" t="s">
        <v>3381</v>
      </c>
      <c r="BC247" s="3" t="s">
        <v>3382</v>
      </c>
      <c r="BD247" s="3" t="s">
        <v>3383</v>
      </c>
    </row>
    <row r="248" spans="1:56" ht="42.75" customHeight="1" x14ac:dyDescent="0.25">
      <c r="A248" s="7" t="s">
        <v>58</v>
      </c>
      <c r="B248" s="2" t="s">
        <v>3384</v>
      </c>
      <c r="C248" s="2" t="s">
        <v>3385</v>
      </c>
      <c r="D248" s="2" t="s">
        <v>3386</v>
      </c>
      <c r="F248" s="3" t="s">
        <v>58</v>
      </c>
      <c r="G248" s="3" t="s">
        <v>59</v>
      </c>
      <c r="H248" s="3" t="s">
        <v>58</v>
      </c>
      <c r="I248" s="3" t="s">
        <v>58</v>
      </c>
      <c r="J248" s="3" t="s">
        <v>60</v>
      </c>
      <c r="K248" s="2" t="s">
        <v>3387</v>
      </c>
      <c r="L248" s="2" t="s">
        <v>3388</v>
      </c>
      <c r="M248" s="3" t="s">
        <v>63</v>
      </c>
      <c r="O248" s="3" t="s">
        <v>64</v>
      </c>
      <c r="P248" s="3" t="s">
        <v>115</v>
      </c>
      <c r="R248" s="3" t="s">
        <v>67</v>
      </c>
      <c r="S248" s="4">
        <v>5</v>
      </c>
      <c r="T248" s="4">
        <v>5</v>
      </c>
      <c r="U248" s="5" t="s">
        <v>3287</v>
      </c>
      <c r="V248" s="5" t="s">
        <v>3287</v>
      </c>
      <c r="W248" s="5" t="s">
        <v>1641</v>
      </c>
      <c r="X248" s="5" t="s">
        <v>1641</v>
      </c>
      <c r="Y248" s="4">
        <v>183</v>
      </c>
      <c r="Z248" s="4">
        <v>138</v>
      </c>
      <c r="AA248" s="4">
        <v>140</v>
      </c>
      <c r="AB248" s="4">
        <v>2</v>
      </c>
      <c r="AC248" s="4">
        <v>2</v>
      </c>
      <c r="AD248" s="4">
        <v>4</v>
      </c>
      <c r="AE248" s="4">
        <v>4</v>
      </c>
      <c r="AF248" s="4">
        <v>0</v>
      </c>
      <c r="AG248" s="4">
        <v>0</v>
      </c>
      <c r="AH248" s="4">
        <v>1</v>
      </c>
      <c r="AI248" s="4">
        <v>1</v>
      </c>
      <c r="AJ248" s="4">
        <v>2</v>
      </c>
      <c r="AK248" s="4">
        <v>2</v>
      </c>
      <c r="AL248" s="4">
        <v>1</v>
      </c>
      <c r="AM248" s="4">
        <v>1</v>
      </c>
      <c r="AN248" s="4">
        <v>0</v>
      </c>
      <c r="AO248" s="4">
        <v>0</v>
      </c>
      <c r="AP248" s="3" t="s">
        <v>58</v>
      </c>
      <c r="AQ248" s="3" t="s">
        <v>86</v>
      </c>
      <c r="AR248" s="6" t="str">
        <f>HYPERLINK("http://catalog.hathitrust.org/Record/000187752","HathiTrust Record")</f>
        <v>HathiTrust Record</v>
      </c>
      <c r="AS248" s="6" t="str">
        <f>HYPERLINK("https://creighton-primo.hosted.exlibrisgroup.com/primo-explore/search?tab=default_tab&amp;search_scope=EVERYTHING&amp;vid=01CRU&amp;lang=en_US&amp;offset=0&amp;query=any,contains,991000083189702656","Catalog Record")</f>
        <v>Catalog Record</v>
      </c>
      <c r="AT248" s="6" t="str">
        <f>HYPERLINK("http://www.worldcat.org/oclc/8846251","WorldCat Record")</f>
        <v>WorldCat Record</v>
      </c>
      <c r="AU248" s="3" t="s">
        <v>3389</v>
      </c>
      <c r="AV248" s="3" t="s">
        <v>3390</v>
      </c>
      <c r="AW248" s="3" t="s">
        <v>3391</v>
      </c>
      <c r="AX248" s="3" t="s">
        <v>3391</v>
      </c>
      <c r="AY248" s="3" t="s">
        <v>3392</v>
      </c>
      <c r="AZ248" s="3" t="s">
        <v>74</v>
      </c>
      <c r="BB248" s="3" t="s">
        <v>3393</v>
      </c>
      <c r="BC248" s="3" t="s">
        <v>3394</v>
      </c>
      <c r="BD248" s="3" t="s">
        <v>3395</v>
      </c>
    </row>
    <row r="249" spans="1:56" ht="42.75" customHeight="1" x14ac:dyDescent="0.25">
      <c r="A249" s="7" t="s">
        <v>58</v>
      </c>
      <c r="B249" s="2" t="s">
        <v>3396</v>
      </c>
      <c r="C249" s="2" t="s">
        <v>3397</v>
      </c>
      <c r="D249" s="2" t="s">
        <v>3398</v>
      </c>
      <c r="F249" s="3" t="s">
        <v>58</v>
      </c>
      <c r="G249" s="3" t="s">
        <v>59</v>
      </c>
      <c r="H249" s="3" t="s">
        <v>86</v>
      </c>
      <c r="I249" s="3" t="s">
        <v>58</v>
      </c>
      <c r="J249" s="3" t="s">
        <v>60</v>
      </c>
      <c r="K249" s="2" t="s">
        <v>3399</v>
      </c>
      <c r="L249" s="2" t="s">
        <v>3400</v>
      </c>
      <c r="M249" s="3" t="s">
        <v>98</v>
      </c>
      <c r="O249" s="3" t="s">
        <v>64</v>
      </c>
      <c r="P249" s="3" t="s">
        <v>115</v>
      </c>
      <c r="R249" s="3" t="s">
        <v>67</v>
      </c>
      <c r="S249" s="4">
        <v>14</v>
      </c>
      <c r="T249" s="4">
        <v>20</v>
      </c>
      <c r="U249" s="5" t="s">
        <v>3401</v>
      </c>
      <c r="V249" s="5" t="s">
        <v>3401</v>
      </c>
      <c r="W249" s="5" t="s">
        <v>1641</v>
      </c>
      <c r="X249" s="5" t="s">
        <v>3402</v>
      </c>
      <c r="Y249" s="4">
        <v>390</v>
      </c>
      <c r="Z249" s="4">
        <v>268</v>
      </c>
      <c r="AA249" s="4">
        <v>309</v>
      </c>
      <c r="AB249" s="4">
        <v>2</v>
      </c>
      <c r="AC249" s="4">
        <v>2</v>
      </c>
      <c r="AD249" s="4">
        <v>9</v>
      </c>
      <c r="AE249" s="4">
        <v>9</v>
      </c>
      <c r="AF249" s="4">
        <v>1</v>
      </c>
      <c r="AG249" s="4">
        <v>1</v>
      </c>
      <c r="AH249" s="4">
        <v>2</v>
      </c>
      <c r="AI249" s="4">
        <v>2</v>
      </c>
      <c r="AJ249" s="4">
        <v>8</v>
      </c>
      <c r="AK249" s="4">
        <v>8</v>
      </c>
      <c r="AL249" s="4">
        <v>0</v>
      </c>
      <c r="AM249" s="4">
        <v>0</v>
      </c>
      <c r="AN249" s="4">
        <v>0</v>
      </c>
      <c r="AO249" s="4">
        <v>0</v>
      </c>
      <c r="AP249" s="3" t="s">
        <v>58</v>
      </c>
      <c r="AQ249" s="3" t="s">
        <v>86</v>
      </c>
      <c r="AR249" s="6" t="str">
        <f>HYPERLINK("http://catalog.hathitrust.org/Record/000915903","HathiTrust Record")</f>
        <v>HathiTrust Record</v>
      </c>
      <c r="AS249" s="6" t="str">
        <f>HYPERLINK("https://creighton-primo.hosted.exlibrisgroup.com/primo-explore/search?tab=default_tab&amp;search_scope=EVERYTHING&amp;vid=01CRU&amp;lang=en_US&amp;offset=0&amp;query=any,contains,991001798759702656","Catalog Record")</f>
        <v>Catalog Record</v>
      </c>
      <c r="AT249" s="6" t="str">
        <f>HYPERLINK("http://www.worldcat.org/oclc/16832519","WorldCat Record")</f>
        <v>WorldCat Record</v>
      </c>
      <c r="AU249" s="3" t="s">
        <v>3403</v>
      </c>
      <c r="AV249" s="3" t="s">
        <v>3404</v>
      </c>
      <c r="AW249" s="3" t="s">
        <v>3405</v>
      </c>
      <c r="AX249" s="3" t="s">
        <v>3405</v>
      </c>
      <c r="AY249" s="3" t="s">
        <v>3406</v>
      </c>
      <c r="AZ249" s="3" t="s">
        <v>74</v>
      </c>
      <c r="BB249" s="3" t="s">
        <v>3407</v>
      </c>
      <c r="BC249" s="3" t="s">
        <v>3408</v>
      </c>
      <c r="BD249" s="3" t="s">
        <v>3409</v>
      </c>
    </row>
    <row r="250" spans="1:56" ht="42.75" customHeight="1" x14ac:dyDescent="0.25">
      <c r="A250" s="7" t="s">
        <v>58</v>
      </c>
      <c r="B250" s="2" t="s">
        <v>3410</v>
      </c>
      <c r="C250" s="2" t="s">
        <v>3411</v>
      </c>
      <c r="D250" s="2" t="s">
        <v>3412</v>
      </c>
      <c r="F250" s="3" t="s">
        <v>58</v>
      </c>
      <c r="G250" s="3" t="s">
        <v>59</v>
      </c>
      <c r="H250" s="3" t="s">
        <v>58</v>
      </c>
      <c r="I250" s="3" t="s">
        <v>58</v>
      </c>
      <c r="J250" s="3" t="s">
        <v>60</v>
      </c>
      <c r="K250" s="2" t="s">
        <v>3413</v>
      </c>
      <c r="L250" s="2" t="s">
        <v>3414</v>
      </c>
      <c r="M250" s="3" t="s">
        <v>534</v>
      </c>
      <c r="O250" s="3" t="s">
        <v>64</v>
      </c>
      <c r="P250" s="3" t="s">
        <v>208</v>
      </c>
      <c r="Q250" s="2" t="s">
        <v>3415</v>
      </c>
      <c r="R250" s="3" t="s">
        <v>67</v>
      </c>
      <c r="S250" s="4">
        <v>11</v>
      </c>
      <c r="T250" s="4">
        <v>11</v>
      </c>
      <c r="U250" s="5" t="s">
        <v>3350</v>
      </c>
      <c r="V250" s="5" t="s">
        <v>3350</v>
      </c>
      <c r="W250" s="5" t="s">
        <v>3416</v>
      </c>
      <c r="X250" s="5" t="s">
        <v>3416</v>
      </c>
      <c r="Y250" s="4">
        <v>371</v>
      </c>
      <c r="Z250" s="4">
        <v>296</v>
      </c>
      <c r="AA250" s="4">
        <v>761</v>
      </c>
      <c r="AB250" s="4">
        <v>2</v>
      </c>
      <c r="AC250" s="4">
        <v>4</v>
      </c>
      <c r="AD250" s="4">
        <v>14</v>
      </c>
      <c r="AE250" s="4">
        <v>21</v>
      </c>
      <c r="AF250" s="4">
        <v>2</v>
      </c>
      <c r="AG250" s="4">
        <v>6</v>
      </c>
      <c r="AH250" s="4">
        <v>5</v>
      </c>
      <c r="AI250" s="4">
        <v>5</v>
      </c>
      <c r="AJ250" s="4">
        <v>11</v>
      </c>
      <c r="AK250" s="4">
        <v>13</v>
      </c>
      <c r="AL250" s="4">
        <v>1</v>
      </c>
      <c r="AM250" s="4">
        <v>3</v>
      </c>
      <c r="AN250" s="4">
        <v>0</v>
      </c>
      <c r="AO250" s="4">
        <v>0</v>
      </c>
      <c r="AP250" s="3" t="s">
        <v>58</v>
      </c>
      <c r="AQ250" s="3" t="s">
        <v>58</v>
      </c>
      <c r="AS250" s="6" t="str">
        <f>HYPERLINK("https://creighton-primo.hosted.exlibrisgroup.com/primo-explore/search?tab=default_tab&amp;search_scope=EVERYTHING&amp;vid=01CRU&amp;lang=en_US&amp;offset=0&amp;query=any,contains,991001626429702656","Catalog Record")</f>
        <v>Catalog Record</v>
      </c>
      <c r="AT250" s="6" t="str">
        <f>HYPERLINK("http://www.worldcat.org/oclc/20852974","WorldCat Record")</f>
        <v>WorldCat Record</v>
      </c>
      <c r="AU250" s="3" t="s">
        <v>3417</v>
      </c>
      <c r="AV250" s="3" t="s">
        <v>3418</v>
      </c>
      <c r="AW250" s="3" t="s">
        <v>3419</v>
      </c>
      <c r="AX250" s="3" t="s">
        <v>3419</v>
      </c>
      <c r="AY250" s="3" t="s">
        <v>3420</v>
      </c>
      <c r="AZ250" s="3" t="s">
        <v>74</v>
      </c>
      <c r="BB250" s="3" t="s">
        <v>3421</v>
      </c>
      <c r="BC250" s="3" t="s">
        <v>3422</v>
      </c>
      <c r="BD250" s="3" t="s">
        <v>3423</v>
      </c>
    </row>
    <row r="251" spans="1:56" ht="42.75" customHeight="1" x14ac:dyDescent="0.25">
      <c r="A251" s="7" t="s">
        <v>58</v>
      </c>
      <c r="B251" s="2" t="s">
        <v>3424</v>
      </c>
      <c r="C251" s="2" t="s">
        <v>3425</v>
      </c>
      <c r="D251" s="2" t="s">
        <v>3426</v>
      </c>
      <c r="F251" s="3" t="s">
        <v>58</v>
      </c>
      <c r="G251" s="3" t="s">
        <v>59</v>
      </c>
      <c r="H251" s="3" t="s">
        <v>58</v>
      </c>
      <c r="I251" s="3" t="s">
        <v>58</v>
      </c>
      <c r="J251" s="3" t="s">
        <v>60</v>
      </c>
      <c r="K251" s="2" t="s">
        <v>3427</v>
      </c>
      <c r="L251" s="2" t="s">
        <v>3428</v>
      </c>
      <c r="M251" s="3" t="s">
        <v>737</v>
      </c>
      <c r="O251" s="3" t="s">
        <v>64</v>
      </c>
      <c r="P251" s="3" t="s">
        <v>99</v>
      </c>
      <c r="R251" s="3" t="s">
        <v>67</v>
      </c>
      <c r="S251" s="4">
        <v>12</v>
      </c>
      <c r="T251" s="4">
        <v>12</v>
      </c>
      <c r="U251" s="5" t="s">
        <v>3401</v>
      </c>
      <c r="V251" s="5" t="s">
        <v>3401</v>
      </c>
      <c r="W251" s="5" t="s">
        <v>3429</v>
      </c>
      <c r="X251" s="5" t="s">
        <v>3429</v>
      </c>
      <c r="Y251" s="4">
        <v>156</v>
      </c>
      <c r="Z251" s="4">
        <v>104</v>
      </c>
      <c r="AA251" s="4">
        <v>104</v>
      </c>
      <c r="AB251" s="4">
        <v>1</v>
      </c>
      <c r="AC251" s="4">
        <v>1</v>
      </c>
      <c r="AD251" s="4">
        <v>4</v>
      </c>
      <c r="AE251" s="4">
        <v>4</v>
      </c>
      <c r="AF251" s="4">
        <v>1</v>
      </c>
      <c r="AG251" s="4">
        <v>1</v>
      </c>
      <c r="AH251" s="4">
        <v>2</v>
      </c>
      <c r="AI251" s="4">
        <v>2</v>
      </c>
      <c r="AJ251" s="4">
        <v>1</v>
      </c>
      <c r="AK251" s="4">
        <v>1</v>
      </c>
      <c r="AL251" s="4">
        <v>0</v>
      </c>
      <c r="AM251" s="4">
        <v>0</v>
      </c>
      <c r="AN251" s="4">
        <v>0</v>
      </c>
      <c r="AO251" s="4">
        <v>0</v>
      </c>
      <c r="AP251" s="3" t="s">
        <v>58</v>
      </c>
      <c r="AQ251" s="3" t="s">
        <v>58</v>
      </c>
      <c r="AS251" s="6" t="str">
        <f>HYPERLINK("https://creighton-primo.hosted.exlibrisgroup.com/primo-explore/search?tab=default_tab&amp;search_scope=EVERYTHING&amp;vid=01CRU&amp;lang=en_US&amp;offset=0&amp;query=any,contains,991002347359702656","Catalog Record")</f>
        <v>Catalog Record</v>
      </c>
      <c r="AT251" s="6" t="str">
        <f>HYPERLINK("http://www.worldcat.org/oclc/30566667","WorldCat Record")</f>
        <v>WorldCat Record</v>
      </c>
      <c r="AU251" s="3" t="s">
        <v>3430</v>
      </c>
      <c r="AV251" s="3" t="s">
        <v>3431</v>
      </c>
      <c r="AW251" s="3" t="s">
        <v>3432</v>
      </c>
      <c r="AX251" s="3" t="s">
        <v>3432</v>
      </c>
      <c r="AY251" s="3" t="s">
        <v>3433</v>
      </c>
      <c r="AZ251" s="3" t="s">
        <v>74</v>
      </c>
      <c r="BB251" s="3" t="s">
        <v>3434</v>
      </c>
      <c r="BC251" s="3" t="s">
        <v>3435</v>
      </c>
      <c r="BD251" s="3" t="s">
        <v>3436</v>
      </c>
    </row>
    <row r="252" spans="1:56" ht="42.75" customHeight="1" x14ac:dyDescent="0.25">
      <c r="A252" s="7" t="s">
        <v>58</v>
      </c>
      <c r="B252" s="2" t="s">
        <v>3437</v>
      </c>
      <c r="C252" s="2" t="s">
        <v>3438</v>
      </c>
      <c r="D252" s="2" t="s">
        <v>3439</v>
      </c>
      <c r="F252" s="3" t="s">
        <v>58</v>
      </c>
      <c r="G252" s="3" t="s">
        <v>59</v>
      </c>
      <c r="H252" s="3" t="s">
        <v>58</v>
      </c>
      <c r="I252" s="3" t="s">
        <v>58</v>
      </c>
      <c r="J252" s="3" t="s">
        <v>60</v>
      </c>
      <c r="K252" s="2" t="s">
        <v>3440</v>
      </c>
      <c r="L252" s="2" t="s">
        <v>3441</v>
      </c>
      <c r="M252" s="3" t="s">
        <v>765</v>
      </c>
      <c r="O252" s="3" t="s">
        <v>64</v>
      </c>
      <c r="P252" s="3" t="s">
        <v>3070</v>
      </c>
      <c r="Q252" s="2" t="s">
        <v>3442</v>
      </c>
      <c r="R252" s="3" t="s">
        <v>67</v>
      </c>
      <c r="S252" s="4">
        <v>18</v>
      </c>
      <c r="T252" s="4">
        <v>18</v>
      </c>
      <c r="U252" s="5" t="s">
        <v>3443</v>
      </c>
      <c r="V252" s="5" t="s">
        <v>3443</v>
      </c>
      <c r="W252" s="5" t="s">
        <v>3444</v>
      </c>
      <c r="X252" s="5" t="s">
        <v>3444</v>
      </c>
      <c r="Y252" s="4">
        <v>100</v>
      </c>
      <c r="Z252" s="4">
        <v>63</v>
      </c>
      <c r="AA252" s="4">
        <v>87</v>
      </c>
      <c r="AB252" s="4">
        <v>1</v>
      </c>
      <c r="AC252" s="4">
        <v>1</v>
      </c>
      <c r="AD252" s="4">
        <v>1</v>
      </c>
      <c r="AE252" s="4">
        <v>2</v>
      </c>
      <c r="AF252" s="4">
        <v>0</v>
      </c>
      <c r="AG252" s="4">
        <v>1</v>
      </c>
      <c r="AH252" s="4">
        <v>1</v>
      </c>
      <c r="AI252" s="4">
        <v>1</v>
      </c>
      <c r="AJ252" s="4">
        <v>0</v>
      </c>
      <c r="AK252" s="4">
        <v>1</v>
      </c>
      <c r="AL252" s="4">
        <v>0</v>
      </c>
      <c r="AM252" s="4">
        <v>0</v>
      </c>
      <c r="AN252" s="4">
        <v>0</v>
      </c>
      <c r="AO252" s="4">
        <v>0</v>
      </c>
      <c r="AP252" s="3" t="s">
        <v>58</v>
      </c>
      <c r="AQ252" s="3" t="s">
        <v>58</v>
      </c>
      <c r="AS252" s="6" t="str">
        <f>HYPERLINK("https://creighton-primo.hosted.exlibrisgroup.com/primo-explore/search?tab=default_tab&amp;search_scope=EVERYTHING&amp;vid=01CRU&amp;lang=en_US&amp;offset=0&amp;query=any,contains,991002459839702656","Catalog Record")</f>
        <v>Catalog Record</v>
      </c>
      <c r="AT252" s="6" t="str">
        <f>HYPERLINK("http://www.worldcat.org/oclc/32051331","WorldCat Record")</f>
        <v>WorldCat Record</v>
      </c>
      <c r="AU252" s="3" t="s">
        <v>3445</v>
      </c>
      <c r="AV252" s="3" t="s">
        <v>3446</v>
      </c>
      <c r="AW252" s="3" t="s">
        <v>3447</v>
      </c>
      <c r="AX252" s="3" t="s">
        <v>3447</v>
      </c>
      <c r="AY252" s="3" t="s">
        <v>3448</v>
      </c>
      <c r="AZ252" s="3" t="s">
        <v>74</v>
      </c>
      <c r="BB252" s="3" t="s">
        <v>3449</v>
      </c>
      <c r="BC252" s="3" t="s">
        <v>3450</v>
      </c>
      <c r="BD252" s="3" t="s">
        <v>3451</v>
      </c>
    </row>
    <row r="253" spans="1:56" ht="42.75" customHeight="1" x14ac:dyDescent="0.25">
      <c r="A253" s="7" t="s">
        <v>58</v>
      </c>
      <c r="B253" s="2" t="s">
        <v>3452</v>
      </c>
      <c r="C253" s="2" t="s">
        <v>3453</v>
      </c>
      <c r="D253" s="2" t="s">
        <v>3454</v>
      </c>
      <c r="F253" s="3" t="s">
        <v>58</v>
      </c>
      <c r="G253" s="3" t="s">
        <v>59</v>
      </c>
      <c r="H253" s="3" t="s">
        <v>58</v>
      </c>
      <c r="I253" s="3" t="s">
        <v>58</v>
      </c>
      <c r="J253" s="3" t="s">
        <v>60</v>
      </c>
      <c r="L253" s="2" t="s">
        <v>3455</v>
      </c>
      <c r="M253" s="3" t="s">
        <v>371</v>
      </c>
      <c r="O253" s="3" t="s">
        <v>64</v>
      </c>
      <c r="P253" s="3" t="s">
        <v>115</v>
      </c>
      <c r="R253" s="3" t="s">
        <v>67</v>
      </c>
      <c r="S253" s="4">
        <v>12</v>
      </c>
      <c r="T253" s="4">
        <v>12</v>
      </c>
      <c r="U253" s="5" t="s">
        <v>3456</v>
      </c>
      <c r="V253" s="5" t="s">
        <v>3456</v>
      </c>
      <c r="W253" s="5" t="s">
        <v>3457</v>
      </c>
      <c r="X253" s="5" t="s">
        <v>3457</v>
      </c>
      <c r="Y253" s="4">
        <v>298</v>
      </c>
      <c r="Z253" s="4">
        <v>224</v>
      </c>
      <c r="AA253" s="4">
        <v>230</v>
      </c>
      <c r="AB253" s="4">
        <v>3</v>
      </c>
      <c r="AC253" s="4">
        <v>3</v>
      </c>
      <c r="AD253" s="4">
        <v>7</v>
      </c>
      <c r="AE253" s="4">
        <v>7</v>
      </c>
      <c r="AF253" s="4">
        <v>2</v>
      </c>
      <c r="AG253" s="4">
        <v>2</v>
      </c>
      <c r="AH253" s="4">
        <v>1</v>
      </c>
      <c r="AI253" s="4">
        <v>1</v>
      </c>
      <c r="AJ253" s="4">
        <v>4</v>
      </c>
      <c r="AK253" s="4">
        <v>4</v>
      </c>
      <c r="AL253" s="4">
        <v>2</v>
      </c>
      <c r="AM253" s="4">
        <v>2</v>
      </c>
      <c r="AN253" s="4">
        <v>0</v>
      </c>
      <c r="AO253" s="4">
        <v>0</v>
      </c>
      <c r="AP253" s="3" t="s">
        <v>58</v>
      </c>
      <c r="AQ253" s="3" t="s">
        <v>58</v>
      </c>
      <c r="AS253" s="6" t="str">
        <f>HYPERLINK("https://creighton-primo.hosted.exlibrisgroup.com/primo-explore/search?tab=default_tab&amp;search_scope=EVERYTHING&amp;vid=01CRU&amp;lang=en_US&amp;offset=0&amp;query=any,contains,991005405219702656","Catalog Record")</f>
        <v>Catalog Record</v>
      </c>
      <c r="AT253" s="6" t="str">
        <f>HYPERLINK("http://www.worldcat.org/oclc/12049934","WorldCat Record")</f>
        <v>WorldCat Record</v>
      </c>
      <c r="AU253" s="3" t="s">
        <v>3458</v>
      </c>
      <c r="AV253" s="3" t="s">
        <v>3459</v>
      </c>
      <c r="AW253" s="3" t="s">
        <v>3460</v>
      </c>
      <c r="AX253" s="3" t="s">
        <v>3460</v>
      </c>
      <c r="AY253" s="3" t="s">
        <v>3461</v>
      </c>
      <c r="AZ253" s="3" t="s">
        <v>74</v>
      </c>
      <c r="BB253" s="3" t="s">
        <v>3462</v>
      </c>
      <c r="BC253" s="3" t="s">
        <v>3463</v>
      </c>
      <c r="BD253" s="3" t="s">
        <v>3464</v>
      </c>
    </row>
    <row r="254" spans="1:56" ht="42.75" customHeight="1" x14ac:dyDescent="0.25">
      <c r="A254" s="7" t="s">
        <v>58</v>
      </c>
      <c r="B254" s="2" t="s">
        <v>3465</v>
      </c>
      <c r="C254" s="2" t="s">
        <v>3466</v>
      </c>
      <c r="D254" s="2" t="s">
        <v>3467</v>
      </c>
      <c r="E254" s="3" t="s">
        <v>252</v>
      </c>
      <c r="F254" s="3" t="s">
        <v>86</v>
      </c>
      <c r="G254" s="3" t="s">
        <v>59</v>
      </c>
      <c r="H254" s="3" t="s">
        <v>58</v>
      </c>
      <c r="I254" s="3" t="s">
        <v>58</v>
      </c>
      <c r="J254" s="3" t="s">
        <v>60</v>
      </c>
      <c r="L254" s="2" t="s">
        <v>3468</v>
      </c>
      <c r="M254" s="3" t="s">
        <v>223</v>
      </c>
      <c r="O254" s="3" t="s">
        <v>64</v>
      </c>
      <c r="P254" s="3" t="s">
        <v>115</v>
      </c>
      <c r="Q254" s="2" t="s">
        <v>3469</v>
      </c>
      <c r="R254" s="3" t="s">
        <v>67</v>
      </c>
      <c r="S254" s="4">
        <v>0</v>
      </c>
      <c r="T254" s="4">
        <v>4</v>
      </c>
      <c r="V254" s="5" t="s">
        <v>2145</v>
      </c>
      <c r="W254" s="5" t="s">
        <v>210</v>
      </c>
      <c r="X254" s="5" t="s">
        <v>210</v>
      </c>
      <c r="Y254" s="4">
        <v>248</v>
      </c>
      <c r="Z254" s="4">
        <v>192</v>
      </c>
      <c r="AA254" s="4">
        <v>196</v>
      </c>
      <c r="AB254" s="4">
        <v>2</v>
      </c>
      <c r="AC254" s="4">
        <v>2</v>
      </c>
      <c r="AD254" s="4">
        <v>8</v>
      </c>
      <c r="AE254" s="4">
        <v>8</v>
      </c>
      <c r="AF254" s="4">
        <v>0</v>
      </c>
      <c r="AG254" s="4">
        <v>0</v>
      </c>
      <c r="AH254" s="4">
        <v>4</v>
      </c>
      <c r="AI254" s="4">
        <v>4</v>
      </c>
      <c r="AJ254" s="4">
        <v>6</v>
      </c>
      <c r="AK254" s="4">
        <v>6</v>
      </c>
      <c r="AL254" s="4">
        <v>1</v>
      </c>
      <c r="AM254" s="4">
        <v>1</v>
      </c>
      <c r="AN254" s="4">
        <v>0</v>
      </c>
      <c r="AO254" s="4">
        <v>0</v>
      </c>
      <c r="AP254" s="3" t="s">
        <v>58</v>
      </c>
      <c r="AQ254" s="3" t="s">
        <v>86</v>
      </c>
      <c r="AR254" s="6" t="str">
        <f>HYPERLINK("http://catalog.hathitrust.org/Record/000178305","HathiTrust Record")</f>
        <v>HathiTrust Record</v>
      </c>
      <c r="AS254" s="6" t="str">
        <f>HYPERLINK("https://creighton-primo.hosted.exlibrisgroup.com/primo-explore/search?tab=default_tab&amp;search_scope=EVERYTHING&amp;vid=01CRU&amp;lang=en_US&amp;offset=0&amp;query=any,contains,991004578309702656","Catalog Record")</f>
        <v>Catalog Record</v>
      </c>
      <c r="AT254" s="6" t="str">
        <f>HYPERLINK("http://www.worldcat.org/oclc/4055892","WorldCat Record")</f>
        <v>WorldCat Record</v>
      </c>
      <c r="AU254" s="3" t="s">
        <v>3470</v>
      </c>
      <c r="AV254" s="3" t="s">
        <v>3471</v>
      </c>
      <c r="AW254" s="3" t="s">
        <v>3472</v>
      </c>
      <c r="AX254" s="3" t="s">
        <v>3472</v>
      </c>
      <c r="AY254" s="3" t="s">
        <v>3473</v>
      </c>
      <c r="AZ254" s="3" t="s">
        <v>74</v>
      </c>
      <c r="BB254" s="3" t="s">
        <v>3474</v>
      </c>
      <c r="BC254" s="3" t="s">
        <v>3475</v>
      </c>
      <c r="BD254" s="3" t="s">
        <v>3476</v>
      </c>
    </row>
    <row r="255" spans="1:56" ht="42.75" customHeight="1" x14ac:dyDescent="0.25">
      <c r="A255" s="7" t="s">
        <v>58</v>
      </c>
      <c r="B255" s="2" t="s">
        <v>3465</v>
      </c>
      <c r="C255" s="2" t="s">
        <v>3466</v>
      </c>
      <c r="D255" s="2" t="s">
        <v>3467</v>
      </c>
      <c r="E255" s="3" t="s">
        <v>341</v>
      </c>
      <c r="F255" s="3" t="s">
        <v>86</v>
      </c>
      <c r="G255" s="3" t="s">
        <v>59</v>
      </c>
      <c r="H255" s="3" t="s">
        <v>58</v>
      </c>
      <c r="I255" s="3" t="s">
        <v>58</v>
      </c>
      <c r="J255" s="3" t="s">
        <v>60</v>
      </c>
      <c r="L255" s="2" t="s">
        <v>3468</v>
      </c>
      <c r="M255" s="3" t="s">
        <v>223</v>
      </c>
      <c r="O255" s="3" t="s">
        <v>64</v>
      </c>
      <c r="P255" s="3" t="s">
        <v>115</v>
      </c>
      <c r="Q255" s="2" t="s">
        <v>3469</v>
      </c>
      <c r="R255" s="3" t="s">
        <v>67</v>
      </c>
      <c r="S255" s="4">
        <v>4</v>
      </c>
      <c r="T255" s="4">
        <v>4</v>
      </c>
      <c r="U255" s="5" t="s">
        <v>2145</v>
      </c>
      <c r="V255" s="5" t="s">
        <v>2145</v>
      </c>
      <c r="W255" s="5" t="s">
        <v>210</v>
      </c>
      <c r="X255" s="5" t="s">
        <v>210</v>
      </c>
      <c r="Y255" s="4">
        <v>248</v>
      </c>
      <c r="Z255" s="4">
        <v>192</v>
      </c>
      <c r="AA255" s="4">
        <v>196</v>
      </c>
      <c r="AB255" s="4">
        <v>2</v>
      </c>
      <c r="AC255" s="4">
        <v>2</v>
      </c>
      <c r="AD255" s="4">
        <v>8</v>
      </c>
      <c r="AE255" s="4">
        <v>8</v>
      </c>
      <c r="AF255" s="4">
        <v>0</v>
      </c>
      <c r="AG255" s="4">
        <v>0</v>
      </c>
      <c r="AH255" s="4">
        <v>4</v>
      </c>
      <c r="AI255" s="4">
        <v>4</v>
      </c>
      <c r="AJ255" s="4">
        <v>6</v>
      </c>
      <c r="AK255" s="4">
        <v>6</v>
      </c>
      <c r="AL255" s="4">
        <v>1</v>
      </c>
      <c r="AM255" s="4">
        <v>1</v>
      </c>
      <c r="AN255" s="4">
        <v>0</v>
      </c>
      <c r="AO255" s="4">
        <v>0</v>
      </c>
      <c r="AP255" s="3" t="s">
        <v>58</v>
      </c>
      <c r="AQ255" s="3" t="s">
        <v>86</v>
      </c>
      <c r="AR255" s="6" t="str">
        <f>HYPERLINK("http://catalog.hathitrust.org/Record/000178305","HathiTrust Record")</f>
        <v>HathiTrust Record</v>
      </c>
      <c r="AS255" s="6" t="str">
        <f>HYPERLINK("https://creighton-primo.hosted.exlibrisgroup.com/primo-explore/search?tab=default_tab&amp;search_scope=EVERYTHING&amp;vid=01CRU&amp;lang=en_US&amp;offset=0&amp;query=any,contains,991004578309702656","Catalog Record")</f>
        <v>Catalog Record</v>
      </c>
      <c r="AT255" s="6" t="str">
        <f>HYPERLINK("http://www.worldcat.org/oclc/4055892","WorldCat Record")</f>
        <v>WorldCat Record</v>
      </c>
      <c r="AU255" s="3" t="s">
        <v>3470</v>
      </c>
      <c r="AV255" s="3" t="s">
        <v>3471</v>
      </c>
      <c r="AW255" s="3" t="s">
        <v>3472</v>
      </c>
      <c r="AX255" s="3" t="s">
        <v>3472</v>
      </c>
      <c r="AY255" s="3" t="s">
        <v>3473</v>
      </c>
      <c r="AZ255" s="3" t="s">
        <v>74</v>
      </c>
      <c r="BB255" s="3" t="s">
        <v>3474</v>
      </c>
      <c r="BC255" s="3" t="s">
        <v>3477</v>
      </c>
      <c r="BD255" s="3" t="s">
        <v>3478</v>
      </c>
    </row>
    <row r="256" spans="1:56" ht="42.75" customHeight="1" x14ac:dyDescent="0.25">
      <c r="A256" s="7" t="s">
        <v>58</v>
      </c>
      <c r="B256" s="2" t="s">
        <v>3479</v>
      </c>
      <c r="C256" s="2" t="s">
        <v>3480</v>
      </c>
      <c r="D256" s="2" t="s">
        <v>3481</v>
      </c>
      <c r="E256" s="3" t="s">
        <v>2397</v>
      </c>
      <c r="F256" s="3" t="s">
        <v>86</v>
      </c>
      <c r="G256" s="3" t="s">
        <v>59</v>
      </c>
      <c r="H256" s="3" t="s">
        <v>58</v>
      </c>
      <c r="I256" s="3" t="s">
        <v>58</v>
      </c>
      <c r="J256" s="3" t="s">
        <v>60</v>
      </c>
      <c r="L256" s="2" t="s">
        <v>3482</v>
      </c>
      <c r="M256" s="3" t="s">
        <v>2770</v>
      </c>
      <c r="O256" s="3" t="s">
        <v>64</v>
      </c>
      <c r="P256" s="3" t="s">
        <v>115</v>
      </c>
      <c r="Q256" s="2" t="s">
        <v>3483</v>
      </c>
      <c r="R256" s="3" t="s">
        <v>67</v>
      </c>
      <c r="S256" s="4">
        <v>6</v>
      </c>
      <c r="T256" s="4">
        <v>17</v>
      </c>
      <c r="U256" s="5" t="s">
        <v>3125</v>
      </c>
      <c r="V256" s="5" t="s">
        <v>3125</v>
      </c>
      <c r="W256" s="5" t="s">
        <v>210</v>
      </c>
      <c r="X256" s="5" t="s">
        <v>210</v>
      </c>
      <c r="Y256" s="4">
        <v>585</v>
      </c>
      <c r="Z256" s="4">
        <v>497</v>
      </c>
      <c r="AA256" s="4">
        <v>506</v>
      </c>
      <c r="AB256" s="4">
        <v>3</v>
      </c>
      <c r="AC256" s="4">
        <v>3</v>
      </c>
      <c r="AD256" s="4">
        <v>10</v>
      </c>
      <c r="AE256" s="4">
        <v>10</v>
      </c>
      <c r="AF256" s="4">
        <v>2</v>
      </c>
      <c r="AG256" s="4">
        <v>2</v>
      </c>
      <c r="AH256" s="4">
        <v>3</v>
      </c>
      <c r="AI256" s="4">
        <v>3</v>
      </c>
      <c r="AJ256" s="4">
        <v>7</v>
      </c>
      <c r="AK256" s="4">
        <v>7</v>
      </c>
      <c r="AL256" s="4">
        <v>1</v>
      </c>
      <c r="AM256" s="4">
        <v>1</v>
      </c>
      <c r="AN256" s="4">
        <v>0</v>
      </c>
      <c r="AO256" s="4">
        <v>0</v>
      </c>
      <c r="AP256" s="3" t="s">
        <v>58</v>
      </c>
      <c r="AQ256" s="3" t="s">
        <v>86</v>
      </c>
      <c r="AR256" s="6" t="str">
        <f>HYPERLINK("http://catalog.hathitrust.org/Record/000090991","HathiTrust Record")</f>
        <v>HathiTrust Record</v>
      </c>
      <c r="AS256" s="6" t="str">
        <f>HYPERLINK("https://creighton-primo.hosted.exlibrisgroup.com/primo-explore/search?tab=default_tab&amp;search_scope=EVERYTHING&amp;vid=01CRU&amp;lang=en_US&amp;offset=0&amp;query=any,contains,991005264419702656","Catalog Record")</f>
        <v>Catalog Record</v>
      </c>
      <c r="AT256" s="6" t="str">
        <f>HYPERLINK("http://www.worldcat.org/oclc/3602074","WorldCat Record")</f>
        <v>WorldCat Record</v>
      </c>
      <c r="AU256" s="3" t="s">
        <v>3484</v>
      </c>
      <c r="AV256" s="3" t="s">
        <v>3485</v>
      </c>
      <c r="AW256" s="3" t="s">
        <v>3486</v>
      </c>
      <c r="AX256" s="3" t="s">
        <v>3486</v>
      </c>
      <c r="AY256" s="3" t="s">
        <v>3487</v>
      </c>
      <c r="AZ256" s="3" t="s">
        <v>74</v>
      </c>
      <c r="BB256" s="3" t="s">
        <v>3488</v>
      </c>
      <c r="BC256" s="3" t="s">
        <v>3489</v>
      </c>
      <c r="BD256" s="3" t="s">
        <v>3490</v>
      </c>
    </row>
    <row r="257" spans="1:56" ht="42.75" customHeight="1" x14ac:dyDescent="0.25">
      <c r="A257" s="7" t="s">
        <v>58</v>
      </c>
      <c r="B257" s="2" t="s">
        <v>3479</v>
      </c>
      <c r="C257" s="2" t="s">
        <v>3480</v>
      </c>
      <c r="D257" s="2" t="s">
        <v>3481</v>
      </c>
      <c r="E257" s="3" t="s">
        <v>3491</v>
      </c>
      <c r="F257" s="3" t="s">
        <v>86</v>
      </c>
      <c r="G257" s="3" t="s">
        <v>59</v>
      </c>
      <c r="H257" s="3" t="s">
        <v>58</v>
      </c>
      <c r="I257" s="3" t="s">
        <v>58</v>
      </c>
      <c r="J257" s="3" t="s">
        <v>60</v>
      </c>
      <c r="L257" s="2" t="s">
        <v>3482</v>
      </c>
      <c r="M257" s="3" t="s">
        <v>2770</v>
      </c>
      <c r="O257" s="3" t="s">
        <v>64</v>
      </c>
      <c r="P257" s="3" t="s">
        <v>115</v>
      </c>
      <c r="Q257" s="2" t="s">
        <v>3483</v>
      </c>
      <c r="R257" s="3" t="s">
        <v>67</v>
      </c>
      <c r="S257" s="4">
        <v>4</v>
      </c>
      <c r="T257" s="4">
        <v>17</v>
      </c>
      <c r="U257" s="5" t="s">
        <v>3125</v>
      </c>
      <c r="V257" s="5" t="s">
        <v>3125</v>
      </c>
      <c r="W257" s="5" t="s">
        <v>210</v>
      </c>
      <c r="X257" s="5" t="s">
        <v>210</v>
      </c>
      <c r="Y257" s="4">
        <v>585</v>
      </c>
      <c r="Z257" s="4">
        <v>497</v>
      </c>
      <c r="AA257" s="4">
        <v>506</v>
      </c>
      <c r="AB257" s="4">
        <v>3</v>
      </c>
      <c r="AC257" s="4">
        <v>3</v>
      </c>
      <c r="AD257" s="4">
        <v>10</v>
      </c>
      <c r="AE257" s="4">
        <v>10</v>
      </c>
      <c r="AF257" s="4">
        <v>2</v>
      </c>
      <c r="AG257" s="4">
        <v>2</v>
      </c>
      <c r="AH257" s="4">
        <v>3</v>
      </c>
      <c r="AI257" s="4">
        <v>3</v>
      </c>
      <c r="AJ257" s="4">
        <v>7</v>
      </c>
      <c r="AK257" s="4">
        <v>7</v>
      </c>
      <c r="AL257" s="4">
        <v>1</v>
      </c>
      <c r="AM257" s="4">
        <v>1</v>
      </c>
      <c r="AN257" s="4">
        <v>0</v>
      </c>
      <c r="AO257" s="4">
        <v>0</v>
      </c>
      <c r="AP257" s="3" t="s">
        <v>58</v>
      </c>
      <c r="AQ257" s="3" t="s">
        <v>86</v>
      </c>
      <c r="AR257" s="6" t="str">
        <f>HYPERLINK("http://catalog.hathitrust.org/Record/000090991","HathiTrust Record")</f>
        <v>HathiTrust Record</v>
      </c>
      <c r="AS257" s="6" t="str">
        <f>HYPERLINK("https://creighton-primo.hosted.exlibrisgroup.com/primo-explore/search?tab=default_tab&amp;search_scope=EVERYTHING&amp;vid=01CRU&amp;lang=en_US&amp;offset=0&amp;query=any,contains,991005264419702656","Catalog Record")</f>
        <v>Catalog Record</v>
      </c>
      <c r="AT257" s="6" t="str">
        <f>HYPERLINK("http://www.worldcat.org/oclc/3602074","WorldCat Record")</f>
        <v>WorldCat Record</v>
      </c>
      <c r="AU257" s="3" t="s">
        <v>3484</v>
      </c>
      <c r="AV257" s="3" t="s">
        <v>3485</v>
      </c>
      <c r="AW257" s="3" t="s">
        <v>3486</v>
      </c>
      <c r="AX257" s="3" t="s">
        <v>3486</v>
      </c>
      <c r="AY257" s="3" t="s">
        <v>3487</v>
      </c>
      <c r="AZ257" s="3" t="s">
        <v>74</v>
      </c>
      <c r="BB257" s="3" t="s">
        <v>3488</v>
      </c>
      <c r="BC257" s="3" t="s">
        <v>3492</v>
      </c>
      <c r="BD257" s="3" t="s">
        <v>3493</v>
      </c>
    </row>
    <row r="258" spans="1:56" ht="42.75" customHeight="1" x14ac:dyDescent="0.25">
      <c r="A258" s="7" t="s">
        <v>58</v>
      </c>
      <c r="B258" s="2" t="s">
        <v>3479</v>
      </c>
      <c r="C258" s="2" t="s">
        <v>3480</v>
      </c>
      <c r="D258" s="2" t="s">
        <v>3481</v>
      </c>
      <c r="E258" s="3" t="s">
        <v>3494</v>
      </c>
      <c r="F258" s="3" t="s">
        <v>86</v>
      </c>
      <c r="G258" s="3" t="s">
        <v>59</v>
      </c>
      <c r="H258" s="3" t="s">
        <v>58</v>
      </c>
      <c r="I258" s="3" t="s">
        <v>58</v>
      </c>
      <c r="J258" s="3" t="s">
        <v>60</v>
      </c>
      <c r="L258" s="2" t="s">
        <v>3482</v>
      </c>
      <c r="M258" s="3" t="s">
        <v>2770</v>
      </c>
      <c r="O258" s="3" t="s">
        <v>64</v>
      </c>
      <c r="P258" s="3" t="s">
        <v>115</v>
      </c>
      <c r="Q258" s="2" t="s">
        <v>3483</v>
      </c>
      <c r="R258" s="3" t="s">
        <v>67</v>
      </c>
      <c r="S258" s="4">
        <v>7</v>
      </c>
      <c r="T258" s="4">
        <v>17</v>
      </c>
      <c r="U258" s="5" t="s">
        <v>3125</v>
      </c>
      <c r="V258" s="5" t="s">
        <v>3125</v>
      </c>
      <c r="W258" s="5" t="s">
        <v>210</v>
      </c>
      <c r="X258" s="5" t="s">
        <v>210</v>
      </c>
      <c r="Y258" s="4">
        <v>585</v>
      </c>
      <c r="Z258" s="4">
        <v>497</v>
      </c>
      <c r="AA258" s="4">
        <v>506</v>
      </c>
      <c r="AB258" s="4">
        <v>3</v>
      </c>
      <c r="AC258" s="4">
        <v>3</v>
      </c>
      <c r="AD258" s="4">
        <v>10</v>
      </c>
      <c r="AE258" s="4">
        <v>10</v>
      </c>
      <c r="AF258" s="4">
        <v>2</v>
      </c>
      <c r="AG258" s="4">
        <v>2</v>
      </c>
      <c r="AH258" s="4">
        <v>3</v>
      </c>
      <c r="AI258" s="4">
        <v>3</v>
      </c>
      <c r="AJ258" s="4">
        <v>7</v>
      </c>
      <c r="AK258" s="4">
        <v>7</v>
      </c>
      <c r="AL258" s="4">
        <v>1</v>
      </c>
      <c r="AM258" s="4">
        <v>1</v>
      </c>
      <c r="AN258" s="4">
        <v>0</v>
      </c>
      <c r="AO258" s="4">
        <v>0</v>
      </c>
      <c r="AP258" s="3" t="s">
        <v>58</v>
      </c>
      <c r="AQ258" s="3" t="s">
        <v>86</v>
      </c>
      <c r="AR258" s="6" t="str">
        <f>HYPERLINK("http://catalog.hathitrust.org/Record/000090991","HathiTrust Record")</f>
        <v>HathiTrust Record</v>
      </c>
      <c r="AS258" s="6" t="str">
        <f>HYPERLINK("https://creighton-primo.hosted.exlibrisgroup.com/primo-explore/search?tab=default_tab&amp;search_scope=EVERYTHING&amp;vid=01CRU&amp;lang=en_US&amp;offset=0&amp;query=any,contains,991005264419702656","Catalog Record")</f>
        <v>Catalog Record</v>
      </c>
      <c r="AT258" s="6" t="str">
        <f>HYPERLINK("http://www.worldcat.org/oclc/3602074","WorldCat Record")</f>
        <v>WorldCat Record</v>
      </c>
      <c r="AU258" s="3" t="s">
        <v>3484</v>
      </c>
      <c r="AV258" s="3" t="s">
        <v>3485</v>
      </c>
      <c r="AW258" s="3" t="s">
        <v>3486</v>
      </c>
      <c r="AX258" s="3" t="s">
        <v>3486</v>
      </c>
      <c r="AY258" s="3" t="s">
        <v>3487</v>
      </c>
      <c r="AZ258" s="3" t="s">
        <v>74</v>
      </c>
      <c r="BB258" s="3" t="s">
        <v>3488</v>
      </c>
      <c r="BC258" s="3" t="s">
        <v>3495</v>
      </c>
      <c r="BD258" s="3" t="s">
        <v>3496</v>
      </c>
    </row>
    <row r="259" spans="1:56" ht="42.75" customHeight="1" x14ac:dyDescent="0.25">
      <c r="A259" s="7" t="s">
        <v>58</v>
      </c>
      <c r="B259" s="2" t="s">
        <v>3497</v>
      </c>
      <c r="C259" s="2" t="s">
        <v>3498</v>
      </c>
      <c r="D259" s="2" t="s">
        <v>3499</v>
      </c>
      <c r="F259" s="3" t="s">
        <v>58</v>
      </c>
      <c r="G259" s="3" t="s">
        <v>59</v>
      </c>
      <c r="H259" s="3" t="s">
        <v>58</v>
      </c>
      <c r="I259" s="3" t="s">
        <v>58</v>
      </c>
      <c r="J259" s="3" t="s">
        <v>60</v>
      </c>
      <c r="K259" s="2" t="s">
        <v>3500</v>
      </c>
      <c r="L259" s="2" t="s">
        <v>3501</v>
      </c>
      <c r="M259" s="3" t="s">
        <v>695</v>
      </c>
      <c r="O259" s="3" t="s">
        <v>64</v>
      </c>
      <c r="P259" s="3" t="s">
        <v>115</v>
      </c>
      <c r="R259" s="3" t="s">
        <v>67</v>
      </c>
      <c r="S259" s="4">
        <v>18</v>
      </c>
      <c r="T259" s="4">
        <v>18</v>
      </c>
      <c r="U259" s="5" t="s">
        <v>3456</v>
      </c>
      <c r="V259" s="5" t="s">
        <v>3456</v>
      </c>
      <c r="W259" s="5" t="s">
        <v>3502</v>
      </c>
      <c r="X259" s="5" t="s">
        <v>3502</v>
      </c>
      <c r="Y259" s="4">
        <v>400</v>
      </c>
      <c r="Z259" s="4">
        <v>361</v>
      </c>
      <c r="AA259" s="4">
        <v>368</v>
      </c>
      <c r="AB259" s="4">
        <v>1</v>
      </c>
      <c r="AC259" s="4">
        <v>1</v>
      </c>
      <c r="AD259" s="4">
        <v>5</v>
      </c>
      <c r="AE259" s="4">
        <v>5</v>
      </c>
      <c r="AF259" s="4">
        <v>1</v>
      </c>
      <c r="AG259" s="4">
        <v>1</v>
      </c>
      <c r="AH259" s="4">
        <v>3</v>
      </c>
      <c r="AI259" s="4">
        <v>3</v>
      </c>
      <c r="AJ259" s="4">
        <v>3</v>
      </c>
      <c r="AK259" s="4">
        <v>3</v>
      </c>
      <c r="AL259" s="4">
        <v>0</v>
      </c>
      <c r="AM259" s="4">
        <v>0</v>
      </c>
      <c r="AN259" s="4">
        <v>0</v>
      </c>
      <c r="AO259" s="4">
        <v>0</v>
      </c>
      <c r="AP259" s="3" t="s">
        <v>58</v>
      </c>
      <c r="AQ259" s="3" t="s">
        <v>86</v>
      </c>
      <c r="AR259" s="6" t="str">
        <f>HYPERLINK("http://catalog.hathitrust.org/Record/002736905","HathiTrust Record")</f>
        <v>HathiTrust Record</v>
      </c>
      <c r="AS259" s="6" t="str">
        <f>HYPERLINK("https://creighton-primo.hosted.exlibrisgroup.com/primo-explore/search?tab=default_tab&amp;search_scope=EVERYTHING&amp;vid=01CRU&amp;lang=en_US&amp;offset=0&amp;query=any,contains,991002208009702656","Catalog Record")</f>
        <v>Catalog Record</v>
      </c>
      <c r="AT259" s="6" t="str">
        <f>HYPERLINK("http://www.worldcat.org/oclc/28410504","WorldCat Record")</f>
        <v>WorldCat Record</v>
      </c>
      <c r="AU259" s="3" t="s">
        <v>3503</v>
      </c>
      <c r="AV259" s="3" t="s">
        <v>3504</v>
      </c>
      <c r="AW259" s="3" t="s">
        <v>3505</v>
      </c>
      <c r="AX259" s="3" t="s">
        <v>3505</v>
      </c>
      <c r="AY259" s="3" t="s">
        <v>3506</v>
      </c>
      <c r="AZ259" s="3" t="s">
        <v>74</v>
      </c>
      <c r="BB259" s="3" t="s">
        <v>3507</v>
      </c>
      <c r="BC259" s="3" t="s">
        <v>3508</v>
      </c>
      <c r="BD259" s="3" t="s">
        <v>3509</v>
      </c>
    </row>
    <row r="260" spans="1:56" ht="42.75" customHeight="1" x14ac:dyDescent="0.25">
      <c r="A260" s="7" t="s">
        <v>58</v>
      </c>
      <c r="B260" s="2" t="s">
        <v>3510</v>
      </c>
      <c r="C260" s="2" t="s">
        <v>3511</v>
      </c>
      <c r="D260" s="2" t="s">
        <v>3512</v>
      </c>
      <c r="F260" s="3" t="s">
        <v>58</v>
      </c>
      <c r="G260" s="3" t="s">
        <v>59</v>
      </c>
      <c r="H260" s="3" t="s">
        <v>58</v>
      </c>
      <c r="I260" s="3" t="s">
        <v>58</v>
      </c>
      <c r="J260" s="3" t="s">
        <v>60</v>
      </c>
      <c r="K260" s="2" t="s">
        <v>3513</v>
      </c>
      <c r="L260" s="2" t="s">
        <v>3514</v>
      </c>
      <c r="M260" s="3" t="s">
        <v>737</v>
      </c>
      <c r="O260" s="3" t="s">
        <v>64</v>
      </c>
      <c r="P260" s="3" t="s">
        <v>3070</v>
      </c>
      <c r="Q260" s="2" t="s">
        <v>3442</v>
      </c>
      <c r="R260" s="3" t="s">
        <v>67</v>
      </c>
      <c r="S260" s="4">
        <v>10</v>
      </c>
      <c r="T260" s="4">
        <v>10</v>
      </c>
      <c r="U260" s="5" t="s">
        <v>3110</v>
      </c>
      <c r="V260" s="5" t="s">
        <v>3110</v>
      </c>
      <c r="W260" s="5" t="s">
        <v>3515</v>
      </c>
      <c r="X260" s="5" t="s">
        <v>3515</v>
      </c>
      <c r="Y260" s="4">
        <v>65</v>
      </c>
      <c r="Z260" s="4">
        <v>56</v>
      </c>
      <c r="AA260" s="4">
        <v>56</v>
      </c>
      <c r="AB260" s="4">
        <v>1</v>
      </c>
      <c r="AC260" s="4">
        <v>1</v>
      </c>
      <c r="AD260" s="4">
        <v>1</v>
      </c>
      <c r="AE260" s="4">
        <v>1</v>
      </c>
      <c r="AF260" s="4">
        <v>0</v>
      </c>
      <c r="AG260" s="4">
        <v>0</v>
      </c>
      <c r="AH260" s="4">
        <v>1</v>
      </c>
      <c r="AI260" s="4">
        <v>1</v>
      </c>
      <c r="AJ260" s="4">
        <v>0</v>
      </c>
      <c r="AK260" s="4">
        <v>0</v>
      </c>
      <c r="AL260" s="4">
        <v>0</v>
      </c>
      <c r="AM260" s="4">
        <v>0</v>
      </c>
      <c r="AN260" s="4">
        <v>0</v>
      </c>
      <c r="AO260" s="4">
        <v>0</v>
      </c>
      <c r="AP260" s="3" t="s">
        <v>58</v>
      </c>
      <c r="AQ260" s="3" t="s">
        <v>58</v>
      </c>
      <c r="AS260" s="6" t="str">
        <f>HYPERLINK("https://creighton-primo.hosted.exlibrisgroup.com/primo-explore/search?tab=default_tab&amp;search_scope=EVERYTHING&amp;vid=01CRU&amp;lang=en_US&amp;offset=0&amp;query=any,contains,991002411599702656","Catalog Record")</f>
        <v>Catalog Record</v>
      </c>
      <c r="AT260" s="6" t="str">
        <f>HYPERLINK("http://www.worldcat.org/oclc/31377231","WorldCat Record")</f>
        <v>WorldCat Record</v>
      </c>
      <c r="AU260" s="3" t="s">
        <v>3516</v>
      </c>
      <c r="AV260" s="3" t="s">
        <v>3517</v>
      </c>
      <c r="AW260" s="3" t="s">
        <v>3518</v>
      </c>
      <c r="AX260" s="3" t="s">
        <v>3518</v>
      </c>
      <c r="AY260" s="3" t="s">
        <v>3519</v>
      </c>
      <c r="AZ260" s="3" t="s">
        <v>74</v>
      </c>
      <c r="BB260" s="3" t="s">
        <v>3520</v>
      </c>
      <c r="BC260" s="3" t="s">
        <v>3521</v>
      </c>
      <c r="BD260" s="3" t="s">
        <v>3522</v>
      </c>
    </row>
    <row r="261" spans="1:56" ht="42.75" customHeight="1" x14ac:dyDescent="0.25">
      <c r="A261" s="7" t="s">
        <v>58</v>
      </c>
      <c r="B261" s="2" t="s">
        <v>3523</v>
      </c>
      <c r="C261" s="2" t="s">
        <v>3524</v>
      </c>
      <c r="D261" s="2" t="s">
        <v>3525</v>
      </c>
      <c r="E261" s="3" t="s">
        <v>3526</v>
      </c>
      <c r="F261" s="3" t="s">
        <v>86</v>
      </c>
      <c r="G261" s="3" t="s">
        <v>59</v>
      </c>
      <c r="H261" s="3" t="s">
        <v>58</v>
      </c>
      <c r="I261" s="3" t="s">
        <v>58</v>
      </c>
      <c r="J261" s="3" t="s">
        <v>60</v>
      </c>
      <c r="L261" s="2" t="s">
        <v>3527</v>
      </c>
      <c r="M261" s="3" t="s">
        <v>1574</v>
      </c>
      <c r="O261" s="3" t="s">
        <v>64</v>
      </c>
      <c r="P261" s="3" t="s">
        <v>254</v>
      </c>
      <c r="R261" s="3" t="s">
        <v>67</v>
      </c>
      <c r="S261" s="4">
        <v>0</v>
      </c>
      <c r="T261" s="4">
        <v>1</v>
      </c>
      <c r="V261" s="5" t="s">
        <v>3273</v>
      </c>
      <c r="W261" s="5" t="s">
        <v>3528</v>
      </c>
      <c r="X261" s="5" t="s">
        <v>3528</v>
      </c>
      <c r="Y261" s="4">
        <v>272</v>
      </c>
      <c r="Z261" s="4">
        <v>195</v>
      </c>
      <c r="AA261" s="4">
        <v>197</v>
      </c>
      <c r="AB261" s="4">
        <v>1</v>
      </c>
      <c r="AC261" s="4">
        <v>1</v>
      </c>
      <c r="AD261" s="4">
        <v>4</v>
      </c>
      <c r="AE261" s="4">
        <v>4</v>
      </c>
      <c r="AF261" s="4">
        <v>1</v>
      </c>
      <c r="AG261" s="4">
        <v>1</v>
      </c>
      <c r="AH261" s="4">
        <v>1</v>
      </c>
      <c r="AI261" s="4">
        <v>1</v>
      </c>
      <c r="AJ261" s="4">
        <v>2</v>
      </c>
      <c r="AK261" s="4">
        <v>2</v>
      </c>
      <c r="AL261" s="4">
        <v>0</v>
      </c>
      <c r="AM261" s="4">
        <v>0</v>
      </c>
      <c r="AN261" s="4">
        <v>0</v>
      </c>
      <c r="AO261" s="4">
        <v>0</v>
      </c>
      <c r="AP261" s="3" t="s">
        <v>58</v>
      </c>
      <c r="AQ261" s="3" t="s">
        <v>86</v>
      </c>
      <c r="AR261" s="6" t="str">
        <f>HYPERLINK("http://catalog.hathitrust.org/Record/000149056","HathiTrust Record")</f>
        <v>HathiTrust Record</v>
      </c>
      <c r="AS261" s="6" t="str">
        <f>HYPERLINK("https://creighton-primo.hosted.exlibrisgroup.com/primo-explore/search?tab=default_tab&amp;search_scope=EVERYTHING&amp;vid=01CRU&amp;lang=en_US&amp;offset=0&amp;query=any,contains,991005205139702656","Catalog Record")</f>
        <v>Catalog Record</v>
      </c>
      <c r="AT261" s="6" t="str">
        <f>HYPERLINK("http://www.worldcat.org/oclc/8113021","WorldCat Record")</f>
        <v>WorldCat Record</v>
      </c>
      <c r="AU261" s="3" t="s">
        <v>3529</v>
      </c>
      <c r="AV261" s="3" t="s">
        <v>3530</v>
      </c>
      <c r="AW261" s="3" t="s">
        <v>3531</v>
      </c>
      <c r="AX261" s="3" t="s">
        <v>3531</v>
      </c>
      <c r="AY261" s="3" t="s">
        <v>3532</v>
      </c>
      <c r="AZ261" s="3" t="s">
        <v>74</v>
      </c>
      <c r="BB261" s="3" t="s">
        <v>3533</v>
      </c>
      <c r="BC261" s="3" t="s">
        <v>3534</v>
      </c>
      <c r="BD261" s="3" t="s">
        <v>3535</v>
      </c>
    </row>
    <row r="262" spans="1:56" ht="42.75" customHeight="1" x14ac:dyDescent="0.25">
      <c r="A262" s="7" t="s">
        <v>58</v>
      </c>
      <c r="B262" s="2" t="s">
        <v>3523</v>
      </c>
      <c r="C262" s="2" t="s">
        <v>3524</v>
      </c>
      <c r="D262" s="2" t="s">
        <v>3525</v>
      </c>
      <c r="E262" s="3" t="s">
        <v>3536</v>
      </c>
      <c r="F262" s="3" t="s">
        <v>86</v>
      </c>
      <c r="G262" s="3" t="s">
        <v>59</v>
      </c>
      <c r="H262" s="3" t="s">
        <v>58</v>
      </c>
      <c r="I262" s="3" t="s">
        <v>58</v>
      </c>
      <c r="J262" s="3" t="s">
        <v>60</v>
      </c>
      <c r="L262" s="2" t="s">
        <v>3527</v>
      </c>
      <c r="M262" s="3" t="s">
        <v>1574</v>
      </c>
      <c r="O262" s="3" t="s">
        <v>64</v>
      </c>
      <c r="P262" s="3" t="s">
        <v>254</v>
      </c>
      <c r="R262" s="3" t="s">
        <v>67</v>
      </c>
      <c r="S262" s="4">
        <v>0</v>
      </c>
      <c r="T262" s="4">
        <v>1</v>
      </c>
      <c r="V262" s="5" t="s">
        <v>3273</v>
      </c>
      <c r="W262" s="5" t="s">
        <v>3528</v>
      </c>
      <c r="X262" s="5" t="s">
        <v>3528</v>
      </c>
      <c r="Y262" s="4">
        <v>272</v>
      </c>
      <c r="Z262" s="4">
        <v>195</v>
      </c>
      <c r="AA262" s="4">
        <v>197</v>
      </c>
      <c r="AB262" s="4">
        <v>1</v>
      </c>
      <c r="AC262" s="4">
        <v>1</v>
      </c>
      <c r="AD262" s="4">
        <v>4</v>
      </c>
      <c r="AE262" s="4">
        <v>4</v>
      </c>
      <c r="AF262" s="4">
        <v>1</v>
      </c>
      <c r="AG262" s="4">
        <v>1</v>
      </c>
      <c r="AH262" s="4">
        <v>1</v>
      </c>
      <c r="AI262" s="4">
        <v>1</v>
      </c>
      <c r="AJ262" s="4">
        <v>2</v>
      </c>
      <c r="AK262" s="4">
        <v>2</v>
      </c>
      <c r="AL262" s="4">
        <v>0</v>
      </c>
      <c r="AM262" s="4">
        <v>0</v>
      </c>
      <c r="AN262" s="4">
        <v>0</v>
      </c>
      <c r="AO262" s="4">
        <v>0</v>
      </c>
      <c r="AP262" s="3" t="s">
        <v>58</v>
      </c>
      <c r="AQ262" s="3" t="s">
        <v>86</v>
      </c>
      <c r="AR262" s="6" t="str">
        <f>HYPERLINK("http://catalog.hathitrust.org/Record/000149056","HathiTrust Record")</f>
        <v>HathiTrust Record</v>
      </c>
      <c r="AS262" s="6" t="str">
        <f>HYPERLINK("https://creighton-primo.hosted.exlibrisgroup.com/primo-explore/search?tab=default_tab&amp;search_scope=EVERYTHING&amp;vid=01CRU&amp;lang=en_US&amp;offset=0&amp;query=any,contains,991005205139702656","Catalog Record")</f>
        <v>Catalog Record</v>
      </c>
      <c r="AT262" s="6" t="str">
        <f>HYPERLINK("http://www.worldcat.org/oclc/8113021","WorldCat Record")</f>
        <v>WorldCat Record</v>
      </c>
      <c r="AU262" s="3" t="s">
        <v>3529</v>
      </c>
      <c r="AV262" s="3" t="s">
        <v>3530</v>
      </c>
      <c r="AW262" s="3" t="s">
        <v>3531</v>
      </c>
      <c r="AX262" s="3" t="s">
        <v>3531</v>
      </c>
      <c r="AY262" s="3" t="s">
        <v>3532</v>
      </c>
      <c r="AZ262" s="3" t="s">
        <v>74</v>
      </c>
      <c r="BB262" s="3" t="s">
        <v>3533</v>
      </c>
      <c r="BC262" s="3" t="s">
        <v>3537</v>
      </c>
      <c r="BD262" s="3" t="s">
        <v>3538</v>
      </c>
    </row>
    <row r="263" spans="1:56" ht="42.75" customHeight="1" x14ac:dyDescent="0.25">
      <c r="A263" s="7" t="s">
        <v>58</v>
      </c>
      <c r="B263" s="2" t="s">
        <v>3523</v>
      </c>
      <c r="C263" s="2" t="s">
        <v>3524</v>
      </c>
      <c r="D263" s="2" t="s">
        <v>3525</v>
      </c>
      <c r="E263" s="3" t="s">
        <v>341</v>
      </c>
      <c r="F263" s="3" t="s">
        <v>86</v>
      </c>
      <c r="G263" s="3" t="s">
        <v>59</v>
      </c>
      <c r="H263" s="3" t="s">
        <v>58</v>
      </c>
      <c r="I263" s="3" t="s">
        <v>58</v>
      </c>
      <c r="J263" s="3" t="s">
        <v>60</v>
      </c>
      <c r="L263" s="2" t="s">
        <v>3527</v>
      </c>
      <c r="M263" s="3" t="s">
        <v>1574</v>
      </c>
      <c r="O263" s="3" t="s">
        <v>64</v>
      </c>
      <c r="P263" s="3" t="s">
        <v>254</v>
      </c>
      <c r="R263" s="3" t="s">
        <v>67</v>
      </c>
      <c r="S263" s="4">
        <v>0</v>
      </c>
      <c r="T263" s="4">
        <v>1</v>
      </c>
      <c r="V263" s="5" t="s">
        <v>3273</v>
      </c>
      <c r="W263" s="5" t="s">
        <v>3528</v>
      </c>
      <c r="X263" s="5" t="s">
        <v>3528</v>
      </c>
      <c r="Y263" s="4">
        <v>272</v>
      </c>
      <c r="Z263" s="4">
        <v>195</v>
      </c>
      <c r="AA263" s="4">
        <v>197</v>
      </c>
      <c r="AB263" s="4">
        <v>1</v>
      </c>
      <c r="AC263" s="4">
        <v>1</v>
      </c>
      <c r="AD263" s="4">
        <v>4</v>
      </c>
      <c r="AE263" s="4">
        <v>4</v>
      </c>
      <c r="AF263" s="4">
        <v>1</v>
      </c>
      <c r="AG263" s="4">
        <v>1</v>
      </c>
      <c r="AH263" s="4">
        <v>1</v>
      </c>
      <c r="AI263" s="4">
        <v>1</v>
      </c>
      <c r="AJ263" s="4">
        <v>2</v>
      </c>
      <c r="AK263" s="4">
        <v>2</v>
      </c>
      <c r="AL263" s="4">
        <v>0</v>
      </c>
      <c r="AM263" s="4">
        <v>0</v>
      </c>
      <c r="AN263" s="4">
        <v>0</v>
      </c>
      <c r="AO263" s="4">
        <v>0</v>
      </c>
      <c r="AP263" s="3" t="s">
        <v>58</v>
      </c>
      <c r="AQ263" s="3" t="s">
        <v>86</v>
      </c>
      <c r="AR263" s="6" t="str">
        <f>HYPERLINK("http://catalog.hathitrust.org/Record/000149056","HathiTrust Record")</f>
        <v>HathiTrust Record</v>
      </c>
      <c r="AS263" s="6" t="str">
        <f>HYPERLINK("https://creighton-primo.hosted.exlibrisgroup.com/primo-explore/search?tab=default_tab&amp;search_scope=EVERYTHING&amp;vid=01CRU&amp;lang=en_US&amp;offset=0&amp;query=any,contains,991005205139702656","Catalog Record")</f>
        <v>Catalog Record</v>
      </c>
      <c r="AT263" s="6" t="str">
        <f>HYPERLINK("http://www.worldcat.org/oclc/8113021","WorldCat Record")</f>
        <v>WorldCat Record</v>
      </c>
      <c r="AU263" s="3" t="s">
        <v>3529</v>
      </c>
      <c r="AV263" s="3" t="s">
        <v>3530</v>
      </c>
      <c r="AW263" s="3" t="s">
        <v>3531</v>
      </c>
      <c r="AX263" s="3" t="s">
        <v>3531</v>
      </c>
      <c r="AY263" s="3" t="s">
        <v>3532</v>
      </c>
      <c r="AZ263" s="3" t="s">
        <v>74</v>
      </c>
      <c r="BB263" s="3" t="s">
        <v>3533</v>
      </c>
      <c r="BC263" s="3" t="s">
        <v>3539</v>
      </c>
      <c r="BD263" s="3" t="s">
        <v>3540</v>
      </c>
    </row>
    <row r="264" spans="1:56" ht="42.75" customHeight="1" x14ac:dyDescent="0.25">
      <c r="A264" s="7" t="s">
        <v>58</v>
      </c>
      <c r="B264" s="2" t="s">
        <v>3523</v>
      </c>
      <c r="C264" s="2" t="s">
        <v>3524</v>
      </c>
      <c r="D264" s="2" t="s">
        <v>3525</v>
      </c>
      <c r="E264" s="3" t="s">
        <v>252</v>
      </c>
      <c r="F264" s="3" t="s">
        <v>86</v>
      </c>
      <c r="G264" s="3" t="s">
        <v>59</v>
      </c>
      <c r="H264" s="3" t="s">
        <v>58</v>
      </c>
      <c r="I264" s="3" t="s">
        <v>58</v>
      </c>
      <c r="J264" s="3" t="s">
        <v>60</v>
      </c>
      <c r="L264" s="2" t="s">
        <v>3527</v>
      </c>
      <c r="M264" s="3" t="s">
        <v>1574</v>
      </c>
      <c r="O264" s="3" t="s">
        <v>64</v>
      </c>
      <c r="P264" s="3" t="s">
        <v>254</v>
      </c>
      <c r="R264" s="3" t="s">
        <v>67</v>
      </c>
      <c r="S264" s="4">
        <v>1</v>
      </c>
      <c r="T264" s="4">
        <v>1</v>
      </c>
      <c r="U264" s="5" t="s">
        <v>3273</v>
      </c>
      <c r="V264" s="5" t="s">
        <v>3273</v>
      </c>
      <c r="W264" s="5" t="s">
        <v>3528</v>
      </c>
      <c r="X264" s="5" t="s">
        <v>3528</v>
      </c>
      <c r="Y264" s="4">
        <v>272</v>
      </c>
      <c r="Z264" s="4">
        <v>195</v>
      </c>
      <c r="AA264" s="4">
        <v>197</v>
      </c>
      <c r="AB264" s="4">
        <v>1</v>
      </c>
      <c r="AC264" s="4">
        <v>1</v>
      </c>
      <c r="AD264" s="4">
        <v>4</v>
      </c>
      <c r="AE264" s="4">
        <v>4</v>
      </c>
      <c r="AF264" s="4">
        <v>1</v>
      </c>
      <c r="AG264" s="4">
        <v>1</v>
      </c>
      <c r="AH264" s="4">
        <v>1</v>
      </c>
      <c r="AI264" s="4">
        <v>1</v>
      </c>
      <c r="AJ264" s="4">
        <v>2</v>
      </c>
      <c r="AK264" s="4">
        <v>2</v>
      </c>
      <c r="AL264" s="4">
        <v>0</v>
      </c>
      <c r="AM264" s="4">
        <v>0</v>
      </c>
      <c r="AN264" s="4">
        <v>0</v>
      </c>
      <c r="AO264" s="4">
        <v>0</v>
      </c>
      <c r="AP264" s="3" t="s">
        <v>58</v>
      </c>
      <c r="AQ264" s="3" t="s">
        <v>86</v>
      </c>
      <c r="AR264" s="6" t="str">
        <f>HYPERLINK("http://catalog.hathitrust.org/Record/000149056","HathiTrust Record")</f>
        <v>HathiTrust Record</v>
      </c>
      <c r="AS264" s="6" t="str">
        <f>HYPERLINK("https://creighton-primo.hosted.exlibrisgroup.com/primo-explore/search?tab=default_tab&amp;search_scope=EVERYTHING&amp;vid=01CRU&amp;lang=en_US&amp;offset=0&amp;query=any,contains,991005205139702656","Catalog Record")</f>
        <v>Catalog Record</v>
      </c>
      <c r="AT264" s="6" t="str">
        <f>HYPERLINK("http://www.worldcat.org/oclc/8113021","WorldCat Record")</f>
        <v>WorldCat Record</v>
      </c>
      <c r="AU264" s="3" t="s">
        <v>3529</v>
      </c>
      <c r="AV264" s="3" t="s">
        <v>3530</v>
      </c>
      <c r="AW264" s="3" t="s">
        <v>3531</v>
      </c>
      <c r="AX264" s="3" t="s">
        <v>3531</v>
      </c>
      <c r="AY264" s="3" t="s">
        <v>3532</v>
      </c>
      <c r="AZ264" s="3" t="s">
        <v>74</v>
      </c>
      <c r="BB264" s="3" t="s">
        <v>3533</v>
      </c>
      <c r="BC264" s="3" t="s">
        <v>3541</v>
      </c>
      <c r="BD264" s="3" t="s">
        <v>3542</v>
      </c>
    </row>
    <row r="265" spans="1:56" ht="42.75" customHeight="1" x14ac:dyDescent="0.25">
      <c r="A265" s="7" t="s">
        <v>58</v>
      </c>
      <c r="B265" s="2" t="s">
        <v>3543</v>
      </c>
      <c r="C265" s="2" t="s">
        <v>3544</v>
      </c>
      <c r="D265" s="2" t="s">
        <v>3545</v>
      </c>
      <c r="F265" s="3" t="s">
        <v>58</v>
      </c>
      <c r="G265" s="3" t="s">
        <v>59</v>
      </c>
      <c r="H265" s="3" t="s">
        <v>58</v>
      </c>
      <c r="I265" s="3" t="s">
        <v>58</v>
      </c>
      <c r="J265" s="3" t="s">
        <v>60</v>
      </c>
      <c r="L265" s="2" t="s">
        <v>3546</v>
      </c>
      <c r="M265" s="3" t="s">
        <v>82</v>
      </c>
      <c r="O265" s="3" t="s">
        <v>64</v>
      </c>
      <c r="P265" s="3" t="s">
        <v>65</v>
      </c>
      <c r="Q265" s="2" t="s">
        <v>3547</v>
      </c>
      <c r="R265" s="3" t="s">
        <v>67</v>
      </c>
      <c r="S265" s="4">
        <v>4</v>
      </c>
      <c r="T265" s="4">
        <v>4</v>
      </c>
      <c r="U265" s="5" t="s">
        <v>3548</v>
      </c>
      <c r="V265" s="5" t="s">
        <v>3548</v>
      </c>
      <c r="W265" s="5" t="s">
        <v>3528</v>
      </c>
      <c r="X265" s="5" t="s">
        <v>3528</v>
      </c>
      <c r="Y265" s="4">
        <v>159</v>
      </c>
      <c r="Z265" s="4">
        <v>108</v>
      </c>
      <c r="AA265" s="4">
        <v>111</v>
      </c>
      <c r="AB265" s="4">
        <v>1</v>
      </c>
      <c r="AC265" s="4">
        <v>1</v>
      </c>
      <c r="AD265" s="4">
        <v>2</v>
      </c>
      <c r="AE265" s="4">
        <v>2</v>
      </c>
      <c r="AF265" s="4">
        <v>0</v>
      </c>
      <c r="AG265" s="4">
        <v>0</v>
      </c>
      <c r="AH265" s="4">
        <v>2</v>
      </c>
      <c r="AI265" s="4">
        <v>2</v>
      </c>
      <c r="AJ265" s="4">
        <v>1</v>
      </c>
      <c r="AK265" s="4">
        <v>1</v>
      </c>
      <c r="AL265" s="4">
        <v>0</v>
      </c>
      <c r="AM265" s="4">
        <v>0</v>
      </c>
      <c r="AN265" s="4">
        <v>0</v>
      </c>
      <c r="AO265" s="4">
        <v>0</v>
      </c>
      <c r="AP265" s="3" t="s">
        <v>58</v>
      </c>
      <c r="AQ265" s="3" t="s">
        <v>86</v>
      </c>
      <c r="AR265" s="6" t="str">
        <f>HYPERLINK("http://catalog.hathitrust.org/Record/000921104","HathiTrust Record")</f>
        <v>HathiTrust Record</v>
      </c>
      <c r="AS265" s="6" t="str">
        <f>HYPERLINK("https://creighton-primo.hosted.exlibrisgroup.com/primo-explore/search?tab=default_tab&amp;search_scope=EVERYTHING&amp;vid=01CRU&amp;lang=en_US&amp;offset=0&amp;query=any,contains,991001031989702656","Catalog Record")</f>
        <v>Catalog Record</v>
      </c>
      <c r="AT265" s="6" t="str">
        <f>HYPERLINK("http://www.worldcat.org/oclc/15519395","WorldCat Record")</f>
        <v>WorldCat Record</v>
      </c>
      <c r="AU265" s="3" t="s">
        <v>3549</v>
      </c>
      <c r="AV265" s="3" t="s">
        <v>3550</v>
      </c>
      <c r="AW265" s="3" t="s">
        <v>3551</v>
      </c>
      <c r="AX265" s="3" t="s">
        <v>3551</v>
      </c>
      <c r="AY265" s="3" t="s">
        <v>3552</v>
      </c>
      <c r="AZ265" s="3" t="s">
        <v>74</v>
      </c>
      <c r="BB265" s="3" t="s">
        <v>3553</v>
      </c>
      <c r="BC265" s="3" t="s">
        <v>3554</v>
      </c>
      <c r="BD265" s="3" t="s">
        <v>3555</v>
      </c>
    </row>
    <row r="266" spans="1:56" ht="42.75" customHeight="1" x14ac:dyDescent="0.25">
      <c r="A266" s="7" t="s">
        <v>58</v>
      </c>
      <c r="B266" s="2" t="s">
        <v>3556</v>
      </c>
      <c r="C266" s="2" t="s">
        <v>3557</v>
      </c>
      <c r="D266" s="2" t="s">
        <v>3558</v>
      </c>
      <c r="F266" s="3" t="s">
        <v>58</v>
      </c>
      <c r="G266" s="3" t="s">
        <v>59</v>
      </c>
      <c r="H266" s="3" t="s">
        <v>58</v>
      </c>
      <c r="I266" s="3" t="s">
        <v>58</v>
      </c>
      <c r="J266" s="3" t="s">
        <v>60</v>
      </c>
      <c r="L266" s="2" t="s">
        <v>3559</v>
      </c>
      <c r="M266" s="3" t="s">
        <v>1035</v>
      </c>
      <c r="O266" s="3" t="s">
        <v>64</v>
      </c>
      <c r="P266" s="3" t="s">
        <v>254</v>
      </c>
      <c r="Q266" s="2" t="s">
        <v>3560</v>
      </c>
      <c r="R266" s="3" t="s">
        <v>67</v>
      </c>
      <c r="S266" s="4">
        <v>1</v>
      </c>
      <c r="T266" s="4">
        <v>1</v>
      </c>
      <c r="U266" s="5" t="s">
        <v>3561</v>
      </c>
      <c r="V266" s="5" t="s">
        <v>3561</v>
      </c>
      <c r="W266" s="5" t="s">
        <v>3258</v>
      </c>
      <c r="X266" s="5" t="s">
        <v>3258</v>
      </c>
      <c r="Y266" s="4">
        <v>100</v>
      </c>
      <c r="Z266" s="4">
        <v>56</v>
      </c>
      <c r="AA266" s="4">
        <v>124</v>
      </c>
      <c r="AB266" s="4">
        <v>1</v>
      </c>
      <c r="AC266" s="4">
        <v>1</v>
      </c>
      <c r="AD266" s="4">
        <v>0</v>
      </c>
      <c r="AE266" s="4">
        <v>1</v>
      </c>
      <c r="AF266" s="4">
        <v>0</v>
      </c>
      <c r="AG266" s="4">
        <v>0</v>
      </c>
      <c r="AH266" s="4">
        <v>0</v>
      </c>
      <c r="AI266" s="4">
        <v>0</v>
      </c>
      <c r="AJ266" s="4">
        <v>0</v>
      </c>
      <c r="AK266" s="4">
        <v>1</v>
      </c>
      <c r="AL266" s="4">
        <v>0</v>
      </c>
      <c r="AM266" s="4">
        <v>0</v>
      </c>
      <c r="AN266" s="4">
        <v>0</v>
      </c>
      <c r="AO266" s="4">
        <v>0</v>
      </c>
      <c r="AP266" s="3" t="s">
        <v>58</v>
      </c>
      <c r="AQ266" s="3" t="s">
        <v>58</v>
      </c>
      <c r="AS266" s="6" t="str">
        <f>HYPERLINK("https://creighton-primo.hosted.exlibrisgroup.com/primo-explore/search?tab=default_tab&amp;search_scope=EVERYTHING&amp;vid=01CRU&amp;lang=en_US&amp;offset=0&amp;query=any,contains,991003754439702656","Catalog Record")</f>
        <v>Catalog Record</v>
      </c>
      <c r="AT266" s="6" t="str">
        <f>HYPERLINK("http://www.worldcat.org/oclc/46402503","WorldCat Record")</f>
        <v>WorldCat Record</v>
      </c>
      <c r="AU266" s="3" t="s">
        <v>3562</v>
      </c>
      <c r="AV266" s="3" t="s">
        <v>3563</v>
      </c>
      <c r="AW266" s="3" t="s">
        <v>3564</v>
      </c>
      <c r="AX266" s="3" t="s">
        <v>3564</v>
      </c>
      <c r="AY266" s="3" t="s">
        <v>3565</v>
      </c>
      <c r="AZ266" s="3" t="s">
        <v>74</v>
      </c>
      <c r="BB266" s="3" t="s">
        <v>3566</v>
      </c>
      <c r="BC266" s="3" t="s">
        <v>3567</v>
      </c>
      <c r="BD266" s="3" t="s">
        <v>3568</v>
      </c>
    </row>
    <row r="267" spans="1:56" ht="42.75" customHeight="1" x14ac:dyDescent="0.25">
      <c r="A267" s="7" t="s">
        <v>58</v>
      </c>
      <c r="B267" s="2" t="s">
        <v>3569</v>
      </c>
      <c r="C267" s="2" t="s">
        <v>3570</v>
      </c>
      <c r="D267" s="2" t="s">
        <v>3571</v>
      </c>
      <c r="F267" s="3" t="s">
        <v>58</v>
      </c>
      <c r="G267" s="3" t="s">
        <v>59</v>
      </c>
      <c r="H267" s="3" t="s">
        <v>58</v>
      </c>
      <c r="I267" s="3" t="s">
        <v>58</v>
      </c>
      <c r="J267" s="3" t="s">
        <v>60</v>
      </c>
      <c r="K267" s="2" t="s">
        <v>3572</v>
      </c>
      <c r="L267" s="2" t="s">
        <v>3573</v>
      </c>
      <c r="M267" s="3" t="s">
        <v>98</v>
      </c>
      <c r="O267" s="3" t="s">
        <v>64</v>
      </c>
      <c r="P267" s="3" t="s">
        <v>115</v>
      </c>
      <c r="Q267" s="2" t="s">
        <v>3574</v>
      </c>
      <c r="R267" s="3" t="s">
        <v>67</v>
      </c>
      <c r="S267" s="4">
        <v>3</v>
      </c>
      <c r="T267" s="4">
        <v>3</v>
      </c>
      <c r="U267" s="5" t="s">
        <v>1924</v>
      </c>
      <c r="V267" s="5" t="s">
        <v>1924</v>
      </c>
      <c r="W267" s="5" t="s">
        <v>3575</v>
      </c>
      <c r="X267" s="5" t="s">
        <v>3575</v>
      </c>
      <c r="Y267" s="4">
        <v>224</v>
      </c>
      <c r="Z267" s="4">
        <v>164</v>
      </c>
      <c r="AA267" s="4">
        <v>185</v>
      </c>
      <c r="AB267" s="4">
        <v>1</v>
      </c>
      <c r="AC267" s="4">
        <v>1</v>
      </c>
      <c r="AD267" s="4">
        <v>5</v>
      </c>
      <c r="AE267" s="4">
        <v>7</v>
      </c>
      <c r="AF267" s="4">
        <v>1</v>
      </c>
      <c r="AG267" s="4">
        <v>3</v>
      </c>
      <c r="AH267" s="4">
        <v>2</v>
      </c>
      <c r="AI267" s="4">
        <v>2</v>
      </c>
      <c r="AJ267" s="4">
        <v>3</v>
      </c>
      <c r="AK267" s="4">
        <v>4</v>
      </c>
      <c r="AL267" s="4">
        <v>0</v>
      </c>
      <c r="AM267" s="4">
        <v>0</v>
      </c>
      <c r="AN267" s="4">
        <v>0</v>
      </c>
      <c r="AO267" s="4">
        <v>0</v>
      </c>
      <c r="AP267" s="3" t="s">
        <v>58</v>
      </c>
      <c r="AQ267" s="3" t="s">
        <v>86</v>
      </c>
      <c r="AR267" s="6" t="str">
        <f>HYPERLINK("http://catalog.hathitrust.org/Record/001071466","HathiTrust Record")</f>
        <v>HathiTrust Record</v>
      </c>
      <c r="AS267" s="6" t="str">
        <f>HYPERLINK("https://creighton-primo.hosted.exlibrisgroup.com/primo-explore/search?tab=default_tab&amp;search_scope=EVERYTHING&amp;vid=01CRU&amp;lang=en_US&amp;offset=0&amp;query=any,contains,991001219179702656","Catalog Record")</f>
        <v>Catalog Record</v>
      </c>
      <c r="AT267" s="6" t="str">
        <f>HYPERLINK("http://www.worldcat.org/oclc/17441508","WorldCat Record")</f>
        <v>WorldCat Record</v>
      </c>
      <c r="AU267" s="3" t="s">
        <v>3576</v>
      </c>
      <c r="AV267" s="3" t="s">
        <v>3577</v>
      </c>
      <c r="AW267" s="3" t="s">
        <v>3578</v>
      </c>
      <c r="AX267" s="3" t="s">
        <v>3578</v>
      </c>
      <c r="AY267" s="3" t="s">
        <v>3579</v>
      </c>
      <c r="AZ267" s="3" t="s">
        <v>74</v>
      </c>
      <c r="BB267" s="3" t="s">
        <v>3580</v>
      </c>
      <c r="BC267" s="3" t="s">
        <v>3581</v>
      </c>
      <c r="BD267" s="3" t="s">
        <v>3582</v>
      </c>
    </row>
    <row r="268" spans="1:56" ht="42.75" customHeight="1" x14ac:dyDescent="0.25">
      <c r="A268" s="7" t="s">
        <v>58</v>
      </c>
      <c r="B268" s="2" t="s">
        <v>3583</v>
      </c>
      <c r="C268" s="2" t="s">
        <v>3584</v>
      </c>
      <c r="D268" s="2" t="s">
        <v>3585</v>
      </c>
      <c r="F268" s="3" t="s">
        <v>58</v>
      </c>
      <c r="G268" s="3" t="s">
        <v>59</v>
      </c>
      <c r="H268" s="3" t="s">
        <v>86</v>
      </c>
      <c r="I268" s="3" t="s">
        <v>58</v>
      </c>
      <c r="J268" s="3" t="s">
        <v>60</v>
      </c>
      <c r="K268" s="2" t="s">
        <v>3586</v>
      </c>
      <c r="L268" s="2" t="s">
        <v>3587</v>
      </c>
      <c r="M268" s="3" t="s">
        <v>207</v>
      </c>
      <c r="O268" s="3" t="s">
        <v>64</v>
      </c>
      <c r="P268" s="3" t="s">
        <v>208</v>
      </c>
      <c r="R268" s="3" t="s">
        <v>67</v>
      </c>
      <c r="S268" s="4">
        <v>6</v>
      </c>
      <c r="T268" s="4">
        <v>6</v>
      </c>
      <c r="U268" s="5" t="s">
        <v>3188</v>
      </c>
      <c r="V268" s="5" t="s">
        <v>3188</v>
      </c>
      <c r="W268" s="5" t="s">
        <v>3528</v>
      </c>
      <c r="X268" s="5" t="s">
        <v>3528</v>
      </c>
      <c r="Y268" s="4">
        <v>840</v>
      </c>
      <c r="Z268" s="4">
        <v>793</v>
      </c>
      <c r="AA268" s="4">
        <v>809</v>
      </c>
      <c r="AB268" s="4">
        <v>10</v>
      </c>
      <c r="AC268" s="4">
        <v>10</v>
      </c>
      <c r="AD268" s="4">
        <v>21</v>
      </c>
      <c r="AE268" s="4">
        <v>21</v>
      </c>
      <c r="AF268" s="4">
        <v>10</v>
      </c>
      <c r="AG268" s="4">
        <v>10</v>
      </c>
      <c r="AH268" s="4">
        <v>2</v>
      </c>
      <c r="AI268" s="4">
        <v>2</v>
      </c>
      <c r="AJ268" s="4">
        <v>8</v>
      </c>
      <c r="AK268" s="4">
        <v>8</v>
      </c>
      <c r="AL268" s="4">
        <v>5</v>
      </c>
      <c r="AM268" s="4">
        <v>5</v>
      </c>
      <c r="AN268" s="4">
        <v>0</v>
      </c>
      <c r="AO268" s="4">
        <v>0</v>
      </c>
      <c r="AP268" s="3" t="s">
        <v>58</v>
      </c>
      <c r="AQ268" s="3" t="s">
        <v>86</v>
      </c>
      <c r="AR268" s="6" t="str">
        <f>HYPERLINK("http://catalog.hathitrust.org/Record/000086919","HathiTrust Record")</f>
        <v>HathiTrust Record</v>
      </c>
      <c r="AS268" s="6" t="str">
        <f>HYPERLINK("https://creighton-primo.hosted.exlibrisgroup.com/primo-explore/search?tab=default_tab&amp;search_scope=EVERYTHING&amp;vid=01CRU&amp;lang=en_US&amp;offset=0&amp;query=any,contains,991005103049702656","Catalog Record")</f>
        <v>Catalog Record</v>
      </c>
      <c r="AT268" s="6" t="str">
        <f>HYPERLINK("http://www.worldcat.org/oclc/7307212","WorldCat Record")</f>
        <v>WorldCat Record</v>
      </c>
      <c r="AU268" s="3" t="s">
        <v>3588</v>
      </c>
      <c r="AV268" s="3" t="s">
        <v>3589</v>
      </c>
      <c r="AW268" s="3" t="s">
        <v>3590</v>
      </c>
      <c r="AX268" s="3" t="s">
        <v>3590</v>
      </c>
      <c r="AY268" s="3" t="s">
        <v>3591</v>
      </c>
      <c r="AZ268" s="3" t="s">
        <v>74</v>
      </c>
      <c r="BB268" s="3" t="s">
        <v>3592</v>
      </c>
      <c r="BC268" s="3" t="s">
        <v>3593</v>
      </c>
      <c r="BD268" s="3" t="s">
        <v>3594</v>
      </c>
    </row>
    <row r="269" spans="1:56" ht="42.75" customHeight="1" x14ac:dyDescent="0.25">
      <c r="A269" s="7" t="s">
        <v>58</v>
      </c>
      <c r="B269" s="2" t="s">
        <v>3595</v>
      </c>
      <c r="C269" s="2" t="s">
        <v>3596</v>
      </c>
      <c r="D269" s="2" t="s">
        <v>3597</v>
      </c>
      <c r="F269" s="3" t="s">
        <v>58</v>
      </c>
      <c r="G269" s="3" t="s">
        <v>59</v>
      </c>
      <c r="H269" s="3" t="s">
        <v>58</v>
      </c>
      <c r="I269" s="3" t="s">
        <v>58</v>
      </c>
      <c r="J269" s="3" t="s">
        <v>60</v>
      </c>
      <c r="K269" s="2" t="s">
        <v>3598</v>
      </c>
      <c r="L269" s="2" t="s">
        <v>3599</v>
      </c>
      <c r="M269" s="3" t="s">
        <v>223</v>
      </c>
      <c r="O269" s="3" t="s">
        <v>64</v>
      </c>
      <c r="P269" s="3" t="s">
        <v>359</v>
      </c>
      <c r="R269" s="3" t="s">
        <v>67</v>
      </c>
      <c r="S269" s="4">
        <v>3</v>
      </c>
      <c r="T269" s="4">
        <v>3</v>
      </c>
      <c r="U269" s="5" t="s">
        <v>3600</v>
      </c>
      <c r="V269" s="5" t="s">
        <v>3600</v>
      </c>
      <c r="W269" s="5" t="s">
        <v>3528</v>
      </c>
      <c r="X269" s="5" t="s">
        <v>3528</v>
      </c>
      <c r="Y269" s="4">
        <v>475</v>
      </c>
      <c r="Z269" s="4">
        <v>382</v>
      </c>
      <c r="AA269" s="4">
        <v>390</v>
      </c>
      <c r="AB269" s="4">
        <v>3</v>
      </c>
      <c r="AC269" s="4">
        <v>3</v>
      </c>
      <c r="AD269" s="4">
        <v>10</v>
      </c>
      <c r="AE269" s="4">
        <v>10</v>
      </c>
      <c r="AF269" s="4">
        <v>4</v>
      </c>
      <c r="AG269" s="4">
        <v>4</v>
      </c>
      <c r="AH269" s="4">
        <v>2</v>
      </c>
      <c r="AI269" s="4">
        <v>2</v>
      </c>
      <c r="AJ269" s="4">
        <v>5</v>
      </c>
      <c r="AK269" s="4">
        <v>5</v>
      </c>
      <c r="AL269" s="4">
        <v>2</v>
      </c>
      <c r="AM269" s="4">
        <v>2</v>
      </c>
      <c r="AN269" s="4">
        <v>0</v>
      </c>
      <c r="AO269" s="4">
        <v>0</v>
      </c>
      <c r="AP269" s="3" t="s">
        <v>58</v>
      </c>
      <c r="AQ269" s="3" t="s">
        <v>86</v>
      </c>
      <c r="AR269" s="6" t="str">
        <f>HYPERLINK("http://catalog.hathitrust.org/Record/000131439","HathiTrust Record")</f>
        <v>HathiTrust Record</v>
      </c>
      <c r="AS269" s="6" t="str">
        <f>HYPERLINK("https://creighton-primo.hosted.exlibrisgroup.com/primo-explore/search?tab=default_tab&amp;search_scope=EVERYTHING&amp;vid=01CRU&amp;lang=en_US&amp;offset=0&amp;query=any,contains,991004498719702656","Catalog Record")</f>
        <v>Catalog Record</v>
      </c>
      <c r="AT269" s="6" t="str">
        <f>HYPERLINK("http://www.worldcat.org/oclc/3707901","WorldCat Record")</f>
        <v>WorldCat Record</v>
      </c>
      <c r="AU269" s="3" t="s">
        <v>3601</v>
      </c>
      <c r="AV269" s="3" t="s">
        <v>3602</v>
      </c>
      <c r="AW269" s="3" t="s">
        <v>3603</v>
      </c>
      <c r="AX269" s="3" t="s">
        <v>3603</v>
      </c>
      <c r="AY269" s="3" t="s">
        <v>3604</v>
      </c>
      <c r="AZ269" s="3" t="s">
        <v>74</v>
      </c>
      <c r="BB269" s="3" t="s">
        <v>3605</v>
      </c>
      <c r="BC269" s="3" t="s">
        <v>3606</v>
      </c>
      <c r="BD269" s="3" t="s">
        <v>3607</v>
      </c>
    </row>
    <row r="270" spans="1:56" ht="42.75" customHeight="1" x14ac:dyDescent="0.25">
      <c r="A270" s="7" t="s">
        <v>58</v>
      </c>
      <c r="B270" s="2" t="s">
        <v>3608</v>
      </c>
      <c r="C270" s="2" t="s">
        <v>3609</v>
      </c>
      <c r="D270" s="2" t="s">
        <v>3610</v>
      </c>
      <c r="F270" s="3" t="s">
        <v>58</v>
      </c>
      <c r="G270" s="3" t="s">
        <v>59</v>
      </c>
      <c r="H270" s="3" t="s">
        <v>58</v>
      </c>
      <c r="I270" s="3" t="s">
        <v>58</v>
      </c>
      <c r="J270" s="3" t="s">
        <v>60</v>
      </c>
      <c r="K270" s="2" t="s">
        <v>3256</v>
      </c>
      <c r="L270" s="2" t="s">
        <v>3611</v>
      </c>
      <c r="M270" s="3" t="s">
        <v>765</v>
      </c>
      <c r="O270" s="3" t="s">
        <v>64</v>
      </c>
      <c r="P270" s="3" t="s">
        <v>115</v>
      </c>
      <c r="R270" s="3" t="s">
        <v>67</v>
      </c>
      <c r="S270" s="4">
        <v>3</v>
      </c>
      <c r="T270" s="4">
        <v>3</v>
      </c>
      <c r="U270" s="5" t="s">
        <v>3612</v>
      </c>
      <c r="V270" s="5" t="s">
        <v>3612</v>
      </c>
      <c r="W270" s="5" t="s">
        <v>3613</v>
      </c>
      <c r="X270" s="5" t="s">
        <v>3613</v>
      </c>
      <c r="Y270" s="4">
        <v>825</v>
      </c>
      <c r="Z270" s="4">
        <v>735</v>
      </c>
      <c r="AA270" s="4">
        <v>740</v>
      </c>
      <c r="AB270" s="4">
        <v>3</v>
      </c>
      <c r="AC270" s="4">
        <v>3</v>
      </c>
      <c r="AD270" s="4">
        <v>29</v>
      </c>
      <c r="AE270" s="4">
        <v>29</v>
      </c>
      <c r="AF270" s="4">
        <v>11</v>
      </c>
      <c r="AG270" s="4">
        <v>11</v>
      </c>
      <c r="AH270" s="4">
        <v>6</v>
      </c>
      <c r="AI270" s="4">
        <v>6</v>
      </c>
      <c r="AJ270" s="4">
        <v>14</v>
      </c>
      <c r="AK270" s="4">
        <v>14</v>
      </c>
      <c r="AL270" s="4">
        <v>2</v>
      </c>
      <c r="AM270" s="4">
        <v>2</v>
      </c>
      <c r="AN270" s="4">
        <v>1</v>
      </c>
      <c r="AO270" s="4">
        <v>1</v>
      </c>
      <c r="AP270" s="3" t="s">
        <v>58</v>
      </c>
      <c r="AQ270" s="3" t="s">
        <v>58</v>
      </c>
      <c r="AS270" s="6" t="str">
        <f>HYPERLINK("https://creighton-primo.hosted.exlibrisgroup.com/primo-explore/search?tab=default_tab&amp;search_scope=EVERYTHING&amp;vid=01CRU&amp;lang=en_US&amp;offset=0&amp;query=any,contains,991002405759702656","Catalog Record")</f>
        <v>Catalog Record</v>
      </c>
      <c r="AT270" s="6" t="str">
        <f>HYPERLINK("http://www.worldcat.org/oclc/31291134","WorldCat Record")</f>
        <v>WorldCat Record</v>
      </c>
      <c r="AU270" s="3" t="s">
        <v>3614</v>
      </c>
      <c r="AV270" s="3" t="s">
        <v>3615</v>
      </c>
      <c r="AW270" s="3" t="s">
        <v>3616</v>
      </c>
      <c r="AX270" s="3" t="s">
        <v>3616</v>
      </c>
      <c r="AY270" s="3" t="s">
        <v>3617</v>
      </c>
      <c r="AZ270" s="3" t="s">
        <v>74</v>
      </c>
      <c r="BB270" s="3" t="s">
        <v>3618</v>
      </c>
      <c r="BC270" s="3" t="s">
        <v>3619</v>
      </c>
      <c r="BD270" s="3" t="s">
        <v>3620</v>
      </c>
    </row>
    <row r="271" spans="1:56" ht="42.75" customHeight="1" x14ac:dyDescent="0.25">
      <c r="A271" s="7" t="s">
        <v>58</v>
      </c>
      <c r="B271" s="2" t="s">
        <v>3621</v>
      </c>
      <c r="C271" s="2" t="s">
        <v>3622</v>
      </c>
      <c r="D271" s="2" t="s">
        <v>3623</v>
      </c>
      <c r="F271" s="3" t="s">
        <v>58</v>
      </c>
      <c r="G271" s="3" t="s">
        <v>59</v>
      </c>
      <c r="H271" s="3" t="s">
        <v>58</v>
      </c>
      <c r="I271" s="3" t="s">
        <v>58</v>
      </c>
      <c r="J271" s="3" t="s">
        <v>60</v>
      </c>
      <c r="K271" s="2" t="s">
        <v>3624</v>
      </c>
      <c r="L271" s="2" t="s">
        <v>3625</v>
      </c>
      <c r="M271" s="3" t="s">
        <v>534</v>
      </c>
      <c r="N271" s="2" t="s">
        <v>1736</v>
      </c>
      <c r="O271" s="3" t="s">
        <v>64</v>
      </c>
      <c r="P271" s="3" t="s">
        <v>115</v>
      </c>
      <c r="R271" s="3" t="s">
        <v>67</v>
      </c>
      <c r="S271" s="4">
        <v>3</v>
      </c>
      <c r="T271" s="4">
        <v>3</v>
      </c>
      <c r="U271" s="5" t="s">
        <v>3626</v>
      </c>
      <c r="V271" s="5" t="s">
        <v>3626</v>
      </c>
      <c r="W271" s="5" t="s">
        <v>3627</v>
      </c>
      <c r="X271" s="5" t="s">
        <v>3627</v>
      </c>
      <c r="Y271" s="4">
        <v>330</v>
      </c>
      <c r="Z271" s="4">
        <v>313</v>
      </c>
      <c r="AA271" s="4">
        <v>342</v>
      </c>
      <c r="AB271" s="4">
        <v>1</v>
      </c>
      <c r="AC271" s="4">
        <v>1</v>
      </c>
      <c r="AD271" s="4">
        <v>7</v>
      </c>
      <c r="AE271" s="4">
        <v>7</v>
      </c>
      <c r="AF271" s="4">
        <v>3</v>
      </c>
      <c r="AG271" s="4">
        <v>3</v>
      </c>
      <c r="AH271" s="4">
        <v>1</v>
      </c>
      <c r="AI271" s="4">
        <v>1</v>
      </c>
      <c r="AJ271" s="4">
        <v>4</v>
      </c>
      <c r="AK271" s="4">
        <v>4</v>
      </c>
      <c r="AL271" s="4">
        <v>0</v>
      </c>
      <c r="AM271" s="4">
        <v>0</v>
      </c>
      <c r="AN271" s="4">
        <v>0</v>
      </c>
      <c r="AO271" s="4">
        <v>0</v>
      </c>
      <c r="AP271" s="3" t="s">
        <v>58</v>
      </c>
      <c r="AQ271" s="3" t="s">
        <v>58</v>
      </c>
      <c r="AS271" s="6" t="str">
        <f>HYPERLINK("https://creighton-primo.hosted.exlibrisgroup.com/primo-explore/search?tab=default_tab&amp;search_scope=EVERYTHING&amp;vid=01CRU&amp;lang=en_US&amp;offset=0&amp;query=any,contains,991001600579702656","Catalog Record")</f>
        <v>Catalog Record</v>
      </c>
      <c r="AT271" s="6" t="str">
        <f>HYPERLINK("http://www.worldcat.org/oclc/20670310","WorldCat Record")</f>
        <v>WorldCat Record</v>
      </c>
      <c r="AU271" s="3" t="s">
        <v>3628</v>
      </c>
      <c r="AV271" s="3" t="s">
        <v>3629</v>
      </c>
      <c r="AW271" s="3" t="s">
        <v>3630</v>
      </c>
      <c r="AX271" s="3" t="s">
        <v>3630</v>
      </c>
      <c r="AY271" s="3" t="s">
        <v>3631</v>
      </c>
      <c r="AZ271" s="3" t="s">
        <v>74</v>
      </c>
      <c r="BB271" s="3" t="s">
        <v>3632</v>
      </c>
      <c r="BC271" s="3" t="s">
        <v>3633</v>
      </c>
      <c r="BD271" s="3" t="s">
        <v>3634</v>
      </c>
    </row>
    <row r="272" spans="1:56" ht="42.75" customHeight="1" x14ac:dyDescent="0.25">
      <c r="A272" s="7" t="s">
        <v>58</v>
      </c>
      <c r="B272" s="2" t="s">
        <v>3635</v>
      </c>
      <c r="C272" s="2" t="s">
        <v>3636</v>
      </c>
      <c r="D272" s="2" t="s">
        <v>3637</v>
      </c>
      <c r="F272" s="3" t="s">
        <v>58</v>
      </c>
      <c r="G272" s="3" t="s">
        <v>59</v>
      </c>
      <c r="H272" s="3" t="s">
        <v>58</v>
      </c>
      <c r="I272" s="3" t="s">
        <v>58</v>
      </c>
      <c r="J272" s="3" t="s">
        <v>60</v>
      </c>
      <c r="K272" s="2" t="s">
        <v>3638</v>
      </c>
      <c r="L272" s="2" t="s">
        <v>3639</v>
      </c>
      <c r="M272" s="3" t="s">
        <v>805</v>
      </c>
      <c r="O272" s="3" t="s">
        <v>64</v>
      </c>
      <c r="P272" s="3" t="s">
        <v>65</v>
      </c>
      <c r="R272" s="3" t="s">
        <v>67</v>
      </c>
      <c r="S272" s="4">
        <v>2</v>
      </c>
      <c r="T272" s="4">
        <v>2</v>
      </c>
      <c r="U272" s="5" t="s">
        <v>3640</v>
      </c>
      <c r="V272" s="5" t="s">
        <v>3640</v>
      </c>
      <c r="W272" s="5" t="s">
        <v>3641</v>
      </c>
      <c r="X272" s="5" t="s">
        <v>3641</v>
      </c>
      <c r="Y272" s="4">
        <v>72</v>
      </c>
      <c r="Z272" s="4">
        <v>40</v>
      </c>
      <c r="AA272" s="4">
        <v>41</v>
      </c>
      <c r="AB272" s="4">
        <v>1</v>
      </c>
      <c r="AC272" s="4">
        <v>1</v>
      </c>
      <c r="AD272" s="4">
        <v>1</v>
      </c>
      <c r="AE272" s="4">
        <v>1</v>
      </c>
      <c r="AF272" s="4">
        <v>0</v>
      </c>
      <c r="AG272" s="4">
        <v>0</v>
      </c>
      <c r="AH272" s="4">
        <v>1</v>
      </c>
      <c r="AI272" s="4">
        <v>1</v>
      </c>
      <c r="AJ272" s="4">
        <v>0</v>
      </c>
      <c r="AK272" s="4">
        <v>0</v>
      </c>
      <c r="AL272" s="4">
        <v>0</v>
      </c>
      <c r="AM272" s="4">
        <v>0</v>
      </c>
      <c r="AN272" s="4">
        <v>0</v>
      </c>
      <c r="AO272" s="4">
        <v>0</v>
      </c>
      <c r="AP272" s="3" t="s">
        <v>58</v>
      </c>
      <c r="AQ272" s="3" t="s">
        <v>86</v>
      </c>
      <c r="AR272" s="6" t="str">
        <f>HYPERLINK("http://catalog.hathitrust.org/Record/003083562","HathiTrust Record")</f>
        <v>HathiTrust Record</v>
      </c>
      <c r="AS272" s="6" t="str">
        <f>HYPERLINK("https://creighton-primo.hosted.exlibrisgroup.com/primo-explore/search?tab=default_tab&amp;search_scope=EVERYTHING&amp;vid=01CRU&amp;lang=en_US&amp;offset=0&amp;query=any,contains,991002669789702656","Catalog Record")</f>
        <v>Catalog Record</v>
      </c>
      <c r="AT272" s="6" t="str">
        <f>HYPERLINK("http://www.worldcat.org/oclc/34918003","WorldCat Record")</f>
        <v>WorldCat Record</v>
      </c>
      <c r="AU272" s="3" t="s">
        <v>3642</v>
      </c>
      <c r="AV272" s="3" t="s">
        <v>3643</v>
      </c>
      <c r="AW272" s="3" t="s">
        <v>3644</v>
      </c>
      <c r="AX272" s="3" t="s">
        <v>3644</v>
      </c>
      <c r="AY272" s="3" t="s">
        <v>3645</v>
      </c>
      <c r="AZ272" s="3" t="s">
        <v>74</v>
      </c>
      <c r="BB272" s="3" t="s">
        <v>3646</v>
      </c>
      <c r="BC272" s="3" t="s">
        <v>3647</v>
      </c>
      <c r="BD272" s="3" t="s">
        <v>3648</v>
      </c>
    </row>
    <row r="273" spans="1:56" ht="42.75" customHeight="1" x14ac:dyDescent="0.25">
      <c r="A273" s="7" t="s">
        <v>58</v>
      </c>
      <c r="B273" s="2" t="s">
        <v>3649</v>
      </c>
      <c r="C273" s="2" t="s">
        <v>3650</v>
      </c>
      <c r="D273" s="2" t="s">
        <v>3651</v>
      </c>
      <c r="F273" s="3" t="s">
        <v>58</v>
      </c>
      <c r="G273" s="3" t="s">
        <v>59</v>
      </c>
      <c r="H273" s="3" t="s">
        <v>58</v>
      </c>
      <c r="I273" s="3" t="s">
        <v>58</v>
      </c>
      <c r="J273" s="3" t="s">
        <v>60</v>
      </c>
      <c r="L273" s="2" t="s">
        <v>3652</v>
      </c>
      <c r="M273" s="3" t="s">
        <v>207</v>
      </c>
      <c r="O273" s="3" t="s">
        <v>64</v>
      </c>
      <c r="P273" s="3" t="s">
        <v>115</v>
      </c>
      <c r="Q273" s="2" t="s">
        <v>3653</v>
      </c>
      <c r="R273" s="3" t="s">
        <v>67</v>
      </c>
      <c r="S273" s="4">
        <v>11</v>
      </c>
      <c r="T273" s="4">
        <v>11</v>
      </c>
      <c r="U273" s="5" t="s">
        <v>3640</v>
      </c>
      <c r="V273" s="5" t="s">
        <v>3640</v>
      </c>
      <c r="W273" s="5" t="s">
        <v>3457</v>
      </c>
      <c r="X273" s="5" t="s">
        <v>3457</v>
      </c>
      <c r="Y273" s="4">
        <v>165</v>
      </c>
      <c r="Z273" s="4">
        <v>124</v>
      </c>
      <c r="AA273" s="4">
        <v>126</v>
      </c>
      <c r="AB273" s="4">
        <v>2</v>
      </c>
      <c r="AC273" s="4">
        <v>2</v>
      </c>
      <c r="AD273" s="4">
        <v>3</v>
      </c>
      <c r="AE273" s="4">
        <v>3</v>
      </c>
      <c r="AF273" s="4">
        <v>1</v>
      </c>
      <c r="AG273" s="4">
        <v>1</v>
      </c>
      <c r="AH273" s="4">
        <v>1</v>
      </c>
      <c r="AI273" s="4">
        <v>1</v>
      </c>
      <c r="AJ273" s="4">
        <v>1</v>
      </c>
      <c r="AK273" s="4">
        <v>1</v>
      </c>
      <c r="AL273" s="4">
        <v>1</v>
      </c>
      <c r="AM273" s="4">
        <v>1</v>
      </c>
      <c r="AN273" s="4">
        <v>0</v>
      </c>
      <c r="AO273" s="4">
        <v>0</v>
      </c>
      <c r="AP273" s="3" t="s">
        <v>58</v>
      </c>
      <c r="AQ273" s="3" t="s">
        <v>86</v>
      </c>
      <c r="AR273" s="6" t="str">
        <f>HYPERLINK("http://catalog.hathitrust.org/Record/000785088","HathiTrust Record")</f>
        <v>HathiTrust Record</v>
      </c>
      <c r="AS273" s="6" t="str">
        <f>HYPERLINK("https://creighton-primo.hosted.exlibrisgroup.com/primo-explore/search?tab=default_tab&amp;search_scope=EVERYTHING&amp;vid=01CRU&amp;lang=en_US&amp;offset=0&amp;query=any,contains,991005081029702656","Catalog Record")</f>
        <v>Catalog Record</v>
      </c>
      <c r="AT273" s="6" t="str">
        <f>HYPERLINK("http://www.worldcat.org/oclc/7172003","WorldCat Record")</f>
        <v>WorldCat Record</v>
      </c>
      <c r="AU273" s="3" t="s">
        <v>3654</v>
      </c>
      <c r="AV273" s="3" t="s">
        <v>3655</v>
      </c>
      <c r="AW273" s="3" t="s">
        <v>3656</v>
      </c>
      <c r="AX273" s="3" t="s">
        <v>3656</v>
      </c>
      <c r="AY273" s="3" t="s">
        <v>3657</v>
      </c>
      <c r="AZ273" s="3" t="s">
        <v>74</v>
      </c>
      <c r="BB273" s="3" t="s">
        <v>3658</v>
      </c>
      <c r="BC273" s="3" t="s">
        <v>3659</v>
      </c>
      <c r="BD273" s="3" t="s">
        <v>3660</v>
      </c>
    </row>
    <row r="274" spans="1:56" ht="42.75" customHeight="1" x14ac:dyDescent="0.25">
      <c r="A274" s="7" t="s">
        <v>58</v>
      </c>
      <c r="B274" s="2" t="s">
        <v>3661</v>
      </c>
      <c r="C274" s="2" t="s">
        <v>3662</v>
      </c>
      <c r="D274" s="2" t="s">
        <v>3663</v>
      </c>
      <c r="F274" s="3" t="s">
        <v>58</v>
      </c>
      <c r="G274" s="3" t="s">
        <v>59</v>
      </c>
      <c r="H274" s="3" t="s">
        <v>58</v>
      </c>
      <c r="I274" s="3" t="s">
        <v>58</v>
      </c>
      <c r="J274" s="3" t="s">
        <v>60</v>
      </c>
      <c r="K274" s="2" t="s">
        <v>3664</v>
      </c>
      <c r="L274" s="2" t="s">
        <v>3665</v>
      </c>
      <c r="M274" s="3" t="s">
        <v>996</v>
      </c>
      <c r="O274" s="3" t="s">
        <v>64</v>
      </c>
      <c r="P274" s="3" t="s">
        <v>3666</v>
      </c>
      <c r="R274" s="3" t="s">
        <v>67</v>
      </c>
      <c r="S274" s="4">
        <v>2</v>
      </c>
      <c r="T274" s="4">
        <v>2</v>
      </c>
      <c r="U274" s="5" t="s">
        <v>3667</v>
      </c>
      <c r="V274" s="5" t="s">
        <v>3667</v>
      </c>
      <c r="W274" s="5" t="s">
        <v>3668</v>
      </c>
      <c r="X274" s="5" t="s">
        <v>3668</v>
      </c>
      <c r="Y274" s="4">
        <v>48</v>
      </c>
      <c r="Z274" s="4">
        <v>44</v>
      </c>
      <c r="AA274" s="4">
        <v>46</v>
      </c>
      <c r="AB274" s="4">
        <v>2</v>
      </c>
      <c r="AC274" s="4">
        <v>2</v>
      </c>
      <c r="AD274" s="4">
        <v>3</v>
      </c>
      <c r="AE274" s="4">
        <v>3</v>
      </c>
      <c r="AF274" s="4">
        <v>0</v>
      </c>
      <c r="AG274" s="4">
        <v>0</v>
      </c>
      <c r="AH274" s="4">
        <v>1</v>
      </c>
      <c r="AI274" s="4">
        <v>1</v>
      </c>
      <c r="AJ274" s="4">
        <v>2</v>
      </c>
      <c r="AK274" s="4">
        <v>2</v>
      </c>
      <c r="AL274" s="4">
        <v>1</v>
      </c>
      <c r="AM274" s="4">
        <v>1</v>
      </c>
      <c r="AN274" s="4">
        <v>0</v>
      </c>
      <c r="AO274" s="4">
        <v>0</v>
      </c>
      <c r="AP274" s="3" t="s">
        <v>58</v>
      </c>
      <c r="AQ274" s="3" t="s">
        <v>86</v>
      </c>
      <c r="AR274" s="6" t="str">
        <f>HYPERLINK("http://catalog.hathitrust.org/Record/004286799","HathiTrust Record")</f>
        <v>HathiTrust Record</v>
      </c>
      <c r="AS274" s="6" t="str">
        <f>HYPERLINK("https://creighton-primo.hosted.exlibrisgroup.com/primo-explore/search?tab=default_tab&amp;search_scope=EVERYTHING&amp;vid=01CRU&amp;lang=en_US&amp;offset=0&amp;query=any,contains,991003856569702656","Catalog Record")</f>
        <v>Catalog Record</v>
      </c>
      <c r="AT274" s="6" t="str">
        <f>HYPERLINK("http://www.worldcat.org/oclc/45964938","WorldCat Record")</f>
        <v>WorldCat Record</v>
      </c>
      <c r="AU274" s="3" t="s">
        <v>3669</v>
      </c>
      <c r="AV274" s="3" t="s">
        <v>3670</v>
      </c>
      <c r="AW274" s="3" t="s">
        <v>3671</v>
      </c>
      <c r="AX274" s="3" t="s">
        <v>3671</v>
      </c>
      <c r="AY274" s="3" t="s">
        <v>3672</v>
      </c>
      <c r="AZ274" s="3" t="s">
        <v>74</v>
      </c>
      <c r="BB274" s="3" t="s">
        <v>3673</v>
      </c>
      <c r="BC274" s="3" t="s">
        <v>3674</v>
      </c>
      <c r="BD274" s="3" t="s">
        <v>3675</v>
      </c>
    </row>
    <row r="275" spans="1:56" ht="42.75" customHeight="1" x14ac:dyDescent="0.25">
      <c r="A275" s="7" t="s">
        <v>58</v>
      </c>
      <c r="B275" s="2" t="s">
        <v>3676</v>
      </c>
      <c r="C275" s="2" t="s">
        <v>3677</v>
      </c>
      <c r="D275" s="2" t="s">
        <v>3678</v>
      </c>
      <c r="F275" s="3" t="s">
        <v>58</v>
      </c>
      <c r="G275" s="3" t="s">
        <v>59</v>
      </c>
      <c r="H275" s="3" t="s">
        <v>58</v>
      </c>
      <c r="I275" s="3" t="s">
        <v>58</v>
      </c>
      <c r="J275" s="3" t="s">
        <v>60</v>
      </c>
      <c r="K275" s="2" t="s">
        <v>3679</v>
      </c>
      <c r="L275" s="2" t="s">
        <v>3680</v>
      </c>
      <c r="M275" s="3" t="s">
        <v>942</v>
      </c>
      <c r="O275" s="3" t="s">
        <v>64</v>
      </c>
      <c r="P275" s="3" t="s">
        <v>208</v>
      </c>
      <c r="R275" s="3" t="s">
        <v>67</v>
      </c>
      <c r="S275" s="4">
        <v>2</v>
      </c>
      <c r="T275" s="4">
        <v>2</v>
      </c>
      <c r="U275" s="5" t="s">
        <v>3667</v>
      </c>
      <c r="V275" s="5" t="s">
        <v>3667</v>
      </c>
      <c r="W275" s="5" t="s">
        <v>3681</v>
      </c>
      <c r="X275" s="5" t="s">
        <v>3681</v>
      </c>
      <c r="Y275" s="4">
        <v>624</v>
      </c>
      <c r="Z275" s="4">
        <v>569</v>
      </c>
      <c r="AA275" s="4">
        <v>1411</v>
      </c>
      <c r="AB275" s="4">
        <v>3</v>
      </c>
      <c r="AC275" s="4">
        <v>19</v>
      </c>
      <c r="AD275" s="4">
        <v>22</v>
      </c>
      <c r="AE275" s="4">
        <v>41</v>
      </c>
      <c r="AF275" s="4">
        <v>7</v>
      </c>
      <c r="AG275" s="4">
        <v>14</v>
      </c>
      <c r="AH275" s="4">
        <v>6</v>
      </c>
      <c r="AI275" s="4">
        <v>8</v>
      </c>
      <c r="AJ275" s="4">
        <v>13</v>
      </c>
      <c r="AK275" s="4">
        <v>16</v>
      </c>
      <c r="AL275" s="4">
        <v>2</v>
      </c>
      <c r="AM275" s="4">
        <v>11</v>
      </c>
      <c r="AN275" s="4">
        <v>0</v>
      </c>
      <c r="AO275" s="4">
        <v>0</v>
      </c>
      <c r="AP275" s="3" t="s">
        <v>58</v>
      </c>
      <c r="AQ275" s="3" t="s">
        <v>58</v>
      </c>
      <c r="AS275" s="6" t="str">
        <f>HYPERLINK("https://creighton-primo.hosted.exlibrisgroup.com/primo-explore/search?tab=default_tab&amp;search_scope=EVERYTHING&amp;vid=01CRU&amp;lang=en_US&amp;offset=0&amp;query=any,contains,991003207029702656","Catalog Record")</f>
        <v>Catalog Record</v>
      </c>
      <c r="AT275" s="6" t="str">
        <f>HYPERLINK("http://www.worldcat.org/oclc/41278406","WorldCat Record")</f>
        <v>WorldCat Record</v>
      </c>
      <c r="AU275" s="3" t="s">
        <v>3682</v>
      </c>
      <c r="AV275" s="3" t="s">
        <v>3683</v>
      </c>
      <c r="AW275" s="3" t="s">
        <v>3684</v>
      </c>
      <c r="AX275" s="3" t="s">
        <v>3684</v>
      </c>
      <c r="AY275" s="3" t="s">
        <v>3685</v>
      </c>
      <c r="AZ275" s="3" t="s">
        <v>74</v>
      </c>
      <c r="BB275" s="3" t="s">
        <v>3686</v>
      </c>
      <c r="BC275" s="3" t="s">
        <v>3687</v>
      </c>
      <c r="BD275" s="3" t="s">
        <v>3688</v>
      </c>
    </row>
    <row r="276" spans="1:56" ht="42.75" customHeight="1" x14ac:dyDescent="0.25">
      <c r="A276" s="7" t="s">
        <v>58</v>
      </c>
      <c r="B276" s="2" t="s">
        <v>3689</v>
      </c>
      <c r="C276" s="2" t="s">
        <v>3690</v>
      </c>
      <c r="D276" s="2" t="s">
        <v>3691</v>
      </c>
      <c r="F276" s="3" t="s">
        <v>58</v>
      </c>
      <c r="G276" s="3" t="s">
        <v>59</v>
      </c>
      <c r="H276" s="3" t="s">
        <v>58</v>
      </c>
      <c r="I276" s="3" t="s">
        <v>58</v>
      </c>
      <c r="J276" s="3" t="s">
        <v>60</v>
      </c>
      <c r="K276" s="2" t="s">
        <v>3692</v>
      </c>
      <c r="L276" s="2" t="s">
        <v>3693</v>
      </c>
      <c r="M276" s="3" t="s">
        <v>1506</v>
      </c>
      <c r="O276" s="3" t="s">
        <v>64</v>
      </c>
      <c r="P276" s="3" t="s">
        <v>115</v>
      </c>
      <c r="R276" s="3" t="s">
        <v>67</v>
      </c>
      <c r="S276" s="4">
        <v>1</v>
      </c>
      <c r="T276" s="4">
        <v>1</v>
      </c>
      <c r="U276" s="5" t="s">
        <v>3694</v>
      </c>
      <c r="V276" s="5" t="s">
        <v>3694</v>
      </c>
      <c r="W276" s="5" t="s">
        <v>3694</v>
      </c>
      <c r="X276" s="5" t="s">
        <v>3694</v>
      </c>
      <c r="Y276" s="4">
        <v>423</v>
      </c>
      <c r="Z276" s="4">
        <v>384</v>
      </c>
      <c r="AA276" s="4">
        <v>407</v>
      </c>
      <c r="AB276" s="4">
        <v>2</v>
      </c>
      <c r="AC276" s="4">
        <v>2</v>
      </c>
      <c r="AD276" s="4">
        <v>0</v>
      </c>
      <c r="AE276" s="4">
        <v>0</v>
      </c>
      <c r="AF276" s="4">
        <v>0</v>
      </c>
      <c r="AG276" s="4">
        <v>0</v>
      </c>
      <c r="AH276" s="4">
        <v>0</v>
      </c>
      <c r="AI276" s="4">
        <v>0</v>
      </c>
      <c r="AJ276" s="4">
        <v>0</v>
      </c>
      <c r="AK276" s="4">
        <v>0</v>
      </c>
      <c r="AL276" s="4">
        <v>0</v>
      </c>
      <c r="AM276" s="4">
        <v>0</v>
      </c>
      <c r="AN276" s="4">
        <v>0</v>
      </c>
      <c r="AO276" s="4">
        <v>0</v>
      </c>
      <c r="AP276" s="3" t="s">
        <v>58</v>
      </c>
      <c r="AQ276" s="3" t="s">
        <v>58</v>
      </c>
      <c r="AS276" s="6" t="str">
        <f>HYPERLINK("https://creighton-primo.hosted.exlibrisgroup.com/primo-explore/search?tab=default_tab&amp;search_scope=EVERYTHING&amp;vid=01CRU&amp;lang=en_US&amp;offset=0&amp;query=any,contains,991000169339702656","Catalog Record")</f>
        <v>Catalog Record</v>
      </c>
      <c r="AT276" s="6" t="str">
        <f>HYPERLINK("http://www.worldcat.org/oclc/526057547","WorldCat Record")</f>
        <v>WorldCat Record</v>
      </c>
      <c r="AU276" s="3" t="s">
        <v>3695</v>
      </c>
      <c r="AV276" s="3" t="s">
        <v>3696</v>
      </c>
      <c r="AW276" s="3" t="s">
        <v>3697</v>
      </c>
      <c r="AX276" s="3" t="s">
        <v>3697</v>
      </c>
      <c r="AY276" s="3" t="s">
        <v>3698</v>
      </c>
      <c r="AZ276" s="3" t="s">
        <v>74</v>
      </c>
      <c r="BB276" s="3" t="s">
        <v>3699</v>
      </c>
      <c r="BC276" s="3" t="s">
        <v>3700</v>
      </c>
      <c r="BD276" s="3" t="s">
        <v>3701</v>
      </c>
    </row>
    <row r="277" spans="1:56" ht="42.75" customHeight="1" x14ac:dyDescent="0.25">
      <c r="A277" s="7" t="s">
        <v>58</v>
      </c>
      <c r="B277" s="2" t="s">
        <v>3702</v>
      </c>
      <c r="C277" s="2" t="s">
        <v>3703</v>
      </c>
      <c r="D277" s="2" t="s">
        <v>3704</v>
      </c>
      <c r="F277" s="3" t="s">
        <v>58</v>
      </c>
      <c r="G277" s="3" t="s">
        <v>59</v>
      </c>
      <c r="H277" s="3" t="s">
        <v>58</v>
      </c>
      <c r="I277" s="3" t="s">
        <v>58</v>
      </c>
      <c r="J277" s="3" t="s">
        <v>60</v>
      </c>
      <c r="K277" s="2" t="s">
        <v>3705</v>
      </c>
      <c r="L277" s="2" t="s">
        <v>3706</v>
      </c>
      <c r="M277" s="3" t="s">
        <v>144</v>
      </c>
      <c r="O277" s="3" t="s">
        <v>64</v>
      </c>
      <c r="P277" s="3" t="s">
        <v>115</v>
      </c>
      <c r="R277" s="3" t="s">
        <v>67</v>
      </c>
      <c r="S277" s="4">
        <v>16</v>
      </c>
      <c r="T277" s="4">
        <v>16</v>
      </c>
      <c r="U277" s="5" t="s">
        <v>3707</v>
      </c>
      <c r="V277" s="5" t="s">
        <v>3707</v>
      </c>
      <c r="W277" s="5" t="s">
        <v>3708</v>
      </c>
      <c r="X277" s="5" t="s">
        <v>3708</v>
      </c>
      <c r="Y277" s="4">
        <v>837</v>
      </c>
      <c r="Z277" s="4">
        <v>802</v>
      </c>
      <c r="AA277" s="4">
        <v>871</v>
      </c>
      <c r="AB277" s="4">
        <v>4</v>
      </c>
      <c r="AC277" s="4">
        <v>4</v>
      </c>
      <c r="AD277" s="4">
        <v>19</v>
      </c>
      <c r="AE277" s="4">
        <v>20</v>
      </c>
      <c r="AF277" s="4">
        <v>4</v>
      </c>
      <c r="AG277" s="4">
        <v>5</v>
      </c>
      <c r="AH277" s="4">
        <v>3</v>
      </c>
      <c r="AI277" s="4">
        <v>3</v>
      </c>
      <c r="AJ277" s="4">
        <v>12</v>
      </c>
      <c r="AK277" s="4">
        <v>13</v>
      </c>
      <c r="AL277" s="4">
        <v>2</v>
      </c>
      <c r="AM277" s="4">
        <v>2</v>
      </c>
      <c r="AN277" s="4">
        <v>0</v>
      </c>
      <c r="AO277" s="4">
        <v>0</v>
      </c>
      <c r="AP277" s="3" t="s">
        <v>58</v>
      </c>
      <c r="AQ277" s="3" t="s">
        <v>58</v>
      </c>
      <c r="AS277" s="6" t="str">
        <f>HYPERLINK("https://creighton-primo.hosted.exlibrisgroup.com/primo-explore/search?tab=default_tab&amp;search_scope=EVERYTHING&amp;vid=01CRU&amp;lang=en_US&amp;offset=0&amp;query=any,contains,991002701059702656","Catalog Record")</f>
        <v>Catalog Record</v>
      </c>
      <c r="AT277" s="6" t="str">
        <f>HYPERLINK("http://www.worldcat.org/oclc/35262451","WorldCat Record")</f>
        <v>WorldCat Record</v>
      </c>
      <c r="AU277" s="3" t="s">
        <v>3709</v>
      </c>
      <c r="AV277" s="3" t="s">
        <v>3710</v>
      </c>
      <c r="AW277" s="3" t="s">
        <v>3711</v>
      </c>
      <c r="AX277" s="3" t="s">
        <v>3711</v>
      </c>
      <c r="AY277" s="3" t="s">
        <v>3712</v>
      </c>
      <c r="AZ277" s="3" t="s">
        <v>74</v>
      </c>
      <c r="BB277" s="3" t="s">
        <v>3713</v>
      </c>
      <c r="BC277" s="3" t="s">
        <v>3714</v>
      </c>
      <c r="BD277" s="3" t="s">
        <v>3715</v>
      </c>
    </row>
    <row r="278" spans="1:56" ht="42.75" customHeight="1" x14ac:dyDescent="0.25">
      <c r="A278" s="7" t="s">
        <v>58</v>
      </c>
      <c r="B278" s="2" t="s">
        <v>3716</v>
      </c>
      <c r="C278" s="2" t="s">
        <v>3717</v>
      </c>
      <c r="D278" s="2" t="s">
        <v>3718</v>
      </c>
      <c r="F278" s="3" t="s">
        <v>58</v>
      </c>
      <c r="G278" s="3" t="s">
        <v>59</v>
      </c>
      <c r="H278" s="3" t="s">
        <v>58</v>
      </c>
      <c r="I278" s="3" t="s">
        <v>58</v>
      </c>
      <c r="J278" s="3" t="s">
        <v>60</v>
      </c>
      <c r="K278" s="2" t="s">
        <v>3719</v>
      </c>
      <c r="L278" s="2" t="s">
        <v>3720</v>
      </c>
      <c r="M278" s="3" t="s">
        <v>1035</v>
      </c>
      <c r="O278" s="3" t="s">
        <v>64</v>
      </c>
      <c r="P278" s="3" t="s">
        <v>316</v>
      </c>
      <c r="R278" s="3" t="s">
        <v>67</v>
      </c>
      <c r="S278" s="4">
        <v>2</v>
      </c>
      <c r="T278" s="4">
        <v>2</v>
      </c>
      <c r="U278" s="5" t="s">
        <v>3721</v>
      </c>
      <c r="V278" s="5" t="s">
        <v>3721</v>
      </c>
      <c r="W278" s="5" t="s">
        <v>3722</v>
      </c>
      <c r="X278" s="5" t="s">
        <v>3722</v>
      </c>
      <c r="Y278" s="4">
        <v>121</v>
      </c>
      <c r="Z278" s="4">
        <v>108</v>
      </c>
      <c r="AA278" s="4">
        <v>136</v>
      </c>
      <c r="AB278" s="4">
        <v>2</v>
      </c>
      <c r="AC278" s="4">
        <v>2</v>
      </c>
      <c r="AD278" s="4">
        <v>3</v>
      </c>
      <c r="AE278" s="4">
        <v>3</v>
      </c>
      <c r="AF278" s="4">
        <v>2</v>
      </c>
      <c r="AG278" s="4">
        <v>2</v>
      </c>
      <c r="AH278" s="4">
        <v>1</v>
      </c>
      <c r="AI278" s="4">
        <v>1</v>
      </c>
      <c r="AJ278" s="4">
        <v>0</v>
      </c>
      <c r="AK278" s="4">
        <v>0</v>
      </c>
      <c r="AL278" s="4">
        <v>0</v>
      </c>
      <c r="AM278" s="4">
        <v>0</v>
      </c>
      <c r="AN278" s="4">
        <v>0</v>
      </c>
      <c r="AO278" s="4">
        <v>0</v>
      </c>
      <c r="AP278" s="3" t="s">
        <v>58</v>
      </c>
      <c r="AQ278" s="3" t="s">
        <v>58</v>
      </c>
      <c r="AS278" s="6" t="str">
        <f>HYPERLINK("https://creighton-primo.hosted.exlibrisgroup.com/primo-explore/search?tab=default_tab&amp;search_scope=EVERYTHING&amp;vid=01CRU&amp;lang=en_US&amp;offset=0&amp;query=any,contains,991004914299702656","Catalog Record")</f>
        <v>Catalog Record</v>
      </c>
      <c r="AT278" s="6" t="str">
        <f>HYPERLINK("http://www.worldcat.org/oclc/45418882","WorldCat Record")</f>
        <v>WorldCat Record</v>
      </c>
      <c r="AU278" s="3" t="s">
        <v>3723</v>
      </c>
      <c r="AV278" s="3" t="s">
        <v>3724</v>
      </c>
      <c r="AW278" s="3" t="s">
        <v>3725</v>
      </c>
      <c r="AX278" s="3" t="s">
        <v>3725</v>
      </c>
      <c r="AY278" s="3" t="s">
        <v>3726</v>
      </c>
      <c r="AZ278" s="3" t="s">
        <v>74</v>
      </c>
      <c r="BB278" s="3" t="s">
        <v>3727</v>
      </c>
      <c r="BC278" s="3" t="s">
        <v>3728</v>
      </c>
      <c r="BD278" s="3" t="s">
        <v>3729</v>
      </c>
    </row>
    <row r="279" spans="1:56" ht="42.75" customHeight="1" x14ac:dyDescent="0.25">
      <c r="A279" s="7" t="s">
        <v>58</v>
      </c>
      <c r="B279" s="2" t="s">
        <v>3730</v>
      </c>
      <c r="C279" s="2" t="s">
        <v>3731</v>
      </c>
      <c r="D279" s="2" t="s">
        <v>3732</v>
      </c>
      <c r="F279" s="3" t="s">
        <v>58</v>
      </c>
      <c r="G279" s="3" t="s">
        <v>59</v>
      </c>
      <c r="H279" s="3" t="s">
        <v>58</v>
      </c>
      <c r="I279" s="3" t="s">
        <v>58</v>
      </c>
      <c r="J279" s="3" t="s">
        <v>60</v>
      </c>
      <c r="K279" s="2" t="s">
        <v>3733</v>
      </c>
      <c r="L279" s="2" t="s">
        <v>3734</v>
      </c>
      <c r="M279" s="3" t="s">
        <v>480</v>
      </c>
      <c r="N279" s="2" t="s">
        <v>1736</v>
      </c>
      <c r="O279" s="3" t="s">
        <v>64</v>
      </c>
      <c r="P279" s="3" t="s">
        <v>115</v>
      </c>
      <c r="R279" s="3" t="s">
        <v>67</v>
      </c>
      <c r="S279" s="4">
        <v>5</v>
      </c>
      <c r="T279" s="4">
        <v>5</v>
      </c>
      <c r="U279" s="5" t="s">
        <v>3735</v>
      </c>
      <c r="V279" s="5" t="s">
        <v>3735</v>
      </c>
      <c r="W279" s="5" t="s">
        <v>3736</v>
      </c>
      <c r="X279" s="5" t="s">
        <v>3736</v>
      </c>
      <c r="Y279" s="4">
        <v>1730</v>
      </c>
      <c r="Z279" s="4">
        <v>1673</v>
      </c>
      <c r="AA279" s="4">
        <v>1738</v>
      </c>
      <c r="AB279" s="4">
        <v>20</v>
      </c>
      <c r="AC279" s="4">
        <v>20</v>
      </c>
      <c r="AD279" s="4">
        <v>11</v>
      </c>
      <c r="AE279" s="4">
        <v>13</v>
      </c>
      <c r="AF279" s="4">
        <v>4</v>
      </c>
      <c r="AG279" s="4">
        <v>5</v>
      </c>
      <c r="AH279" s="4">
        <v>0</v>
      </c>
      <c r="AI279" s="4">
        <v>1</v>
      </c>
      <c r="AJ279" s="4">
        <v>4</v>
      </c>
      <c r="AK279" s="4">
        <v>5</v>
      </c>
      <c r="AL279" s="4">
        <v>3</v>
      </c>
      <c r="AM279" s="4">
        <v>3</v>
      </c>
      <c r="AN279" s="4">
        <v>1</v>
      </c>
      <c r="AO279" s="4">
        <v>1</v>
      </c>
      <c r="AP279" s="3" t="s">
        <v>58</v>
      </c>
      <c r="AQ279" s="3" t="s">
        <v>58</v>
      </c>
      <c r="AS279" s="6" t="str">
        <f>HYPERLINK("https://creighton-primo.hosted.exlibrisgroup.com/primo-explore/search?tab=default_tab&amp;search_scope=EVERYTHING&amp;vid=01CRU&amp;lang=en_US&amp;offset=0&amp;query=any,contains,991001502119702656","Catalog Record")</f>
        <v>Catalog Record</v>
      </c>
      <c r="AT279" s="6" t="str">
        <f>HYPERLINK("http://www.worldcat.org/oclc/19811666","WorldCat Record")</f>
        <v>WorldCat Record</v>
      </c>
      <c r="AU279" s="3" t="s">
        <v>3737</v>
      </c>
      <c r="AV279" s="3" t="s">
        <v>3738</v>
      </c>
      <c r="AW279" s="3" t="s">
        <v>3739</v>
      </c>
      <c r="AX279" s="3" t="s">
        <v>3739</v>
      </c>
      <c r="AY279" s="3" t="s">
        <v>3740</v>
      </c>
      <c r="AZ279" s="3" t="s">
        <v>74</v>
      </c>
      <c r="BB279" s="3" t="s">
        <v>3741</v>
      </c>
      <c r="BC279" s="3" t="s">
        <v>3742</v>
      </c>
      <c r="BD279" s="3" t="s">
        <v>3743</v>
      </c>
    </row>
    <row r="280" spans="1:56" ht="42.75" customHeight="1" x14ac:dyDescent="0.25">
      <c r="A280" s="7" t="s">
        <v>58</v>
      </c>
      <c r="B280" s="2" t="s">
        <v>3744</v>
      </c>
      <c r="C280" s="2" t="s">
        <v>3745</v>
      </c>
      <c r="D280" s="2" t="s">
        <v>3746</v>
      </c>
      <c r="F280" s="3" t="s">
        <v>58</v>
      </c>
      <c r="G280" s="3" t="s">
        <v>59</v>
      </c>
      <c r="H280" s="3" t="s">
        <v>58</v>
      </c>
      <c r="I280" s="3" t="s">
        <v>58</v>
      </c>
      <c r="J280" s="3" t="s">
        <v>60</v>
      </c>
      <c r="L280" s="2" t="s">
        <v>3747</v>
      </c>
      <c r="M280" s="3" t="s">
        <v>344</v>
      </c>
      <c r="O280" s="3" t="s">
        <v>64</v>
      </c>
      <c r="P280" s="3" t="s">
        <v>83</v>
      </c>
      <c r="R280" s="3" t="s">
        <v>67</v>
      </c>
      <c r="S280" s="4">
        <v>7</v>
      </c>
      <c r="T280" s="4">
        <v>7</v>
      </c>
      <c r="U280" s="5" t="s">
        <v>3097</v>
      </c>
      <c r="V280" s="5" t="s">
        <v>3097</v>
      </c>
      <c r="W280" s="5" t="s">
        <v>3748</v>
      </c>
      <c r="X280" s="5" t="s">
        <v>3748</v>
      </c>
      <c r="Y280" s="4">
        <v>179</v>
      </c>
      <c r="Z280" s="4">
        <v>147</v>
      </c>
      <c r="AA280" s="4">
        <v>148</v>
      </c>
      <c r="AB280" s="4">
        <v>1</v>
      </c>
      <c r="AC280" s="4">
        <v>1</v>
      </c>
      <c r="AD280" s="4">
        <v>4</v>
      </c>
      <c r="AE280" s="4">
        <v>4</v>
      </c>
      <c r="AF280" s="4">
        <v>2</v>
      </c>
      <c r="AG280" s="4">
        <v>2</v>
      </c>
      <c r="AH280" s="4">
        <v>2</v>
      </c>
      <c r="AI280" s="4">
        <v>2</v>
      </c>
      <c r="AJ280" s="4">
        <v>2</v>
      </c>
      <c r="AK280" s="4">
        <v>2</v>
      </c>
      <c r="AL280" s="4">
        <v>0</v>
      </c>
      <c r="AM280" s="4">
        <v>0</v>
      </c>
      <c r="AN280" s="4">
        <v>0</v>
      </c>
      <c r="AO280" s="4">
        <v>0</v>
      </c>
      <c r="AP280" s="3" t="s">
        <v>58</v>
      </c>
      <c r="AQ280" s="3" t="s">
        <v>58</v>
      </c>
      <c r="AS280" s="6" t="str">
        <f>HYPERLINK("https://creighton-primo.hosted.exlibrisgroup.com/primo-explore/search?tab=default_tab&amp;search_scope=EVERYTHING&amp;vid=01CRU&amp;lang=en_US&amp;offset=0&amp;query=any,contains,991004778519702656","Catalog Record")</f>
        <v>Catalog Record</v>
      </c>
      <c r="AT280" s="6" t="str">
        <f>HYPERLINK("http://www.worldcat.org/oclc/5101888","WorldCat Record")</f>
        <v>WorldCat Record</v>
      </c>
      <c r="AU280" s="3" t="s">
        <v>3749</v>
      </c>
      <c r="AV280" s="3" t="s">
        <v>3750</v>
      </c>
      <c r="AW280" s="3" t="s">
        <v>3751</v>
      </c>
      <c r="AX280" s="3" t="s">
        <v>3751</v>
      </c>
      <c r="AY280" s="3" t="s">
        <v>3752</v>
      </c>
      <c r="AZ280" s="3" t="s">
        <v>74</v>
      </c>
      <c r="BB280" s="3" t="s">
        <v>3753</v>
      </c>
      <c r="BC280" s="3" t="s">
        <v>3754</v>
      </c>
      <c r="BD280" s="3" t="s">
        <v>3755</v>
      </c>
    </row>
    <row r="281" spans="1:56" ht="42.75" customHeight="1" x14ac:dyDescent="0.25">
      <c r="A281" s="7" t="s">
        <v>58</v>
      </c>
      <c r="B281" s="2" t="s">
        <v>3756</v>
      </c>
      <c r="C281" s="2" t="s">
        <v>3757</v>
      </c>
      <c r="D281" s="2" t="s">
        <v>3758</v>
      </c>
      <c r="F281" s="3" t="s">
        <v>58</v>
      </c>
      <c r="G281" s="3" t="s">
        <v>59</v>
      </c>
      <c r="H281" s="3" t="s">
        <v>58</v>
      </c>
      <c r="I281" s="3" t="s">
        <v>58</v>
      </c>
      <c r="J281" s="3" t="s">
        <v>60</v>
      </c>
      <c r="K281" s="2" t="s">
        <v>3759</v>
      </c>
      <c r="L281" s="2" t="s">
        <v>3760</v>
      </c>
      <c r="M281" s="3" t="s">
        <v>207</v>
      </c>
      <c r="O281" s="3" t="s">
        <v>64</v>
      </c>
      <c r="P281" s="3" t="s">
        <v>115</v>
      </c>
      <c r="R281" s="3" t="s">
        <v>67</v>
      </c>
      <c r="S281" s="4">
        <v>3</v>
      </c>
      <c r="T281" s="4">
        <v>3</v>
      </c>
      <c r="U281" s="5" t="s">
        <v>3761</v>
      </c>
      <c r="V281" s="5" t="s">
        <v>3761</v>
      </c>
      <c r="W281" s="5" t="s">
        <v>3528</v>
      </c>
      <c r="X281" s="5" t="s">
        <v>3528</v>
      </c>
      <c r="Y281" s="4">
        <v>357</v>
      </c>
      <c r="Z281" s="4">
        <v>300</v>
      </c>
      <c r="AA281" s="4">
        <v>307</v>
      </c>
      <c r="AB281" s="4">
        <v>1</v>
      </c>
      <c r="AC281" s="4">
        <v>1</v>
      </c>
      <c r="AD281" s="4">
        <v>8</v>
      </c>
      <c r="AE281" s="4">
        <v>8</v>
      </c>
      <c r="AF281" s="4">
        <v>4</v>
      </c>
      <c r="AG281" s="4">
        <v>4</v>
      </c>
      <c r="AH281" s="4">
        <v>1</v>
      </c>
      <c r="AI281" s="4">
        <v>1</v>
      </c>
      <c r="AJ281" s="4">
        <v>5</v>
      </c>
      <c r="AK281" s="4">
        <v>5</v>
      </c>
      <c r="AL281" s="4">
        <v>0</v>
      </c>
      <c r="AM281" s="4">
        <v>0</v>
      </c>
      <c r="AN281" s="4">
        <v>0</v>
      </c>
      <c r="AO281" s="4">
        <v>0</v>
      </c>
      <c r="AP281" s="3" t="s">
        <v>58</v>
      </c>
      <c r="AQ281" s="3" t="s">
        <v>86</v>
      </c>
      <c r="AR281" s="6" t="str">
        <f>HYPERLINK("http://catalog.hathitrust.org/Record/000762837","HathiTrust Record")</f>
        <v>HathiTrust Record</v>
      </c>
      <c r="AS281" s="6" t="str">
        <f>HYPERLINK("https://creighton-primo.hosted.exlibrisgroup.com/primo-explore/search?tab=default_tab&amp;search_scope=EVERYTHING&amp;vid=01CRU&amp;lang=en_US&amp;offset=0&amp;query=any,contains,991005036269702656","Catalog Record")</f>
        <v>Catalog Record</v>
      </c>
      <c r="AT281" s="6" t="str">
        <f>HYPERLINK("http://www.worldcat.org/oclc/6761708","WorldCat Record")</f>
        <v>WorldCat Record</v>
      </c>
      <c r="AU281" s="3" t="s">
        <v>3762</v>
      </c>
      <c r="AV281" s="3" t="s">
        <v>3763</v>
      </c>
      <c r="AW281" s="3" t="s">
        <v>3764</v>
      </c>
      <c r="AX281" s="3" t="s">
        <v>3764</v>
      </c>
      <c r="AY281" s="3" t="s">
        <v>3765</v>
      </c>
      <c r="AZ281" s="3" t="s">
        <v>74</v>
      </c>
      <c r="BB281" s="3" t="s">
        <v>3766</v>
      </c>
      <c r="BC281" s="3" t="s">
        <v>3767</v>
      </c>
      <c r="BD281" s="3" t="s">
        <v>3768</v>
      </c>
    </row>
    <row r="282" spans="1:56" ht="42.75" customHeight="1" x14ac:dyDescent="0.25">
      <c r="A282" s="7" t="s">
        <v>58</v>
      </c>
      <c r="B282" s="2" t="s">
        <v>3769</v>
      </c>
      <c r="C282" s="2" t="s">
        <v>3770</v>
      </c>
      <c r="D282" s="2" t="s">
        <v>3771</v>
      </c>
      <c r="F282" s="3" t="s">
        <v>58</v>
      </c>
      <c r="G282" s="3" t="s">
        <v>59</v>
      </c>
      <c r="H282" s="3" t="s">
        <v>58</v>
      </c>
      <c r="I282" s="3" t="s">
        <v>58</v>
      </c>
      <c r="J282" s="3" t="s">
        <v>60</v>
      </c>
      <c r="L282" s="2" t="s">
        <v>1775</v>
      </c>
      <c r="M282" s="3" t="s">
        <v>737</v>
      </c>
      <c r="O282" s="3" t="s">
        <v>64</v>
      </c>
      <c r="P282" s="3" t="s">
        <v>115</v>
      </c>
      <c r="R282" s="3" t="s">
        <v>67</v>
      </c>
      <c r="S282" s="4">
        <v>4</v>
      </c>
      <c r="T282" s="4">
        <v>4</v>
      </c>
      <c r="U282" s="5" t="s">
        <v>3097</v>
      </c>
      <c r="V282" s="5" t="s">
        <v>3097</v>
      </c>
      <c r="W282" s="5" t="s">
        <v>3772</v>
      </c>
      <c r="X282" s="5" t="s">
        <v>3772</v>
      </c>
      <c r="Y282" s="4">
        <v>217</v>
      </c>
      <c r="Z282" s="4">
        <v>154</v>
      </c>
      <c r="AA282" s="4">
        <v>213</v>
      </c>
      <c r="AB282" s="4">
        <v>1</v>
      </c>
      <c r="AC282" s="4">
        <v>1</v>
      </c>
      <c r="AD282" s="4">
        <v>9</v>
      </c>
      <c r="AE282" s="4">
        <v>11</v>
      </c>
      <c r="AF282" s="4">
        <v>4</v>
      </c>
      <c r="AG282" s="4">
        <v>4</v>
      </c>
      <c r="AH282" s="4">
        <v>1</v>
      </c>
      <c r="AI282" s="4">
        <v>3</v>
      </c>
      <c r="AJ282" s="4">
        <v>8</v>
      </c>
      <c r="AK282" s="4">
        <v>8</v>
      </c>
      <c r="AL282" s="4">
        <v>0</v>
      </c>
      <c r="AM282" s="4">
        <v>0</v>
      </c>
      <c r="AN282" s="4">
        <v>0</v>
      </c>
      <c r="AO282" s="4">
        <v>0</v>
      </c>
      <c r="AP282" s="3" t="s">
        <v>58</v>
      </c>
      <c r="AQ282" s="3" t="s">
        <v>58</v>
      </c>
      <c r="AS282" s="6" t="str">
        <f>HYPERLINK("https://creighton-primo.hosted.exlibrisgroup.com/primo-explore/search?tab=default_tab&amp;search_scope=EVERYTHING&amp;vid=01CRU&amp;lang=en_US&amp;offset=0&amp;query=any,contains,991002182739702656","Catalog Record")</f>
        <v>Catalog Record</v>
      </c>
      <c r="AT282" s="6" t="str">
        <f>HYPERLINK("http://www.worldcat.org/oclc/28112134","WorldCat Record")</f>
        <v>WorldCat Record</v>
      </c>
      <c r="AU282" s="3" t="s">
        <v>3773</v>
      </c>
      <c r="AV282" s="3" t="s">
        <v>3774</v>
      </c>
      <c r="AW282" s="3" t="s">
        <v>3775</v>
      </c>
      <c r="AX282" s="3" t="s">
        <v>3775</v>
      </c>
      <c r="AY282" s="3" t="s">
        <v>3776</v>
      </c>
      <c r="AZ282" s="3" t="s">
        <v>74</v>
      </c>
      <c r="BB282" s="3" t="s">
        <v>3777</v>
      </c>
      <c r="BC282" s="3" t="s">
        <v>3778</v>
      </c>
      <c r="BD282" s="3" t="s">
        <v>3779</v>
      </c>
    </row>
    <row r="283" spans="1:56" ht="42.75" customHeight="1" x14ac:dyDescent="0.25">
      <c r="A283" s="7" t="s">
        <v>58</v>
      </c>
      <c r="B283" s="2" t="s">
        <v>3780</v>
      </c>
      <c r="C283" s="2" t="s">
        <v>3781</v>
      </c>
      <c r="D283" s="2" t="s">
        <v>3782</v>
      </c>
      <c r="F283" s="3" t="s">
        <v>58</v>
      </c>
      <c r="G283" s="3" t="s">
        <v>59</v>
      </c>
      <c r="H283" s="3" t="s">
        <v>58</v>
      </c>
      <c r="I283" s="3" t="s">
        <v>58</v>
      </c>
      <c r="J283" s="3" t="s">
        <v>60</v>
      </c>
      <c r="L283" s="2" t="s">
        <v>3783</v>
      </c>
      <c r="M283" s="3" t="s">
        <v>82</v>
      </c>
      <c r="O283" s="3" t="s">
        <v>64</v>
      </c>
      <c r="P283" s="3" t="s">
        <v>115</v>
      </c>
      <c r="R283" s="3" t="s">
        <v>67</v>
      </c>
      <c r="S283" s="4">
        <v>4</v>
      </c>
      <c r="T283" s="4">
        <v>4</v>
      </c>
      <c r="U283" s="5" t="s">
        <v>3784</v>
      </c>
      <c r="V283" s="5" t="s">
        <v>3784</v>
      </c>
      <c r="W283" s="5" t="s">
        <v>3785</v>
      </c>
      <c r="X283" s="5" t="s">
        <v>3785</v>
      </c>
      <c r="Y283" s="4">
        <v>89</v>
      </c>
      <c r="Z283" s="4">
        <v>76</v>
      </c>
      <c r="AA283" s="4">
        <v>140</v>
      </c>
      <c r="AB283" s="4">
        <v>1</v>
      </c>
      <c r="AC283" s="4">
        <v>2</v>
      </c>
      <c r="AD283" s="4">
        <v>1</v>
      </c>
      <c r="AE283" s="4">
        <v>6</v>
      </c>
      <c r="AF283" s="4">
        <v>0</v>
      </c>
      <c r="AG283" s="4">
        <v>0</v>
      </c>
      <c r="AH283" s="4">
        <v>0</v>
      </c>
      <c r="AI283" s="4">
        <v>3</v>
      </c>
      <c r="AJ283" s="4">
        <v>1</v>
      </c>
      <c r="AK283" s="4">
        <v>4</v>
      </c>
      <c r="AL283" s="4">
        <v>0</v>
      </c>
      <c r="AM283" s="4">
        <v>1</v>
      </c>
      <c r="AN283" s="4">
        <v>0</v>
      </c>
      <c r="AO283" s="4">
        <v>0</v>
      </c>
      <c r="AP283" s="3" t="s">
        <v>58</v>
      </c>
      <c r="AQ283" s="3" t="s">
        <v>58</v>
      </c>
      <c r="AS283" s="6" t="str">
        <f>HYPERLINK("https://creighton-primo.hosted.exlibrisgroup.com/primo-explore/search?tab=default_tab&amp;search_scope=EVERYTHING&amp;vid=01CRU&amp;lang=en_US&amp;offset=0&amp;query=any,contains,991000944719702656","Catalog Record")</f>
        <v>Catalog Record</v>
      </c>
      <c r="AT283" s="6" t="str">
        <f>HYPERLINK("http://www.worldcat.org/oclc/14519690","WorldCat Record")</f>
        <v>WorldCat Record</v>
      </c>
      <c r="AU283" s="3" t="s">
        <v>3786</v>
      </c>
      <c r="AV283" s="3" t="s">
        <v>3787</v>
      </c>
      <c r="AW283" s="3" t="s">
        <v>3788</v>
      </c>
      <c r="AX283" s="3" t="s">
        <v>3788</v>
      </c>
      <c r="AY283" s="3" t="s">
        <v>3789</v>
      </c>
      <c r="AZ283" s="3" t="s">
        <v>74</v>
      </c>
      <c r="BB283" s="3" t="s">
        <v>3790</v>
      </c>
      <c r="BC283" s="3" t="s">
        <v>3791</v>
      </c>
      <c r="BD283" s="3" t="s">
        <v>3792</v>
      </c>
    </row>
    <row r="284" spans="1:56" ht="42.75" customHeight="1" x14ac:dyDescent="0.25">
      <c r="A284" s="7" t="s">
        <v>58</v>
      </c>
      <c r="B284" s="2" t="s">
        <v>3793</v>
      </c>
      <c r="C284" s="2" t="s">
        <v>3794</v>
      </c>
      <c r="D284" s="2" t="s">
        <v>3795</v>
      </c>
      <c r="F284" s="3" t="s">
        <v>58</v>
      </c>
      <c r="G284" s="3" t="s">
        <v>59</v>
      </c>
      <c r="H284" s="3" t="s">
        <v>58</v>
      </c>
      <c r="I284" s="3" t="s">
        <v>58</v>
      </c>
      <c r="J284" s="3" t="s">
        <v>60</v>
      </c>
      <c r="K284" s="2" t="s">
        <v>3796</v>
      </c>
      <c r="L284" s="2" t="s">
        <v>3797</v>
      </c>
      <c r="M284" s="3" t="s">
        <v>3083</v>
      </c>
      <c r="O284" s="3" t="s">
        <v>64</v>
      </c>
      <c r="P284" s="3" t="s">
        <v>115</v>
      </c>
      <c r="R284" s="3" t="s">
        <v>67</v>
      </c>
      <c r="S284" s="4">
        <v>1</v>
      </c>
      <c r="T284" s="4">
        <v>1</v>
      </c>
      <c r="U284" s="5" t="s">
        <v>1156</v>
      </c>
      <c r="V284" s="5" t="s">
        <v>1156</v>
      </c>
      <c r="W284" s="5" t="s">
        <v>3528</v>
      </c>
      <c r="X284" s="5" t="s">
        <v>3528</v>
      </c>
      <c r="Y284" s="4">
        <v>56</v>
      </c>
      <c r="Z284" s="4">
        <v>53</v>
      </c>
      <c r="AA284" s="4">
        <v>87</v>
      </c>
      <c r="AB284" s="4">
        <v>1</v>
      </c>
      <c r="AC284" s="4">
        <v>1</v>
      </c>
      <c r="AD284" s="4">
        <v>0</v>
      </c>
      <c r="AE284" s="4">
        <v>0</v>
      </c>
      <c r="AF284" s="4">
        <v>0</v>
      </c>
      <c r="AG284" s="4">
        <v>0</v>
      </c>
      <c r="AH284" s="4">
        <v>0</v>
      </c>
      <c r="AI284" s="4">
        <v>0</v>
      </c>
      <c r="AJ284" s="4">
        <v>0</v>
      </c>
      <c r="AK284" s="4">
        <v>0</v>
      </c>
      <c r="AL284" s="4">
        <v>0</v>
      </c>
      <c r="AM284" s="4">
        <v>0</v>
      </c>
      <c r="AN284" s="4">
        <v>0</v>
      </c>
      <c r="AO284" s="4">
        <v>0</v>
      </c>
      <c r="AP284" s="3" t="s">
        <v>58</v>
      </c>
      <c r="AQ284" s="3" t="s">
        <v>86</v>
      </c>
      <c r="AR284" s="6" t="str">
        <f>HYPERLINK("http://catalog.hathitrust.org/Record/001584317","HathiTrust Record")</f>
        <v>HathiTrust Record</v>
      </c>
      <c r="AS284" s="6" t="str">
        <f>HYPERLINK("https://creighton-primo.hosted.exlibrisgroup.com/primo-explore/search?tab=default_tab&amp;search_scope=EVERYTHING&amp;vid=01CRU&amp;lang=en_US&amp;offset=0&amp;query=any,contains,991003686169702656","Catalog Record")</f>
        <v>Catalog Record</v>
      </c>
      <c r="AT284" s="6" t="str">
        <f>HYPERLINK("http://www.worldcat.org/oclc/1314702","WorldCat Record")</f>
        <v>WorldCat Record</v>
      </c>
      <c r="AU284" s="3" t="s">
        <v>3798</v>
      </c>
      <c r="AV284" s="3" t="s">
        <v>3799</v>
      </c>
      <c r="AW284" s="3" t="s">
        <v>3800</v>
      </c>
      <c r="AX284" s="3" t="s">
        <v>3800</v>
      </c>
      <c r="AY284" s="3" t="s">
        <v>3801</v>
      </c>
      <c r="AZ284" s="3" t="s">
        <v>74</v>
      </c>
      <c r="BC284" s="3" t="s">
        <v>3802</v>
      </c>
      <c r="BD284" s="3" t="s">
        <v>3803</v>
      </c>
    </row>
    <row r="285" spans="1:56" ht="42.75" customHeight="1" x14ac:dyDescent="0.25">
      <c r="A285" s="7" t="s">
        <v>58</v>
      </c>
      <c r="B285" s="2" t="s">
        <v>3804</v>
      </c>
      <c r="C285" s="2" t="s">
        <v>3805</v>
      </c>
      <c r="D285" s="2" t="s">
        <v>3806</v>
      </c>
      <c r="F285" s="3" t="s">
        <v>58</v>
      </c>
      <c r="G285" s="3" t="s">
        <v>59</v>
      </c>
      <c r="H285" s="3" t="s">
        <v>58</v>
      </c>
      <c r="I285" s="3" t="s">
        <v>58</v>
      </c>
      <c r="J285" s="3" t="s">
        <v>60</v>
      </c>
      <c r="K285" s="2" t="s">
        <v>3807</v>
      </c>
      <c r="L285" s="2" t="s">
        <v>3808</v>
      </c>
      <c r="M285" s="3" t="s">
        <v>98</v>
      </c>
      <c r="O285" s="3" t="s">
        <v>64</v>
      </c>
      <c r="P285" s="3" t="s">
        <v>115</v>
      </c>
      <c r="R285" s="3" t="s">
        <v>67</v>
      </c>
      <c r="S285" s="4">
        <v>8</v>
      </c>
      <c r="T285" s="4">
        <v>8</v>
      </c>
      <c r="U285" s="5" t="s">
        <v>3809</v>
      </c>
      <c r="V285" s="5" t="s">
        <v>3809</v>
      </c>
      <c r="W285" s="5" t="s">
        <v>3528</v>
      </c>
      <c r="X285" s="5" t="s">
        <v>3528</v>
      </c>
      <c r="Y285" s="4">
        <v>529</v>
      </c>
      <c r="Z285" s="4">
        <v>492</v>
      </c>
      <c r="AA285" s="4">
        <v>497</v>
      </c>
      <c r="AB285" s="4">
        <v>2</v>
      </c>
      <c r="AC285" s="4">
        <v>2</v>
      </c>
      <c r="AD285" s="4">
        <v>16</v>
      </c>
      <c r="AE285" s="4">
        <v>16</v>
      </c>
      <c r="AF285" s="4">
        <v>4</v>
      </c>
      <c r="AG285" s="4">
        <v>4</v>
      </c>
      <c r="AH285" s="4">
        <v>5</v>
      </c>
      <c r="AI285" s="4">
        <v>5</v>
      </c>
      <c r="AJ285" s="4">
        <v>10</v>
      </c>
      <c r="AK285" s="4">
        <v>10</v>
      </c>
      <c r="AL285" s="4">
        <v>1</v>
      </c>
      <c r="AM285" s="4">
        <v>1</v>
      </c>
      <c r="AN285" s="4">
        <v>0</v>
      </c>
      <c r="AO285" s="4">
        <v>0</v>
      </c>
      <c r="AP285" s="3" t="s">
        <v>58</v>
      </c>
      <c r="AQ285" s="3" t="s">
        <v>58</v>
      </c>
      <c r="AS285" s="6" t="str">
        <f>HYPERLINK("https://creighton-primo.hosted.exlibrisgroup.com/primo-explore/search?tab=default_tab&amp;search_scope=EVERYTHING&amp;vid=01CRU&amp;lang=en_US&amp;offset=0&amp;query=any,contains,991001136299702656","Catalog Record")</f>
        <v>Catalog Record</v>
      </c>
      <c r="AT285" s="6" t="str">
        <f>HYPERLINK("http://www.worldcat.org/oclc/16713633","WorldCat Record")</f>
        <v>WorldCat Record</v>
      </c>
      <c r="AU285" s="3" t="s">
        <v>3810</v>
      </c>
      <c r="AV285" s="3" t="s">
        <v>3811</v>
      </c>
      <c r="AW285" s="3" t="s">
        <v>3812</v>
      </c>
      <c r="AX285" s="3" t="s">
        <v>3812</v>
      </c>
      <c r="AY285" s="3" t="s">
        <v>3813</v>
      </c>
      <c r="AZ285" s="3" t="s">
        <v>74</v>
      </c>
      <c r="BB285" s="3" t="s">
        <v>3814</v>
      </c>
      <c r="BC285" s="3" t="s">
        <v>3815</v>
      </c>
      <c r="BD285" s="3" t="s">
        <v>3816</v>
      </c>
    </row>
    <row r="286" spans="1:56" ht="42.75" customHeight="1" x14ac:dyDescent="0.25">
      <c r="A286" s="7" t="s">
        <v>58</v>
      </c>
      <c r="B286" s="2" t="s">
        <v>3817</v>
      </c>
      <c r="C286" s="2" t="s">
        <v>3818</v>
      </c>
      <c r="D286" s="2" t="s">
        <v>3819</v>
      </c>
      <c r="F286" s="3" t="s">
        <v>58</v>
      </c>
      <c r="G286" s="3" t="s">
        <v>59</v>
      </c>
      <c r="H286" s="3" t="s">
        <v>58</v>
      </c>
      <c r="I286" s="3" t="s">
        <v>58</v>
      </c>
      <c r="J286" s="3" t="s">
        <v>60</v>
      </c>
      <c r="K286" s="2" t="s">
        <v>3820</v>
      </c>
      <c r="L286" s="2" t="s">
        <v>3821</v>
      </c>
      <c r="M286" s="3" t="s">
        <v>3822</v>
      </c>
      <c r="N286" s="2" t="s">
        <v>3823</v>
      </c>
      <c r="O286" s="3" t="s">
        <v>64</v>
      </c>
      <c r="P286" s="3" t="s">
        <v>208</v>
      </c>
      <c r="R286" s="3" t="s">
        <v>67</v>
      </c>
      <c r="S286" s="4">
        <v>9</v>
      </c>
      <c r="T286" s="4">
        <v>9</v>
      </c>
      <c r="U286" s="5" t="s">
        <v>3824</v>
      </c>
      <c r="V286" s="5" t="s">
        <v>3824</v>
      </c>
      <c r="W286" s="5" t="s">
        <v>3825</v>
      </c>
      <c r="X286" s="5" t="s">
        <v>3825</v>
      </c>
      <c r="Y286" s="4">
        <v>476</v>
      </c>
      <c r="Z286" s="4">
        <v>440</v>
      </c>
      <c r="AA286" s="4">
        <v>671</v>
      </c>
      <c r="AB286" s="4">
        <v>6</v>
      </c>
      <c r="AC286" s="4">
        <v>7</v>
      </c>
      <c r="AD286" s="4">
        <v>11</v>
      </c>
      <c r="AE286" s="4">
        <v>23</v>
      </c>
      <c r="AF286" s="4">
        <v>2</v>
      </c>
      <c r="AG286" s="4">
        <v>5</v>
      </c>
      <c r="AH286" s="4">
        <v>4</v>
      </c>
      <c r="AI286" s="4">
        <v>8</v>
      </c>
      <c r="AJ286" s="4">
        <v>4</v>
      </c>
      <c r="AK286" s="4">
        <v>10</v>
      </c>
      <c r="AL286" s="4">
        <v>3</v>
      </c>
      <c r="AM286" s="4">
        <v>4</v>
      </c>
      <c r="AN286" s="4">
        <v>0</v>
      </c>
      <c r="AO286" s="4">
        <v>0</v>
      </c>
      <c r="AP286" s="3" t="s">
        <v>58</v>
      </c>
      <c r="AQ286" s="3" t="s">
        <v>86</v>
      </c>
      <c r="AR286" s="6" t="str">
        <f>HYPERLINK("http://catalog.hathitrust.org/Record/001562816","HathiTrust Record")</f>
        <v>HathiTrust Record</v>
      </c>
      <c r="AS286" s="6" t="str">
        <f>HYPERLINK("https://creighton-primo.hosted.exlibrisgroup.com/primo-explore/search?tab=default_tab&amp;search_scope=EVERYTHING&amp;vid=01CRU&amp;lang=en_US&amp;offset=0&amp;query=any,contains,991003589639702656","Catalog Record")</f>
        <v>Catalog Record</v>
      </c>
      <c r="AT286" s="6" t="str">
        <f>HYPERLINK("http://www.worldcat.org/oclc/1171830","WorldCat Record")</f>
        <v>WorldCat Record</v>
      </c>
      <c r="AU286" s="3" t="s">
        <v>3826</v>
      </c>
      <c r="AV286" s="3" t="s">
        <v>3827</v>
      </c>
      <c r="AW286" s="3" t="s">
        <v>3828</v>
      </c>
      <c r="AX286" s="3" t="s">
        <v>3828</v>
      </c>
      <c r="AY286" s="3" t="s">
        <v>3829</v>
      </c>
      <c r="AZ286" s="3" t="s">
        <v>74</v>
      </c>
      <c r="BC286" s="3" t="s">
        <v>3830</v>
      </c>
      <c r="BD286" s="3" t="s">
        <v>3831</v>
      </c>
    </row>
    <row r="287" spans="1:56" ht="42.75" customHeight="1" x14ac:dyDescent="0.25">
      <c r="A287" s="7" t="s">
        <v>58</v>
      </c>
      <c r="B287" s="2" t="s">
        <v>3832</v>
      </c>
      <c r="C287" s="2" t="s">
        <v>3833</v>
      </c>
      <c r="D287" s="2" t="s">
        <v>3834</v>
      </c>
      <c r="F287" s="3" t="s">
        <v>58</v>
      </c>
      <c r="G287" s="3" t="s">
        <v>59</v>
      </c>
      <c r="H287" s="3" t="s">
        <v>58</v>
      </c>
      <c r="I287" s="3" t="s">
        <v>58</v>
      </c>
      <c r="J287" s="3" t="s">
        <v>60</v>
      </c>
      <c r="K287" s="2" t="s">
        <v>3835</v>
      </c>
      <c r="L287" s="2" t="s">
        <v>3836</v>
      </c>
      <c r="M287" s="3" t="s">
        <v>1101</v>
      </c>
      <c r="O287" s="3" t="s">
        <v>64</v>
      </c>
      <c r="P287" s="3" t="s">
        <v>115</v>
      </c>
      <c r="R287" s="3" t="s">
        <v>67</v>
      </c>
      <c r="S287" s="4">
        <v>4</v>
      </c>
      <c r="T287" s="4">
        <v>4</v>
      </c>
      <c r="U287" s="5" t="s">
        <v>3824</v>
      </c>
      <c r="V287" s="5" t="s">
        <v>3824</v>
      </c>
      <c r="W287" s="5" t="s">
        <v>3837</v>
      </c>
      <c r="X287" s="5" t="s">
        <v>3837</v>
      </c>
      <c r="Y287" s="4">
        <v>781</v>
      </c>
      <c r="Z287" s="4">
        <v>695</v>
      </c>
      <c r="AA287" s="4">
        <v>1447</v>
      </c>
      <c r="AB287" s="4">
        <v>7</v>
      </c>
      <c r="AC287" s="4">
        <v>30</v>
      </c>
      <c r="AD287" s="4">
        <v>21</v>
      </c>
      <c r="AE287" s="4">
        <v>42</v>
      </c>
      <c r="AF287" s="4">
        <v>7</v>
      </c>
      <c r="AG287" s="4">
        <v>14</v>
      </c>
      <c r="AH287" s="4">
        <v>4</v>
      </c>
      <c r="AI287" s="4">
        <v>6</v>
      </c>
      <c r="AJ287" s="4">
        <v>10</v>
      </c>
      <c r="AK287" s="4">
        <v>15</v>
      </c>
      <c r="AL287" s="4">
        <v>5</v>
      </c>
      <c r="AM287" s="4">
        <v>15</v>
      </c>
      <c r="AN287" s="4">
        <v>0</v>
      </c>
      <c r="AO287" s="4">
        <v>0</v>
      </c>
      <c r="AP287" s="3" t="s">
        <v>58</v>
      </c>
      <c r="AQ287" s="3" t="s">
        <v>86</v>
      </c>
      <c r="AR287" s="6" t="str">
        <f>HYPERLINK("http://catalog.hathitrust.org/Record/004211493","HathiTrust Record")</f>
        <v>HathiTrust Record</v>
      </c>
      <c r="AS287" s="6" t="str">
        <f>HYPERLINK("https://creighton-primo.hosted.exlibrisgroup.com/primo-explore/search?tab=default_tab&amp;search_scope=EVERYTHING&amp;vid=01CRU&amp;lang=en_US&amp;offset=0&amp;query=any,contains,991004050699702656","Catalog Record")</f>
        <v>Catalog Record</v>
      </c>
      <c r="AT287" s="6" t="str">
        <f>HYPERLINK("http://www.worldcat.org/oclc/44852109","WorldCat Record")</f>
        <v>WorldCat Record</v>
      </c>
      <c r="AU287" s="3" t="s">
        <v>3838</v>
      </c>
      <c r="AV287" s="3" t="s">
        <v>3839</v>
      </c>
      <c r="AW287" s="3" t="s">
        <v>3840</v>
      </c>
      <c r="AX287" s="3" t="s">
        <v>3840</v>
      </c>
      <c r="AY287" s="3" t="s">
        <v>3841</v>
      </c>
      <c r="AZ287" s="3" t="s">
        <v>74</v>
      </c>
      <c r="BB287" s="3" t="s">
        <v>3842</v>
      </c>
      <c r="BC287" s="3" t="s">
        <v>3843</v>
      </c>
      <c r="BD287" s="3" t="s">
        <v>3844</v>
      </c>
    </row>
    <row r="288" spans="1:56" ht="42.75" customHeight="1" x14ac:dyDescent="0.25">
      <c r="A288" s="7" t="s">
        <v>58</v>
      </c>
      <c r="B288" s="2" t="s">
        <v>3845</v>
      </c>
      <c r="C288" s="2" t="s">
        <v>3846</v>
      </c>
      <c r="D288" s="2" t="s">
        <v>3847</v>
      </c>
      <c r="F288" s="3" t="s">
        <v>58</v>
      </c>
      <c r="G288" s="3" t="s">
        <v>59</v>
      </c>
      <c r="H288" s="3" t="s">
        <v>58</v>
      </c>
      <c r="I288" s="3" t="s">
        <v>58</v>
      </c>
      <c r="J288" s="3" t="s">
        <v>60</v>
      </c>
      <c r="K288" s="2" t="s">
        <v>3848</v>
      </c>
      <c r="L288" s="2" t="s">
        <v>3849</v>
      </c>
      <c r="M288" s="3" t="s">
        <v>765</v>
      </c>
      <c r="O288" s="3" t="s">
        <v>64</v>
      </c>
      <c r="P288" s="3" t="s">
        <v>208</v>
      </c>
      <c r="Q288" s="2" t="s">
        <v>3850</v>
      </c>
      <c r="R288" s="3" t="s">
        <v>67</v>
      </c>
      <c r="S288" s="4">
        <v>1</v>
      </c>
      <c r="T288" s="4">
        <v>1</v>
      </c>
      <c r="U288" s="5" t="s">
        <v>1063</v>
      </c>
      <c r="V288" s="5" t="s">
        <v>1063</v>
      </c>
      <c r="W288" s="5" t="s">
        <v>3287</v>
      </c>
      <c r="X288" s="5" t="s">
        <v>3287</v>
      </c>
      <c r="Y288" s="4">
        <v>257</v>
      </c>
      <c r="Z288" s="4">
        <v>195</v>
      </c>
      <c r="AA288" s="4">
        <v>255</v>
      </c>
      <c r="AB288" s="4">
        <v>1</v>
      </c>
      <c r="AC288" s="4">
        <v>1</v>
      </c>
      <c r="AD288" s="4">
        <v>6</v>
      </c>
      <c r="AE288" s="4">
        <v>12</v>
      </c>
      <c r="AF288" s="4">
        <v>1</v>
      </c>
      <c r="AG288" s="4">
        <v>6</v>
      </c>
      <c r="AH288" s="4">
        <v>3</v>
      </c>
      <c r="AI288" s="4">
        <v>4</v>
      </c>
      <c r="AJ288" s="4">
        <v>2</v>
      </c>
      <c r="AK288" s="4">
        <v>3</v>
      </c>
      <c r="AL288" s="4">
        <v>0</v>
      </c>
      <c r="AM288" s="4">
        <v>0</v>
      </c>
      <c r="AN288" s="4">
        <v>0</v>
      </c>
      <c r="AO288" s="4">
        <v>0</v>
      </c>
      <c r="AP288" s="3" t="s">
        <v>58</v>
      </c>
      <c r="AQ288" s="3" t="s">
        <v>58</v>
      </c>
      <c r="AS288" s="6" t="str">
        <f>HYPERLINK("https://creighton-primo.hosted.exlibrisgroup.com/primo-explore/search?tab=default_tab&amp;search_scope=EVERYTHING&amp;vid=01CRU&amp;lang=en_US&amp;offset=0&amp;query=any,contains,991002452619702656","Catalog Record")</f>
        <v>Catalog Record</v>
      </c>
      <c r="AT288" s="6" t="str">
        <f>HYPERLINK("http://www.worldcat.org/oclc/31971635","WorldCat Record")</f>
        <v>WorldCat Record</v>
      </c>
      <c r="AU288" s="3" t="s">
        <v>3851</v>
      </c>
      <c r="AV288" s="3" t="s">
        <v>3852</v>
      </c>
      <c r="AW288" s="3" t="s">
        <v>3853</v>
      </c>
      <c r="AX288" s="3" t="s">
        <v>3853</v>
      </c>
      <c r="AY288" s="3" t="s">
        <v>3854</v>
      </c>
      <c r="AZ288" s="3" t="s">
        <v>74</v>
      </c>
      <c r="BB288" s="3" t="s">
        <v>3855</v>
      </c>
      <c r="BC288" s="3" t="s">
        <v>3856</v>
      </c>
      <c r="BD288" s="3" t="s">
        <v>3857</v>
      </c>
    </row>
    <row r="289" spans="1:56" ht="42.75" customHeight="1" x14ac:dyDescent="0.25">
      <c r="A289" s="7" t="s">
        <v>58</v>
      </c>
      <c r="B289" s="2" t="s">
        <v>3858</v>
      </c>
      <c r="C289" s="2" t="s">
        <v>3859</v>
      </c>
      <c r="D289" s="2" t="s">
        <v>3860</v>
      </c>
      <c r="F289" s="3" t="s">
        <v>58</v>
      </c>
      <c r="G289" s="3" t="s">
        <v>59</v>
      </c>
      <c r="H289" s="3" t="s">
        <v>58</v>
      </c>
      <c r="I289" s="3" t="s">
        <v>58</v>
      </c>
      <c r="J289" s="3" t="s">
        <v>60</v>
      </c>
      <c r="K289" s="2" t="s">
        <v>3861</v>
      </c>
      <c r="L289" s="2" t="s">
        <v>3862</v>
      </c>
      <c r="M289" s="3" t="s">
        <v>3124</v>
      </c>
      <c r="O289" s="3" t="s">
        <v>64</v>
      </c>
      <c r="P289" s="3" t="s">
        <v>178</v>
      </c>
      <c r="R289" s="3" t="s">
        <v>67</v>
      </c>
      <c r="S289" s="4">
        <v>5</v>
      </c>
      <c r="T289" s="4">
        <v>5</v>
      </c>
      <c r="U289" s="5" t="s">
        <v>3863</v>
      </c>
      <c r="V289" s="5" t="s">
        <v>3863</v>
      </c>
      <c r="W289" s="5" t="s">
        <v>272</v>
      </c>
      <c r="X289" s="5" t="s">
        <v>272</v>
      </c>
      <c r="Y289" s="4">
        <v>30</v>
      </c>
      <c r="Z289" s="4">
        <v>24</v>
      </c>
      <c r="AA289" s="4">
        <v>26</v>
      </c>
      <c r="AB289" s="4">
        <v>1</v>
      </c>
      <c r="AC289" s="4">
        <v>1</v>
      </c>
      <c r="AD289" s="4">
        <v>2</v>
      </c>
      <c r="AE289" s="4">
        <v>2</v>
      </c>
      <c r="AF289" s="4">
        <v>0</v>
      </c>
      <c r="AG289" s="4">
        <v>0</v>
      </c>
      <c r="AH289" s="4">
        <v>1</v>
      </c>
      <c r="AI289" s="4">
        <v>1</v>
      </c>
      <c r="AJ289" s="4">
        <v>2</v>
      </c>
      <c r="AK289" s="4">
        <v>2</v>
      </c>
      <c r="AL289" s="4">
        <v>0</v>
      </c>
      <c r="AM289" s="4">
        <v>0</v>
      </c>
      <c r="AN289" s="4">
        <v>0</v>
      </c>
      <c r="AO289" s="4">
        <v>0</v>
      </c>
      <c r="AP289" s="3" t="s">
        <v>58</v>
      </c>
      <c r="AQ289" s="3" t="s">
        <v>86</v>
      </c>
      <c r="AR289" s="6" t="str">
        <f>HYPERLINK("http://catalog.hathitrust.org/Record/002065757","HathiTrust Record")</f>
        <v>HathiTrust Record</v>
      </c>
      <c r="AS289" s="6" t="str">
        <f>HYPERLINK("https://creighton-primo.hosted.exlibrisgroup.com/primo-explore/search?tab=default_tab&amp;search_scope=EVERYTHING&amp;vid=01CRU&amp;lang=en_US&amp;offset=0&amp;query=any,contains,991000723089702656","Catalog Record")</f>
        <v>Catalog Record</v>
      </c>
      <c r="AT289" s="6" t="str">
        <f>HYPERLINK("http://www.worldcat.org/oclc/127057","WorldCat Record")</f>
        <v>WorldCat Record</v>
      </c>
      <c r="AU289" s="3" t="s">
        <v>3864</v>
      </c>
      <c r="AV289" s="3" t="s">
        <v>3865</v>
      </c>
      <c r="AW289" s="3" t="s">
        <v>3866</v>
      </c>
      <c r="AX289" s="3" t="s">
        <v>3866</v>
      </c>
      <c r="AY289" s="3" t="s">
        <v>3867</v>
      </c>
      <c r="AZ289" s="3" t="s">
        <v>74</v>
      </c>
      <c r="BC289" s="3" t="s">
        <v>3868</v>
      </c>
      <c r="BD289" s="3" t="s">
        <v>3869</v>
      </c>
    </row>
    <row r="290" spans="1:56" ht="42.75" customHeight="1" x14ac:dyDescent="0.25">
      <c r="A290" s="7" t="s">
        <v>58</v>
      </c>
      <c r="B290" s="2" t="s">
        <v>3870</v>
      </c>
      <c r="C290" s="2" t="s">
        <v>3871</v>
      </c>
      <c r="D290" s="2" t="s">
        <v>3872</v>
      </c>
      <c r="F290" s="3" t="s">
        <v>58</v>
      </c>
      <c r="G290" s="3" t="s">
        <v>59</v>
      </c>
      <c r="H290" s="3" t="s">
        <v>58</v>
      </c>
      <c r="I290" s="3" t="s">
        <v>58</v>
      </c>
      <c r="J290" s="3" t="s">
        <v>60</v>
      </c>
      <c r="K290" s="2" t="s">
        <v>3873</v>
      </c>
      <c r="L290" s="2" t="s">
        <v>3874</v>
      </c>
      <c r="M290" s="3" t="s">
        <v>114</v>
      </c>
      <c r="O290" s="3" t="s">
        <v>64</v>
      </c>
      <c r="P290" s="3" t="s">
        <v>115</v>
      </c>
      <c r="R290" s="3" t="s">
        <v>67</v>
      </c>
      <c r="S290" s="4">
        <v>2</v>
      </c>
      <c r="T290" s="4">
        <v>2</v>
      </c>
      <c r="U290" s="5" t="s">
        <v>3875</v>
      </c>
      <c r="V290" s="5" t="s">
        <v>3875</v>
      </c>
      <c r="W290" s="5" t="s">
        <v>3528</v>
      </c>
      <c r="X290" s="5" t="s">
        <v>3528</v>
      </c>
      <c r="Y290" s="4">
        <v>532</v>
      </c>
      <c r="Z290" s="4">
        <v>497</v>
      </c>
      <c r="AA290" s="4">
        <v>519</v>
      </c>
      <c r="AB290" s="4">
        <v>3</v>
      </c>
      <c r="AC290" s="4">
        <v>3</v>
      </c>
      <c r="AD290" s="4">
        <v>14</v>
      </c>
      <c r="AE290" s="4">
        <v>14</v>
      </c>
      <c r="AF290" s="4">
        <v>6</v>
      </c>
      <c r="AG290" s="4">
        <v>6</v>
      </c>
      <c r="AH290" s="4">
        <v>3</v>
      </c>
      <c r="AI290" s="4">
        <v>3</v>
      </c>
      <c r="AJ290" s="4">
        <v>5</v>
      </c>
      <c r="AK290" s="4">
        <v>5</v>
      </c>
      <c r="AL290" s="4">
        <v>2</v>
      </c>
      <c r="AM290" s="4">
        <v>2</v>
      </c>
      <c r="AN290" s="4">
        <v>0</v>
      </c>
      <c r="AO290" s="4">
        <v>0</v>
      </c>
      <c r="AP290" s="3" t="s">
        <v>58</v>
      </c>
      <c r="AQ290" s="3" t="s">
        <v>86</v>
      </c>
      <c r="AR290" s="6" t="str">
        <f>HYPERLINK("http://catalog.hathitrust.org/Record/000373026","HathiTrust Record")</f>
        <v>HathiTrust Record</v>
      </c>
      <c r="AS290" s="6" t="str">
        <f>HYPERLINK("https://creighton-primo.hosted.exlibrisgroup.com/primo-explore/search?tab=default_tab&amp;search_scope=EVERYTHING&amp;vid=01CRU&amp;lang=en_US&amp;offset=0&amp;query=any,contains,991000366349702656","Catalog Record")</f>
        <v>Catalog Record</v>
      </c>
      <c r="AT290" s="6" t="str">
        <f>HYPERLINK("http://www.worldcat.org/oclc/10403462","WorldCat Record")</f>
        <v>WorldCat Record</v>
      </c>
      <c r="AU290" s="3" t="s">
        <v>3876</v>
      </c>
      <c r="AV290" s="3" t="s">
        <v>3877</v>
      </c>
      <c r="AW290" s="3" t="s">
        <v>3878</v>
      </c>
      <c r="AX290" s="3" t="s">
        <v>3878</v>
      </c>
      <c r="AY290" s="3" t="s">
        <v>3879</v>
      </c>
      <c r="AZ290" s="3" t="s">
        <v>74</v>
      </c>
      <c r="BB290" s="3" t="s">
        <v>3880</v>
      </c>
      <c r="BC290" s="3" t="s">
        <v>3881</v>
      </c>
      <c r="BD290" s="3" t="s">
        <v>3882</v>
      </c>
    </row>
    <row r="291" spans="1:56" ht="42.75" customHeight="1" x14ac:dyDescent="0.25">
      <c r="A291" s="7" t="s">
        <v>58</v>
      </c>
      <c r="B291" s="2" t="s">
        <v>3883</v>
      </c>
      <c r="C291" s="2" t="s">
        <v>3884</v>
      </c>
      <c r="D291" s="2" t="s">
        <v>3885</v>
      </c>
      <c r="F291" s="3" t="s">
        <v>58</v>
      </c>
      <c r="G291" s="3" t="s">
        <v>59</v>
      </c>
      <c r="H291" s="3" t="s">
        <v>58</v>
      </c>
      <c r="I291" s="3" t="s">
        <v>58</v>
      </c>
      <c r="J291" s="3" t="s">
        <v>60</v>
      </c>
      <c r="K291" s="2" t="s">
        <v>3886</v>
      </c>
      <c r="L291" s="2" t="s">
        <v>3887</v>
      </c>
      <c r="M291" s="3" t="s">
        <v>98</v>
      </c>
      <c r="O291" s="3" t="s">
        <v>64</v>
      </c>
      <c r="P291" s="3" t="s">
        <v>115</v>
      </c>
      <c r="R291" s="3" t="s">
        <v>67</v>
      </c>
      <c r="S291" s="4">
        <v>2</v>
      </c>
      <c r="T291" s="4">
        <v>2</v>
      </c>
      <c r="U291" s="5" t="s">
        <v>3875</v>
      </c>
      <c r="V291" s="5" t="s">
        <v>3875</v>
      </c>
      <c r="W291" s="5" t="s">
        <v>3528</v>
      </c>
      <c r="X291" s="5" t="s">
        <v>3528</v>
      </c>
      <c r="Y291" s="4">
        <v>1172</v>
      </c>
      <c r="Z291" s="4">
        <v>1069</v>
      </c>
      <c r="AA291" s="4">
        <v>1993</v>
      </c>
      <c r="AB291" s="4">
        <v>7</v>
      </c>
      <c r="AC291" s="4">
        <v>19</v>
      </c>
      <c r="AD291" s="4">
        <v>25</v>
      </c>
      <c r="AE291" s="4">
        <v>62</v>
      </c>
      <c r="AF291" s="4">
        <v>8</v>
      </c>
      <c r="AG291" s="4">
        <v>22</v>
      </c>
      <c r="AH291" s="4">
        <v>7</v>
      </c>
      <c r="AI291" s="4">
        <v>11</v>
      </c>
      <c r="AJ291" s="4">
        <v>14</v>
      </c>
      <c r="AK291" s="4">
        <v>25</v>
      </c>
      <c r="AL291" s="4">
        <v>4</v>
      </c>
      <c r="AM291" s="4">
        <v>15</v>
      </c>
      <c r="AN291" s="4">
        <v>0</v>
      </c>
      <c r="AO291" s="4">
        <v>3</v>
      </c>
      <c r="AP291" s="3" t="s">
        <v>58</v>
      </c>
      <c r="AQ291" s="3" t="s">
        <v>86</v>
      </c>
      <c r="AR291" s="6" t="str">
        <f>HYPERLINK("http://catalog.hathitrust.org/Record/000942800","HathiTrust Record")</f>
        <v>HathiTrust Record</v>
      </c>
      <c r="AS291" s="6" t="str">
        <f>HYPERLINK("https://creighton-primo.hosted.exlibrisgroup.com/primo-explore/search?tab=default_tab&amp;search_scope=EVERYTHING&amp;vid=01CRU&amp;lang=en_US&amp;offset=0&amp;query=any,contains,991001309459702656","Catalog Record")</f>
        <v>Catalog Record</v>
      </c>
      <c r="AT291" s="6" t="str">
        <f>HYPERLINK("http://www.worldcat.org/oclc/18135598","WorldCat Record")</f>
        <v>WorldCat Record</v>
      </c>
      <c r="AU291" s="3" t="s">
        <v>3888</v>
      </c>
      <c r="AV291" s="3" t="s">
        <v>3889</v>
      </c>
      <c r="AW291" s="3" t="s">
        <v>3890</v>
      </c>
      <c r="AX291" s="3" t="s">
        <v>3890</v>
      </c>
      <c r="AY291" s="3" t="s">
        <v>3891</v>
      </c>
      <c r="AZ291" s="3" t="s">
        <v>74</v>
      </c>
      <c r="BB291" s="3" t="s">
        <v>3892</v>
      </c>
      <c r="BC291" s="3" t="s">
        <v>3893</v>
      </c>
      <c r="BD291" s="3" t="s">
        <v>3894</v>
      </c>
    </row>
    <row r="292" spans="1:56" ht="42.75" customHeight="1" x14ac:dyDescent="0.25">
      <c r="A292" s="7" t="s">
        <v>58</v>
      </c>
      <c r="B292" s="2" t="s">
        <v>3895</v>
      </c>
      <c r="C292" s="2" t="s">
        <v>3896</v>
      </c>
      <c r="D292" s="2" t="s">
        <v>3897</v>
      </c>
      <c r="F292" s="3" t="s">
        <v>58</v>
      </c>
      <c r="G292" s="3" t="s">
        <v>59</v>
      </c>
      <c r="H292" s="3" t="s">
        <v>58</v>
      </c>
      <c r="I292" s="3" t="s">
        <v>58</v>
      </c>
      <c r="J292" s="3" t="s">
        <v>60</v>
      </c>
      <c r="K292" s="2" t="s">
        <v>3898</v>
      </c>
      <c r="L292" s="2" t="s">
        <v>3899</v>
      </c>
      <c r="M292" s="3" t="s">
        <v>207</v>
      </c>
      <c r="O292" s="3" t="s">
        <v>64</v>
      </c>
      <c r="P292" s="3" t="s">
        <v>115</v>
      </c>
      <c r="Q292" s="2" t="s">
        <v>3900</v>
      </c>
      <c r="R292" s="3" t="s">
        <v>67</v>
      </c>
      <c r="S292" s="4">
        <v>2</v>
      </c>
      <c r="T292" s="4">
        <v>2</v>
      </c>
      <c r="U292" s="5" t="s">
        <v>3901</v>
      </c>
      <c r="V292" s="5" t="s">
        <v>3901</v>
      </c>
      <c r="W292" s="5" t="s">
        <v>3528</v>
      </c>
      <c r="X292" s="5" t="s">
        <v>3528</v>
      </c>
      <c r="Y292" s="4">
        <v>112</v>
      </c>
      <c r="Z292" s="4">
        <v>96</v>
      </c>
      <c r="AA292" s="4">
        <v>96</v>
      </c>
      <c r="AB292" s="4">
        <v>3</v>
      </c>
      <c r="AC292" s="4">
        <v>3</v>
      </c>
      <c r="AD292" s="4">
        <v>5</v>
      </c>
      <c r="AE292" s="4">
        <v>5</v>
      </c>
      <c r="AF292" s="4">
        <v>1</v>
      </c>
      <c r="AG292" s="4">
        <v>1</v>
      </c>
      <c r="AH292" s="4">
        <v>1</v>
      </c>
      <c r="AI292" s="4">
        <v>1</v>
      </c>
      <c r="AJ292" s="4">
        <v>2</v>
      </c>
      <c r="AK292" s="4">
        <v>2</v>
      </c>
      <c r="AL292" s="4">
        <v>2</v>
      </c>
      <c r="AM292" s="4">
        <v>2</v>
      </c>
      <c r="AN292" s="4">
        <v>0</v>
      </c>
      <c r="AO292" s="4">
        <v>0</v>
      </c>
      <c r="AP292" s="3" t="s">
        <v>58</v>
      </c>
      <c r="AQ292" s="3" t="s">
        <v>58</v>
      </c>
      <c r="AS292" s="6" t="str">
        <f>HYPERLINK("https://creighton-primo.hosted.exlibrisgroup.com/primo-explore/search?tab=default_tab&amp;search_scope=EVERYTHING&amp;vid=01CRU&amp;lang=en_US&amp;offset=0&amp;query=any,contains,991005171259702656","Catalog Record")</f>
        <v>Catalog Record</v>
      </c>
      <c r="AT292" s="6" t="str">
        <f>HYPERLINK("http://www.worldcat.org/oclc/7875238","WorldCat Record")</f>
        <v>WorldCat Record</v>
      </c>
      <c r="AU292" s="3" t="s">
        <v>3902</v>
      </c>
      <c r="AV292" s="3" t="s">
        <v>3903</v>
      </c>
      <c r="AW292" s="3" t="s">
        <v>3904</v>
      </c>
      <c r="AX292" s="3" t="s">
        <v>3904</v>
      </c>
      <c r="AY292" s="3" t="s">
        <v>3905</v>
      </c>
      <c r="AZ292" s="3" t="s">
        <v>74</v>
      </c>
      <c r="BB292" s="3" t="s">
        <v>3906</v>
      </c>
      <c r="BC292" s="3" t="s">
        <v>3907</v>
      </c>
      <c r="BD292" s="3" t="s">
        <v>3908</v>
      </c>
    </row>
    <row r="293" spans="1:56" ht="42.75" customHeight="1" x14ac:dyDescent="0.25">
      <c r="A293" s="7" t="s">
        <v>58</v>
      </c>
      <c r="B293" s="2" t="s">
        <v>3909</v>
      </c>
      <c r="C293" s="2" t="s">
        <v>3910</v>
      </c>
      <c r="D293" s="2" t="s">
        <v>3911</v>
      </c>
      <c r="F293" s="3" t="s">
        <v>58</v>
      </c>
      <c r="G293" s="3" t="s">
        <v>59</v>
      </c>
      <c r="H293" s="3" t="s">
        <v>58</v>
      </c>
      <c r="I293" s="3" t="s">
        <v>58</v>
      </c>
      <c r="J293" s="3" t="s">
        <v>60</v>
      </c>
      <c r="K293" s="2" t="s">
        <v>3912</v>
      </c>
      <c r="L293" s="2" t="s">
        <v>3913</v>
      </c>
      <c r="M293" s="3" t="s">
        <v>3914</v>
      </c>
      <c r="O293" s="3" t="s">
        <v>64</v>
      </c>
      <c r="P293" s="3" t="s">
        <v>115</v>
      </c>
      <c r="Q293" s="2" t="s">
        <v>3915</v>
      </c>
      <c r="R293" s="3" t="s">
        <v>67</v>
      </c>
      <c r="S293" s="4">
        <v>1</v>
      </c>
      <c r="T293" s="4">
        <v>1</v>
      </c>
      <c r="U293" s="5" t="s">
        <v>3916</v>
      </c>
      <c r="V293" s="5" t="s">
        <v>3916</v>
      </c>
      <c r="W293" s="5" t="s">
        <v>3917</v>
      </c>
      <c r="X293" s="5" t="s">
        <v>3917</v>
      </c>
      <c r="Y293" s="4">
        <v>24</v>
      </c>
      <c r="Z293" s="4">
        <v>21</v>
      </c>
      <c r="AA293" s="4">
        <v>551</v>
      </c>
      <c r="AB293" s="4">
        <v>1</v>
      </c>
      <c r="AC293" s="4">
        <v>2</v>
      </c>
      <c r="AD293" s="4">
        <v>0</v>
      </c>
      <c r="AE293" s="4">
        <v>12</v>
      </c>
      <c r="AF293" s="4">
        <v>0</v>
      </c>
      <c r="AG293" s="4">
        <v>5</v>
      </c>
      <c r="AH293" s="4">
        <v>0</v>
      </c>
      <c r="AI293" s="4">
        <v>3</v>
      </c>
      <c r="AJ293" s="4">
        <v>0</v>
      </c>
      <c r="AK293" s="4">
        <v>7</v>
      </c>
      <c r="AL293" s="4">
        <v>0</v>
      </c>
      <c r="AM293" s="4">
        <v>1</v>
      </c>
      <c r="AN293" s="4">
        <v>0</v>
      </c>
      <c r="AO293" s="4">
        <v>0</v>
      </c>
      <c r="AP293" s="3" t="s">
        <v>58</v>
      </c>
      <c r="AQ293" s="3" t="s">
        <v>58</v>
      </c>
      <c r="AS293" s="6" t="str">
        <f>HYPERLINK("https://creighton-primo.hosted.exlibrisgroup.com/primo-explore/search?tab=default_tab&amp;search_scope=EVERYTHING&amp;vid=01CRU&amp;lang=en_US&amp;offset=0&amp;query=any,contains,991004115339702656","Catalog Record")</f>
        <v>Catalog Record</v>
      </c>
      <c r="AT293" s="6" t="str">
        <f>HYPERLINK("http://www.worldcat.org/oclc/2410683","WorldCat Record")</f>
        <v>WorldCat Record</v>
      </c>
      <c r="AU293" s="3" t="s">
        <v>3918</v>
      </c>
      <c r="AV293" s="3" t="s">
        <v>3919</v>
      </c>
      <c r="AW293" s="3" t="s">
        <v>3920</v>
      </c>
      <c r="AX293" s="3" t="s">
        <v>3920</v>
      </c>
      <c r="AY293" s="3" t="s">
        <v>3921</v>
      </c>
      <c r="AZ293" s="3" t="s">
        <v>74</v>
      </c>
      <c r="BC293" s="3" t="s">
        <v>3922</v>
      </c>
      <c r="BD293" s="3" t="s">
        <v>3923</v>
      </c>
    </row>
    <row r="294" spans="1:56" ht="42.75" customHeight="1" x14ac:dyDescent="0.25">
      <c r="A294" s="7" t="s">
        <v>58</v>
      </c>
      <c r="B294" s="2" t="s">
        <v>3924</v>
      </c>
      <c r="C294" s="2" t="s">
        <v>3925</v>
      </c>
      <c r="D294" s="2" t="s">
        <v>3926</v>
      </c>
      <c r="F294" s="3" t="s">
        <v>58</v>
      </c>
      <c r="G294" s="3" t="s">
        <v>59</v>
      </c>
      <c r="H294" s="3" t="s">
        <v>58</v>
      </c>
      <c r="I294" s="3" t="s">
        <v>58</v>
      </c>
      <c r="J294" s="3" t="s">
        <v>60</v>
      </c>
      <c r="K294" s="2" t="s">
        <v>3927</v>
      </c>
      <c r="L294" s="2" t="s">
        <v>3928</v>
      </c>
      <c r="M294" s="3" t="s">
        <v>1448</v>
      </c>
      <c r="O294" s="3" t="s">
        <v>64</v>
      </c>
      <c r="P294" s="3" t="s">
        <v>3929</v>
      </c>
      <c r="Q294" s="2" t="s">
        <v>3930</v>
      </c>
      <c r="R294" s="3" t="s">
        <v>67</v>
      </c>
      <c r="S294" s="4">
        <v>1</v>
      </c>
      <c r="T294" s="4">
        <v>1</v>
      </c>
      <c r="U294" s="5" t="s">
        <v>3931</v>
      </c>
      <c r="V294" s="5" t="s">
        <v>3931</v>
      </c>
      <c r="W294" s="5" t="s">
        <v>3931</v>
      </c>
      <c r="X294" s="5" t="s">
        <v>3931</v>
      </c>
      <c r="Y294" s="4">
        <v>107</v>
      </c>
      <c r="Z294" s="4">
        <v>81</v>
      </c>
      <c r="AA294" s="4">
        <v>84</v>
      </c>
      <c r="AB294" s="4">
        <v>1</v>
      </c>
      <c r="AC294" s="4">
        <v>1</v>
      </c>
      <c r="AD294" s="4">
        <v>6</v>
      </c>
      <c r="AE294" s="4">
        <v>6</v>
      </c>
      <c r="AF294" s="4">
        <v>1</v>
      </c>
      <c r="AG294" s="4">
        <v>1</v>
      </c>
      <c r="AH294" s="4">
        <v>3</v>
      </c>
      <c r="AI294" s="4">
        <v>3</v>
      </c>
      <c r="AJ294" s="4">
        <v>4</v>
      </c>
      <c r="AK294" s="4">
        <v>4</v>
      </c>
      <c r="AL294" s="4">
        <v>0</v>
      </c>
      <c r="AM294" s="4">
        <v>0</v>
      </c>
      <c r="AN294" s="4">
        <v>0</v>
      </c>
      <c r="AO294" s="4">
        <v>0</v>
      </c>
      <c r="AP294" s="3" t="s">
        <v>58</v>
      </c>
      <c r="AQ294" s="3" t="s">
        <v>58</v>
      </c>
      <c r="AS294" s="6" t="str">
        <f>HYPERLINK("https://creighton-primo.hosted.exlibrisgroup.com/primo-explore/search?tab=default_tab&amp;search_scope=EVERYTHING&amp;vid=01CRU&amp;lang=en_US&amp;offset=0&amp;query=any,contains,991005388359702656","Catalog Record")</f>
        <v>Catalog Record</v>
      </c>
      <c r="AT294" s="6" t="str">
        <f>HYPERLINK("http://www.worldcat.org/oclc/631201134","WorldCat Record")</f>
        <v>WorldCat Record</v>
      </c>
      <c r="AU294" s="3" t="s">
        <v>3932</v>
      </c>
      <c r="AV294" s="3" t="s">
        <v>3933</v>
      </c>
      <c r="AW294" s="3" t="s">
        <v>3934</v>
      </c>
      <c r="AX294" s="3" t="s">
        <v>3934</v>
      </c>
      <c r="AY294" s="3" t="s">
        <v>3935</v>
      </c>
      <c r="AZ294" s="3" t="s">
        <v>74</v>
      </c>
      <c r="BB294" s="3" t="s">
        <v>3936</v>
      </c>
      <c r="BC294" s="3" t="s">
        <v>3937</v>
      </c>
      <c r="BD294" s="3" t="s">
        <v>3938</v>
      </c>
    </row>
    <row r="295" spans="1:56" ht="42.75" customHeight="1" x14ac:dyDescent="0.25">
      <c r="A295" s="7" t="s">
        <v>58</v>
      </c>
      <c r="B295" s="2" t="s">
        <v>3939</v>
      </c>
      <c r="C295" s="2" t="s">
        <v>3940</v>
      </c>
      <c r="D295" s="2" t="s">
        <v>3941</v>
      </c>
      <c r="F295" s="3" t="s">
        <v>58</v>
      </c>
      <c r="G295" s="3" t="s">
        <v>59</v>
      </c>
      <c r="H295" s="3" t="s">
        <v>58</v>
      </c>
      <c r="I295" s="3" t="s">
        <v>58</v>
      </c>
      <c r="J295" s="3" t="s">
        <v>60</v>
      </c>
      <c r="K295" s="2" t="s">
        <v>3942</v>
      </c>
      <c r="L295" s="2" t="s">
        <v>3943</v>
      </c>
      <c r="M295" s="3" t="s">
        <v>695</v>
      </c>
      <c r="O295" s="3" t="s">
        <v>64</v>
      </c>
      <c r="P295" s="3" t="s">
        <v>115</v>
      </c>
      <c r="Q295" s="2" t="s">
        <v>3944</v>
      </c>
      <c r="R295" s="3" t="s">
        <v>67</v>
      </c>
      <c r="S295" s="4">
        <v>3</v>
      </c>
      <c r="T295" s="4">
        <v>3</v>
      </c>
      <c r="U295" s="5" t="s">
        <v>3945</v>
      </c>
      <c r="V295" s="5" t="s">
        <v>3945</v>
      </c>
      <c r="W295" s="5" t="s">
        <v>3946</v>
      </c>
      <c r="X295" s="5" t="s">
        <v>3946</v>
      </c>
      <c r="Y295" s="4">
        <v>817</v>
      </c>
      <c r="Z295" s="4">
        <v>704</v>
      </c>
      <c r="AA295" s="4">
        <v>848</v>
      </c>
      <c r="AB295" s="4">
        <v>4</v>
      </c>
      <c r="AC295" s="4">
        <v>4</v>
      </c>
      <c r="AD295" s="4">
        <v>22</v>
      </c>
      <c r="AE295" s="4">
        <v>25</v>
      </c>
      <c r="AF295" s="4">
        <v>9</v>
      </c>
      <c r="AG295" s="4">
        <v>10</v>
      </c>
      <c r="AH295" s="4">
        <v>1</v>
      </c>
      <c r="AI295" s="4">
        <v>2</v>
      </c>
      <c r="AJ295" s="4">
        <v>15</v>
      </c>
      <c r="AK295" s="4">
        <v>17</v>
      </c>
      <c r="AL295" s="4">
        <v>2</v>
      </c>
      <c r="AM295" s="4">
        <v>2</v>
      </c>
      <c r="AN295" s="4">
        <v>0</v>
      </c>
      <c r="AO295" s="4">
        <v>0</v>
      </c>
      <c r="AP295" s="3" t="s">
        <v>58</v>
      </c>
      <c r="AQ295" s="3" t="s">
        <v>58</v>
      </c>
      <c r="AS295" s="6" t="str">
        <f>HYPERLINK("https://creighton-primo.hosted.exlibrisgroup.com/primo-explore/search?tab=default_tab&amp;search_scope=EVERYTHING&amp;vid=01CRU&amp;lang=en_US&amp;offset=0&amp;query=any,contains,991002092349702656","Catalog Record")</f>
        <v>Catalog Record</v>
      </c>
      <c r="AT295" s="6" t="str">
        <f>HYPERLINK("http://www.worldcat.org/oclc/26852515","WorldCat Record")</f>
        <v>WorldCat Record</v>
      </c>
      <c r="AU295" s="3" t="s">
        <v>3947</v>
      </c>
      <c r="AV295" s="3" t="s">
        <v>3948</v>
      </c>
      <c r="AW295" s="3" t="s">
        <v>3949</v>
      </c>
      <c r="AX295" s="3" t="s">
        <v>3949</v>
      </c>
      <c r="AY295" s="3" t="s">
        <v>3950</v>
      </c>
      <c r="AZ295" s="3" t="s">
        <v>74</v>
      </c>
      <c r="BB295" s="3" t="s">
        <v>3951</v>
      </c>
      <c r="BC295" s="3" t="s">
        <v>3952</v>
      </c>
      <c r="BD295" s="3" t="s">
        <v>3953</v>
      </c>
    </row>
    <row r="296" spans="1:56" ht="42.75" customHeight="1" x14ac:dyDescent="0.25">
      <c r="A296" s="7" t="s">
        <v>58</v>
      </c>
      <c r="B296" s="2" t="s">
        <v>3954</v>
      </c>
      <c r="C296" s="2" t="s">
        <v>3955</v>
      </c>
      <c r="D296" s="2" t="s">
        <v>3956</v>
      </c>
      <c r="F296" s="3" t="s">
        <v>58</v>
      </c>
      <c r="G296" s="3" t="s">
        <v>59</v>
      </c>
      <c r="H296" s="3" t="s">
        <v>58</v>
      </c>
      <c r="I296" s="3" t="s">
        <v>58</v>
      </c>
      <c r="J296" s="3" t="s">
        <v>60</v>
      </c>
      <c r="L296" s="2" t="s">
        <v>3957</v>
      </c>
      <c r="M296" s="3" t="s">
        <v>144</v>
      </c>
      <c r="O296" s="3" t="s">
        <v>64</v>
      </c>
      <c r="P296" s="3" t="s">
        <v>115</v>
      </c>
      <c r="R296" s="3" t="s">
        <v>67</v>
      </c>
      <c r="S296" s="4">
        <v>1</v>
      </c>
      <c r="T296" s="4">
        <v>1</v>
      </c>
      <c r="U296" s="5" t="s">
        <v>3958</v>
      </c>
      <c r="V296" s="5" t="s">
        <v>3958</v>
      </c>
      <c r="W296" s="5" t="s">
        <v>3959</v>
      </c>
      <c r="X296" s="5" t="s">
        <v>3959</v>
      </c>
      <c r="Y296" s="4">
        <v>256</v>
      </c>
      <c r="Z296" s="4">
        <v>182</v>
      </c>
      <c r="AA296" s="4">
        <v>245</v>
      </c>
      <c r="AB296" s="4">
        <v>1</v>
      </c>
      <c r="AC296" s="4">
        <v>1</v>
      </c>
      <c r="AD296" s="4">
        <v>9</v>
      </c>
      <c r="AE296" s="4">
        <v>13</v>
      </c>
      <c r="AF296" s="4">
        <v>1</v>
      </c>
      <c r="AG296" s="4">
        <v>2</v>
      </c>
      <c r="AH296" s="4">
        <v>4</v>
      </c>
      <c r="AI296" s="4">
        <v>4</v>
      </c>
      <c r="AJ296" s="4">
        <v>8</v>
      </c>
      <c r="AK296" s="4">
        <v>11</v>
      </c>
      <c r="AL296" s="4">
        <v>0</v>
      </c>
      <c r="AM296" s="4">
        <v>0</v>
      </c>
      <c r="AN296" s="4">
        <v>0</v>
      </c>
      <c r="AO296" s="4">
        <v>0</v>
      </c>
      <c r="AP296" s="3" t="s">
        <v>58</v>
      </c>
      <c r="AQ296" s="3" t="s">
        <v>86</v>
      </c>
      <c r="AR296" s="6" t="str">
        <f>HYPERLINK("http://catalog.hathitrust.org/Record/003092774","HathiTrust Record")</f>
        <v>HathiTrust Record</v>
      </c>
      <c r="AS296" s="6" t="str">
        <f>HYPERLINK("https://creighton-primo.hosted.exlibrisgroup.com/primo-explore/search?tab=default_tab&amp;search_scope=EVERYTHING&amp;vid=01CRU&amp;lang=en_US&amp;offset=0&amp;query=any,contains,991002571199702656","Catalog Record")</f>
        <v>Catalog Record</v>
      </c>
      <c r="AT296" s="6" t="str">
        <f>HYPERLINK("http://www.worldcat.org/oclc/33407943","WorldCat Record")</f>
        <v>WorldCat Record</v>
      </c>
      <c r="AU296" s="3" t="s">
        <v>3960</v>
      </c>
      <c r="AV296" s="3" t="s">
        <v>3961</v>
      </c>
      <c r="AW296" s="3" t="s">
        <v>3962</v>
      </c>
      <c r="AX296" s="3" t="s">
        <v>3962</v>
      </c>
      <c r="AY296" s="3" t="s">
        <v>3963</v>
      </c>
      <c r="AZ296" s="3" t="s">
        <v>74</v>
      </c>
      <c r="BB296" s="3" t="s">
        <v>3964</v>
      </c>
      <c r="BC296" s="3" t="s">
        <v>3965</v>
      </c>
      <c r="BD296" s="3" t="s">
        <v>3966</v>
      </c>
    </row>
    <row r="297" spans="1:56" ht="42.75" customHeight="1" x14ac:dyDescent="0.25">
      <c r="A297" s="7" t="s">
        <v>58</v>
      </c>
      <c r="B297" s="2" t="s">
        <v>3967</v>
      </c>
      <c r="C297" s="2" t="s">
        <v>3968</v>
      </c>
      <c r="D297" s="2" t="s">
        <v>3969</v>
      </c>
      <c r="F297" s="3" t="s">
        <v>58</v>
      </c>
      <c r="G297" s="3" t="s">
        <v>59</v>
      </c>
      <c r="H297" s="3" t="s">
        <v>58</v>
      </c>
      <c r="I297" s="3" t="s">
        <v>58</v>
      </c>
      <c r="J297" s="3" t="s">
        <v>60</v>
      </c>
      <c r="K297" s="2" t="s">
        <v>3970</v>
      </c>
      <c r="L297" s="2" t="s">
        <v>3971</v>
      </c>
      <c r="M297" s="3" t="s">
        <v>805</v>
      </c>
      <c r="O297" s="3" t="s">
        <v>64</v>
      </c>
      <c r="P297" s="3" t="s">
        <v>208</v>
      </c>
      <c r="R297" s="3" t="s">
        <v>67</v>
      </c>
      <c r="S297" s="4">
        <v>3</v>
      </c>
      <c r="T297" s="4">
        <v>3</v>
      </c>
      <c r="U297" s="5" t="s">
        <v>3972</v>
      </c>
      <c r="V297" s="5" t="s">
        <v>3972</v>
      </c>
      <c r="W297" s="5" t="s">
        <v>3973</v>
      </c>
      <c r="X297" s="5" t="s">
        <v>3973</v>
      </c>
      <c r="Y297" s="4">
        <v>288</v>
      </c>
      <c r="Z297" s="4">
        <v>201</v>
      </c>
      <c r="AA297" s="4">
        <v>208</v>
      </c>
      <c r="AB297" s="4">
        <v>1</v>
      </c>
      <c r="AC297" s="4">
        <v>1</v>
      </c>
      <c r="AD297" s="4">
        <v>12</v>
      </c>
      <c r="AE297" s="4">
        <v>12</v>
      </c>
      <c r="AF297" s="4">
        <v>6</v>
      </c>
      <c r="AG297" s="4">
        <v>6</v>
      </c>
      <c r="AH297" s="4">
        <v>4</v>
      </c>
      <c r="AI297" s="4">
        <v>4</v>
      </c>
      <c r="AJ297" s="4">
        <v>7</v>
      </c>
      <c r="AK297" s="4">
        <v>7</v>
      </c>
      <c r="AL297" s="4">
        <v>0</v>
      </c>
      <c r="AM297" s="4">
        <v>0</v>
      </c>
      <c r="AN297" s="4">
        <v>0</v>
      </c>
      <c r="AO297" s="4">
        <v>0</v>
      </c>
      <c r="AP297" s="3" t="s">
        <v>58</v>
      </c>
      <c r="AQ297" s="3" t="s">
        <v>58</v>
      </c>
      <c r="AS297" s="6" t="str">
        <f>HYPERLINK("https://creighton-primo.hosted.exlibrisgroup.com/primo-explore/search?tab=default_tab&amp;search_scope=EVERYTHING&amp;vid=01CRU&amp;lang=en_US&amp;offset=0&amp;query=any,contains,991002449959702656","Catalog Record")</f>
        <v>Catalog Record</v>
      </c>
      <c r="AT297" s="6" t="str">
        <f>HYPERLINK("http://www.worldcat.org/oclc/31940329","WorldCat Record")</f>
        <v>WorldCat Record</v>
      </c>
      <c r="AU297" s="3" t="s">
        <v>3974</v>
      </c>
      <c r="AV297" s="3" t="s">
        <v>3975</v>
      </c>
      <c r="AW297" s="3" t="s">
        <v>3976</v>
      </c>
      <c r="AX297" s="3" t="s">
        <v>3976</v>
      </c>
      <c r="AY297" s="3" t="s">
        <v>3977</v>
      </c>
      <c r="AZ297" s="3" t="s">
        <v>74</v>
      </c>
      <c r="BB297" s="3" t="s">
        <v>3978</v>
      </c>
      <c r="BC297" s="3" t="s">
        <v>3979</v>
      </c>
      <c r="BD297" s="3" t="s">
        <v>3980</v>
      </c>
    </row>
    <row r="298" spans="1:56" ht="42.75" customHeight="1" x14ac:dyDescent="0.25">
      <c r="A298" s="7" t="s">
        <v>58</v>
      </c>
      <c r="B298" s="2" t="s">
        <v>3981</v>
      </c>
      <c r="C298" s="2" t="s">
        <v>3982</v>
      </c>
      <c r="D298" s="2" t="s">
        <v>3983</v>
      </c>
      <c r="F298" s="3" t="s">
        <v>58</v>
      </c>
      <c r="G298" s="3" t="s">
        <v>59</v>
      </c>
      <c r="H298" s="3" t="s">
        <v>58</v>
      </c>
      <c r="I298" s="3" t="s">
        <v>58</v>
      </c>
      <c r="J298" s="3" t="s">
        <v>60</v>
      </c>
      <c r="L298" s="2" t="s">
        <v>3984</v>
      </c>
      <c r="M298" s="3" t="s">
        <v>207</v>
      </c>
      <c r="O298" s="3" t="s">
        <v>64</v>
      </c>
      <c r="P298" s="3" t="s">
        <v>115</v>
      </c>
      <c r="Q298" s="2" t="s">
        <v>3985</v>
      </c>
      <c r="R298" s="3" t="s">
        <v>67</v>
      </c>
      <c r="S298" s="4">
        <v>4</v>
      </c>
      <c r="T298" s="4">
        <v>4</v>
      </c>
      <c r="U298" s="5" t="s">
        <v>3986</v>
      </c>
      <c r="V298" s="5" t="s">
        <v>3986</v>
      </c>
      <c r="W298" s="5" t="s">
        <v>3528</v>
      </c>
      <c r="X298" s="5" t="s">
        <v>3528</v>
      </c>
      <c r="Y298" s="4">
        <v>562</v>
      </c>
      <c r="Z298" s="4">
        <v>496</v>
      </c>
      <c r="AA298" s="4">
        <v>576</v>
      </c>
      <c r="AB298" s="4">
        <v>4</v>
      </c>
      <c r="AC298" s="4">
        <v>4</v>
      </c>
      <c r="AD298" s="4">
        <v>24</v>
      </c>
      <c r="AE298" s="4">
        <v>24</v>
      </c>
      <c r="AF298" s="4">
        <v>10</v>
      </c>
      <c r="AG298" s="4">
        <v>10</v>
      </c>
      <c r="AH298" s="4">
        <v>5</v>
      </c>
      <c r="AI298" s="4">
        <v>5</v>
      </c>
      <c r="AJ298" s="4">
        <v>13</v>
      </c>
      <c r="AK298" s="4">
        <v>13</v>
      </c>
      <c r="AL298" s="4">
        <v>2</v>
      </c>
      <c r="AM298" s="4">
        <v>2</v>
      </c>
      <c r="AN298" s="4">
        <v>0</v>
      </c>
      <c r="AO298" s="4">
        <v>0</v>
      </c>
      <c r="AP298" s="3" t="s">
        <v>58</v>
      </c>
      <c r="AQ298" s="3" t="s">
        <v>86</v>
      </c>
      <c r="AR298" s="6" t="str">
        <f>HYPERLINK("http://catalog.hathitrust.org/Record/000698104","HathiTrust Record")</f>
        <v>HathiTrust Record</v>
      </c>
      <c r="AS298" s="6" t="str">
        <f>HYPERLINK("https://creighton-primo.hosted.exlibrisgroup.com/primo-explore/search?tab=default_tab&amp;search_scope=EVERYTHING&amp;vid=01CRU&amp;lang=en_US&amp;offset=0&amp;query=any,contains,991004969059702656","Catalog Record")</f>
        <v>Catalog Record</v>
      </c>
      <c r="AT298" s="6" t="str">
        <f>HYPERLINK("http://www.worldcat.org/oclc/6356101","WorldCat Record")</f>
        <v>WorldCat Record</v>
      </c>
      <c r="AU298" s="3" t="s">
        <v>3987</v>
      </c>
      <c r="AV298" s="3" t="s">
        <v>3988</v>
      </c>
      <c r="AW298" s="3" t="s">
        <v>3989</v>
      </c>
      <c r="AX298" s="3" t="s">
        <v>3989</v>
      </c>
      <c r="AY298" s="3" t="s">
        <v>3990</v>
      </c>
      <c r="AZ298" s="3" t="s">
        <v>74</v>
      </c>
      <c r="BB298" s="3" t="s">
        <v>3991</v>
      </c>
      <c r="BC298" s="3" t="s">
        <v>3992</v>
      </c>
      <c r="BD298" s="3" t="s">
        <v>3993</v>
      </c>
    </row>
    <row r="299" spans="1:56" ht="42.75" customHeight="1" x14ac:dyDescent="0.25">
      <c r="A299" s="7" t="s">
        <v>58</v>
      </c>
      <c r="B299" s="2" t="s">
        <v>3994</v>
      </c>
      <c r="C299" s="2" t="s">
        <v>3995</v>
      </c>
      <c r="D299" s="2" t="s">
        <v>3996</v>
      </c>
      <c r="F299" s="3" t="s">
        <v>58</v>
      </c>
      <c r="G299" s="3" t="s">
        <v>59</v>
      </c>
      <c r="H299" s="3" t="s">
        <v>58</v>
      </c>
      <c r="I299" s="3" t="s">
        <v>58</v>
      </c>
      <c r="J299" s="3" t="s">
        <v>60</v>
      </c>
      <c r="K299" s="2" t="s">
        <v>3997</v>
      </c>
      <c r="L299" s="2" t="s">
        <v>3998</v>
      </c>
      <c r="M299" s="3" t="s">
        <v>534</v>
      </c>
      <c r="O299" s="3" t="s">
        <v>64</v>
      </c>
      <c r="P299" s="3" t="s">
        <v>115</v>
      </c>
      <c r="Q299" s="2" t="s">
        <v>3999</v>
      </c>
      <c r="R299" s="3" t="s">
        <v>67</v>
      </c>
      <c r="S299" s="4">
        <v>1</v>
      </c>
      <c r="T299" s="4">
        <v>1</v>
      </c>
      <c r="U299" s="5" t="s">
        <v>3958</v>
      </c>
      <c r="V299" s="5" t="s">
        <v>3958</v>
      </c>
      <c r="W299" s="5" t="s">
        <v>4000</v>
      </c>
      <c r="X299" s="5" t="s">
        <v>4000</v>
      </c>
      <c r="Y299" s="4">
        <v>303</v>
      </c>
      <c r="Z299" s="4">
        <v>211</v>
      </c>
      <c r="AA299" s="4">
        <v>225</v>
      </c>
      <c r="AB299" s="4">
        <v>2</v>
      </c>
      <c r="AC299" s="4">
        <v>2</v>
      </c>
      <c r="AD299" s="4">
        <v>9</v>
      </c>
      <c r="AE299" s="4">
        <v>9</v>
      </c>
      <c r="AF299" s="4">
        <v>1</v>
      </c>
      <c r="AG299" s="4">
        <v>1</v>
      </c>
      <c r="AH299" s="4">
        <v>3</v>
      </c>
      <c r="AI299" s="4">
        <v>3</v>
      </c>
      <c r="AJ299" s="4">
        <v>7</v>
      </c>
      <c r="AK299" s="4">
        <v>7</v>
      </c>
      <c r="AL299" s="4">
        <v>1</v>
      </c>
      <c r="AM299" s="4">
        <v>1</v>
      </c>
      <c r="AN299" s="4">
        <v>0</v>
      </c>
      <c r="AO299" s="4">
        <v>0</v>
      </c>
      <c r="AP299" s="3" t="s">
        <v>58</v>
      </c>
      <c r="AQ299" s="3" t="s">
        <v>58</v>
      </c>
      <c r="AS299" s="6" t="str">
        <f>HYPERLINK("https://creighton-primo.hosted.exlibrisgroup.com/primo-explore/search?tab=default_tab&amp;search_scope=EVERYTHING&amp;vid=01CRU&amp;lang=en_US&amp;offset=0&amp;query=any,contains,991001542099702656","Catalog Record")</f>
        <v>Catalog Record</v>
      </c>
      <c r="AT299" s="6" t="str">
        <f>HYPERLINK("http://www.worldcat.org/oclc/20132063","WorldCat Record")</f>
        <v>WorldCat Record</v>
      </c>
      <c r="AU299" s="3" t="s">
        <v>4001</v>
      </c>
      <c r="AV299" s="3" t="s">
        <v>4002</v>
      </c>
      <c r="AW299" s="3" t="s">
        <v>4003</v>
      </c>
      <c r="AX299" s="3" t="s">
        <v>4003</v>
      </c>
      <c r="AY299" s="3" t="s">
        <v>4004</v>
      </c>
      <c r="AZ299" s="3" t="s">
        <v>74</v>
      </c>
      <c r="BB299" s="3" t="s">
        <v>4005</v>
      </c>
      <c r="BC299" s="3" t="s">
        <v>4006</v>
      </c>
      <c r="BD299" s="3" t="s">
        <v>4007</v>
      </c>
    </row>
    <row r="300" spans="1:56" ht="42.75" customHeight="1" x14ac:dyDescent="0.25">
      <c r="A300" s="7" t="s">
        <v>58</v>
      </c>
      <c r="B300" s="2" t="s">
        <v>4008</v>
      </c>
      <c r="C300" s="2" t="s">
        <v>4009</v>
      </c>
      <c r="D300" s="2" t="s">
        <v>4010</v>
      </c>
      <c r="F300" s="3" t="s">
        <v>58</v>
      </c>
      <c r="G300" s="3" t="s">
        <v>59</v>
      </c>
      <c r="H300" s="3" t="s">
        <v>58</v>
      </c>
      <c r="I300" s="3" t="s">
        <v>58</v>
      </c>
      <c r="J300" s="3" t="s">
        <v>60</v>
      </c>
      <c r="K300" s="2" t="s">
        <v>4011</v>
      </c>
      <c r="L300" s="2" t="s">
        <v>4012</v>
      </c>
      <c r="M300" s="3" t="s">
        <v>4013</v>
      </c>
      <c r="O300" s="3" t="s">
        <v>64</v>
      </c>
      <c r="P300" s="3" t="s">
        <v>115</v>
      </c>
      <c r="R300" s="3" t="s">
        <v>67</v>
      </c>
      <c r="S300" s="4">
        <v>1</v>
      </c>
      <c r="T300" s="4">
        <v>1</v>
      </c>
      <c r="U300" s="5" t="s">
        <v>4014</v>
      </c>
      <c r="V300" s="5" t="s">
        <v>4014</v>
      </c>
      <c r="W300" s="5" t="s">
        <v>3917</v>
      </c>
      <c r="X300" s="5" t="s">
        <v>3917</v>
      </c>
      <c r="Y300" s="4">
        <v>514</v>
      </c>
      <c r="Z300" s="4">
        <v>436</v>
      </c>
      <c r="AA300" s="4">
        <v>812</v>
      </c>
      <c r="AB300" s="4">
        <v>8</v>
      </c>
      <c r="AC300" s="4">
        <v>9</v>
      </c>
      <c r="AD300" s="4">
        <v>29</v>
      </c>
      <c r="AE300" s="4">
        <v>40</v>
      </c>
      <c r="AF300" s="4">
        <v>15</v>
      </c>
      <c r="AG300" s="4">
        <v>20</v>
      </c>
      <c r="AH300" s="4">
        <v>4</v>
      </c>
      <c r="AI300" s="4">
        <v>6</v>
      </c>
      <c r="AJ300" s="4">
        <v>13</v>
      </c>
      <c r="AK300" s="4">
        <v>18</v>
      </c>
      <c r="AL300" s="4">
        <v>6</v>
      </c>
      <c r="AM300" s="4">
        <v>7</v>
      </c>
      <c r="AN300" s="4">
        <v>0</v>
      </c>
      <c r="AO300" s="4">
        <v>0</v>
      </c>
      <c r="AP300" s="3" t="s">
        <v>58</v>
      </c>
      <c r="AQ300" s="3" t="s">
        <v>86</v>
      </c>
      <c r="AR300" s="6" t="str">
        <f>HYPERLINK("http://catalog.hathitrust.org/Record/000657469","HathiTrust Record")</f>
        <v>HathiTrust Record</v>
      </c>
      <c r="AS300" s="6" t="str">
        <f>HYPERLINK("https://creighton-primo.hosted.exlibrisgroup.com/primo-explore/search?tab=default_tab&amp;search_scope=EVERYTHING&amp;vid=01CRU&amp;lang=en_US&amp;offset=0&amp;query=any,contains,991005007439702656","Catalog Record")</f>
        <v>Catalog Record</v>
      </c>
      <c r="AT300" s="6" t="str">
        <f>HYPERLINK("http://www.worldcat.org/oclc/6580141","WorldCat Record")</f>
        <v>WorldCat Record</v>
      </c>
      <c r="AU300" s="3" t="s">
        <v>4015</v>
      </c>
      <c r="AV300" s="3" t="s">
        <v>4016</v>
      </c>
      <c r="AW300" s="3" t="s">
        <v>4017</v>
      </c>
      <c r="AX300" s="3" t="s">
        <v>4017</v>
      </c>
      <c r="AY300" s="3" t="s">
        <v>4018</v>
      </c>
      <c r="AZ300" s="3" t="s">
        <v>74</v>
      </c>
      <c r="BC300" s="3" t="s">
        <v>4019</v>
      </c>
      <c r="BD300" s="3" t="s">
        <v>4020</v>
      </c>
    </row>
    <row r="301" spans="1:56" ht="42.75" customHeight="1" x14ac:dyDescent="0.25">
      <c r="A301" s="7" t="s">
        <v>58</v>
      </c>
      <c r="B301" s="2" t="s">
        <v>4021</v>
      </c>
      <c r="C301" s="2" t="s">
        <v>4022</v>
      </c>
      <c r="D301" s="2" t="s">
        <v>4023</v>
      </c>
      <c r="F301" s="3" t="s">
        <v>58</v>
      </c>
      <c r="G301" s="3" t="s">
        <v>59</v>
      </c>
      <c r="H301" s="3" t="s">
        <v>58</v>
      </c>
      <c r="I301" s="3" t="s">
        <v>58</v>
      </c>
      <c r="J301" s="3" t="s">
        <v>60</v>
      </c>
      <c r="K301" s="2" t="s">
        <v>4024</v>
      </c>
      <c r="L301" s="2" t="s">
        <v>4025</v>
      </c>
      <c r="M301" s="3" t="s">
        <v>4026</v>
      </c>
      <c r="N301" s="2" t="s">
        <v>4027</v>
      </c>
      <c r="O301" s="3" t="s">
        <v>64</v>
      </c>
      <c r="P301" s="3" t="s">
        <v>2609</v>
      </c>
      <c r="R301" s="3" t="s">
        <v>67</v>
      </c>
      <c r="S301" s="4">
        <v>5</v>
      </c>
      <c r="T301" s="4">
        <v>5</v>
      </c>
      <c r="U301" s="5" t="s">
        <v>4028</v>
      </c>
      <c r="V301" s="5" t="s">
        <v>4028</v>
      </c>
      <c r="W301" s="5" t="s">
        <v>3917</v>
      </c>
      <c r="X301" s="5" t="s">
        <v>3917</v>
      </c>
      <c r="Y301" s="4">
        <v>57</v>
      </c>
      <c r="Z301" s="4">
        <v>47</v>
      </c>
      <c r="AA301" s="4">
        <v>164</v>
      </c>
      <c r="AB301" s="4">
        <v>1</v>
      </c>
      <c r="AC301" s="4">
        <v>2</v>
      </c>
      <c r="AD301" s="4">
        <v>2</v>
      </c>
      <c r="AE301" s="4">
        <v>9</v>
      </c>
      <c r="AF301" s="4">
        <v>1</v>
      </c>
      <c r="AG301" s="4">
        <v>3</v>
      </c>
      <c r="AH301" s="4">
        <v>1</v>
      </c>
      <c r="AI301" s="4">
        <v>1</v>
      </c>
      <c r="AJ301" s="4">
        <v>1</v>
      </c>
      <c r="AK301" s="4">
        <v>5</v>
      </c>
      <c r="AL301" s="4">
        <v>0</v>
      </c>
      <c r="AM301" s="4">
        <v>1</v>
      </c>
      <c r="AN301" s="4">
        <v>0</v>
      </c>
      <c r="AO301" s="4">
        <v>0</v>
      </c>
      <c r="AP301" s="3" t="s">
        <v>58</v>
      </c>
      <c r="AQ301" s="3" t="s">
        <v>58</v>
      </c>
      <c r="AR301" s="6" t="str">
        <f>HYPERLINK("http://catalog.hathitrust.org/Record/006196123","HathiTrust Record")</f>
        <v>HathiTrust Record</v>
      </c>
      <c r="AS301" s="6" t="str">
        <f>HYPERLINK("https://creighton-primo.hosted.exlibrisgroup.com/primo-explore/search?tab=default_tab&amp;search_scope=EVERYTHING&amp;vid=01CRU&amp;lang=en_US&amp;offset=0&amp;query=any,contains,991004732939702656","Catalog Record")</f>
        <v>Catalog Record</v>
      </c>
      <c r="AT301" s="6" t="str">
        <f>HYPERLINK("http://www.worldcat.org/oclc/4837167","WorldCat Record")</f>
        <v>WorldCat Record</v>
      </c>
      <c r="AU301" s="3" t="s">
        <v>4029</v>
      </c>
      <c r="AV301" s="3" t="s">
        <v>4030</v>
      </c>
      <c r="AW301" s="3" t="s">
        <v>4031</v>
      </c>
      <c r="AX301" s="3" t="s">
        <v>4031</v>
      </c>
      <c r="AY301" s="3" t="s">
        <v>4032</v>
      </c>
      <c r="AZ301" s="3" t="s">
        <v>74</v>
      </c>
      <c r="BC301" s="3" t="s">
        <v>4033</v>
      </c>
      <c r="BD301" s="3" t="s">
        <v>4034</v>
      </c>
    </row>
    <row r="302" spans="1:56" ht="42.75" customHeight="1" x14ac:dyDescent="0.25">
      <c r="A302" s="7" t="s">
        <v>58</v>
      </c>
      <c r="B302" s="2" t="s">
        <v>4035</v>
      </c>
      <c r="C302" s="2" t="s">
        <v>4036</v>
      </c>
      <c r="D302" s="2" t="s">
        <v>4037</v>
      </c>
      <c r="F302" s="3" t="s">
        <v>58</v>
      </c>
      <c r="G302" s="3" t="s">
        <v>59</v>
      </c>
      <c r="H302" s="3" t="s">
        <v>58</v>
      </c>
      <c r="I302" s="3" t="s">
        <v>58</v>
      </c>
      <c r="J302" s="3" t="s">
        <v>60</v>
      </c>
      <c r="L302" s="2" t="s">
        <v>4038</v>
      </c>
      <c r="M302" s="3" t="s">
        <v>1035</v>
      </c>
      <c r="O302" s="3" t="s">
        <v>64</v>
      </c>
      <c r="P302" s="3" t="s">
        <v>316</v>
      </c>
      <c r="Q302" s="2" t="s">
        <v>4039</v>
      </c>
      <c r="R302" s="3" t="s">
        <v>67</v>
      </c>
      <c r="S302" s="4">
        <v>2</v>
      </c>
      <c r="T302" s="4">
        <v>2</v>
      </c>
      <c r="U302" s="5" t="s">
        <v>4040</v>
      </c>
      <c r="V302" s="5" t="s">
        <v>4040</v>
      </c>
      <c r="W302" s="5" t="s">
        <v>4041</v>
      </c>
      <c r="X302" s="5" t="s">
        <v>4041</v>
      </c>
      <c r="Y302" s="4">
        <v>209</v>
      </c>
      <c r="Z302" s="4">
        <v>160</v>
      </c>
      <c r="AA302" s="4">
        <v>191</v>
      </c>
      <c r="AB302" s="4">
        <v>1</v>
      </c>
      <c r="AC302" s="4">
        <v>1</v>
      </c>
      <c r="AD302" s="4">
        <v>6</v>
      </c>
      <c r="AE302" s="4">
        <v>7</v>
      </c>
      <c r="AF302" s="4">
        <v>2</v>
      </c>
      <c r="AG302" s="4">
        <v>2</v>
      </c>
      <c r="AH302" s="4">
        <v>2</v>
      </c>
      <c r="AI302" s="4">
        <v>3</v>
      </c>
      <c r="AJ302" s="4">
        <v>6</v>
      </c>
      <c r="AK302" s="4">
        <v>6</v>
      </c>
      <c r="AL302" s="4">
        <v>0</v>
      </c>
      <c r="AM302" s="4">
        <v>0</v>
      </c>
      <c r="AN302" s="4">
        <v>0</v>
      </c>
      <c r="AO302" s="4">
        <v>0</v>
      </c>
      <c r="AP302" s="3" t="s">
        <v>58</v>
      </c>
      <c r="AQ302" s="3" t="s">
        <v>86</v>
      </c>
      <c r="AR302" s="6" t="str">
        <f>HYPERLINK("http://catalog.hathitrust.org/Record/004172879","HathiTrust Record")</f>
        <v>HathiTrust Record</v>
      </c>
      <c r="AS302" s="6" t="str">
        <f>HYPERLINK("https://creighton-primo.hosted.exlibrisgroup.com/primo-explore/search?tab=default_tab&amp;search_scope=EVERYTHING&amp;vid=01CRU&amp;lang=en_US&amp;offset=0&amp;query=any,contains,991003485629702656","Catalog Record")</f>
        <v>Catalog Record</v>
      </c>
      <c r="AT302" s="6" t="str">
        <f>HYPERLINK("http://www.worldcat.org/oclc/46592316","WorldCat Record")</f>
        <v>WorldCat Record</v>
      </c>
      <c r="AU302" s="3" t="s">
        <v>4042</v>
      </c>
      <c r="AV302" s="3" t="s">
        <v>4043</v>
      </c>
      <c r="AW302" s="3" t="s">
        <v>4044</v>
      </c>
      <c r="AX302" s="3" t="s">
        <v>4044</v>
      </c>
      <c r="AY302" s="3" t="s">
        <v>4045</v>
      </c>
      <c r="AZ302" s="3" t="s">
        <v>74</v>
      </c>
      <c r="BB302" s="3" t="s">
        <v>4046</v>
      </c>
      <c r="BC302" s="3" t="s">
        <v>4047</v>
      </c>
      <c r="BD302" s="3" t="s">
        <v>4048</v>
      </c>
    </row>
    <row r="303" spans="1:56" ht="42.75" customHeight="1" x14ac:dyDescent="0.25">
      <c r="A303" s="7" t="s">
        <v>58</v>
      </c>
      <c r="B303" s="2" t="s">
        <v>4049</v>
      </c>
      <c r="C303" s="2" t="s">
        <v>4050</v>
      </c>
      <c r="D303" s="2" t="s">
        <v>4051</v>
      </c>
      <c r="F303" s="3" t="s">
        <v>58</v>
      </c>
      <c r="G303" s="3" t="s">
        <v>59</v>
      </c>
      <c r="H303" s="3" t="s">
        <v>58</v>
      </c>
      <c r="I303" s="3" t="s">
        <v>58</v>
      </c>
      <c r="J303" s="3" t="s">
        <v>60</v>
      </c>
      <c r="K303" s="2" t="s">
        <v>4052</v>
      </c>
      <c r="L303" s="2" t="s">
        <v>4053</v>
      </c>
      <c r="M303" s="3" t="s">
        <v>1141</v>
      </c>
      <c r="O303" s="3" t="s">
        <v>64</v>
      </c>
      <c r="P303" s="3" t="s">
        <v>239</v>
      </c>
      <c r="Q303" s="2" t="s">
        <v>4054</v>
      </c>
      <c r="R303" s="3" t="s">
        <v>67</v>
      </c>
      <c r="S303" s="4">
        <v>1</v>
      </c>
      <c r="T303" s="4">
        <v>1</v>
      </c>
      <c r="U303" s="5" t="s">
        <v>4055</v>
      </c>
      <c r="V303" s="5" t="s">
        <v>4055</v>
      </c>
      <c r="W303" s="5" t="s">
        <v>4055</v>
      </c>
      <c r="X303" s="5" t="s">
        <v>4055</v>
      </c>
      <c r="Y303" s="4">
        <v>156</v>
      </c>
      <c r="Z303" s="4">
        <v>99</v>
      </c>
      <c r="AA303" s="4">
        <v>122</v>
      </c>
      <c r="AB303" s="4">
        <v>1</v>
      </c>
      <c r="AC303" s="4">
        <v>1</v>
      </c>
      <c r="AD303" s="4">
        <v>4</v>
      </c>
      <c r="AE303" s="4">
        <v>6</v>
      </c>
      <c r="AF303" s="4">
        <v>0</v>
      </c>
      <c r="AG303" s="4">
        <v>2</v>
      </c>
      <c r="AH303" s="4">
        <v>2</v>
      </c>
      <c r="AI303" s="4">
        <v>3</v>
      </c>
      <c r="AJ303" s="4">
        <v>4</v>
      </c>
      <c r="AK303" s="4">
        <v>5</v>
      </c>
      <c r="AL303" s="4">
        <v>0</v>
      </c>
      <c r="AM303" s="4">
        <v>0</v>
      </c>
      <c r="AN303" s="4">
        <v>0</v>
      </c>
      <c r="AO303" s="4">
        <v>0</v>
      </c>
      <c r="AP303" s="3" t="s">
        <v>58</v>
      </c>
      <c r="AQ303" s="3" t="s">
        <v>58</v>
      </c>
      <c r="AS303" s="6" t="str">
        <f>HYPERLINK("https://creighton-primo.hosted.exlibrisgroup.com/primo-explore/search?tab=default_tab&amp;search_scope=EVERYTHING&amp;vid=01CRU&amp;lang=en_US&amp;offset=0&amp;query=any,contains,991004668569702656","Catalog Record")</f>
        <v>Catalog Record</v>
      </c>
      <c r="AT303" s="6" t="str">
        <f>HYPERLINK("http://www.worldcat.org/oclc/51764606","WorldCat Record")</f>
        <v>WorldCat Record</v>
      </c>
      <c r="AU303" s="3" t="s">
        <v>4056</v>
      </c>
      <c r="AV303" s="3" t="s">
        <v>4057</v>
      </c>
      <c r="AW303" s="3" t="s">
        <v>4058</v>
      </c>
      <c r="AX303" s="3" t="s">
        <v>4058</v>
      </c>
      <c r="AY303" s="3" t="s">
        <v>4059</v>
      </c>
      <c r="AZ303" s="3" t="s">
        <v>74</v>
      </c>
      <c r="BB303" s="3" t="s">
        <v>4060</v>
      </c>
      <c r="BC303" s="3" t="s">
        <v>4061</v>
      </c>
      <c r="BD303" s="3" t="s">
        <v>4062</v>
      </c>
    </row>
    <row r="304" spans="1:56" ht="42.75" customHeight="1" x14ac:dyDescent="0.25">
      <c r="A304" s="7" t="s">
        <v>58</v>
      </c>
      <c r="B304" s="2" t="s">
        <v>4063</v>
      </c>
      <c r="C304" s="2" t="s">
        <v>4064</v>
      </c>
      <c r="D304" s="2" t="s">
        <v>4065</v>
      </c>
      <c r="F304" s="3" t="s">
        <v>58</v>
      </c>
      <c r="G304" s="3" t="s">
        <v>59</v>
      </c>
      <c r="H304" s="3" t="s">
        <v>58</v>
      </c>
      <c r="I304" s="3" t="s">
        <v>58</v>
      </c>
      <c r="J304" s="3" t="s">
        <v>60</v>
      </c>
      <c r="L304" s="2" t="s">
        <v>4066</v>
      </c>
      <c r="M304" s="3" t="s">
        <v>207</v>
      </c>
      <c r="O304" s="3" t="s">
        <v>64</v>
      </c>
      <c r="P304" s="3" t="s">
        <v>208</v>
      </c>
      <c r="R304" s="3" t="s">
        <v>67</v>
      </c>
      <c r="S304" s="4">
        <v>1</v>
      </c>
      <c r="T304" s="4">
        <v>1</v>
      </c>
      <c r="U304" s="5" t="s">
        <v>4067</v>
      </c>
      <c r="V304" s="5" t="s">
        <v>4067</v>
      </c>
      <c r="W304" s="5" t="s">
        <v>3528</v>
      </c>
      <c r="X304" s="5" t="s">
        <v>3528</v>
      </c>
      <c r="Y304" s="4">
        <v>198</v>
      </c>
      <c r="Z304" s="4">
        <v>142</v>
      </c>
      <c r="AA304" s="4">
        <v>163</v>
      </c>
      <c r="AB304" s="4">
        <v>2</v>
      </c>
      <c r="AC304" s="4">
        <v>2</v>
      </c>
      <c r="AD304" s="4">
        <v>5</v>
      </c>
      <c r="AE304" s="4">
        <v>5</v>
      </c>
      <c r="AF304" s="4">
        <v>0</v>
      </c>
      <c r="AG304" s="4">
        <v>0</v>
      </c>
      <c r="AH304" s="4">
        <v>1</v>
      </c>
      <c r="AI304" s="4">
        <v>1</v>
      </c>
      <c r="AJ304" s="4">
        <v>3</v>
      </c>
      <c r="AK304" s="4">
        <v>3</v>
      </c>
      <c r="AL304" s="4">
        <v>1</v>
      </c>
      <c r="AM304" s="4">
        <v>1</v>
      </c>
      <c r="AN304" s="4">
        <v>0</v>
      </c>
      <c r="AO304" s="4">
        <v>0</v>
      </c>
      <c r="AP304" s="3" t="s">
        <v>58</v>
      </c>
      <c r="AQ304" s="3" t="s">
        <v>86</v>
      </c>
      <c r="AR304" s="6" t="str">
        <f>HYPERLINK("http://catalog.hathitrust.org/Record/000129090","HathiTrust Record")</f>
        <v>HathiTrust Record</v>
      </c>
      <c r="AS304" s="6" t="str">
        <f>HYPERLINK("https://creighton-primo.hosted.exlibrisgroup.com/primo-explore/search?tab=default_tab&amp;search_scope=EVERYTHING&amp;vid=01CRU&amp;lang=en_US&amp;offset=0&amp;query=any,contains,991005053909702656","Catalog Record")</f>
        <v>Catalog Record</v>
      </c>
      <c r="AT304" s="6" t="str">
        <f>HYPERLINK("http://www.worldcat.org/oclc/6889860","WorldCat Record")</f>
        <v>WorldCat Record</v>
      </c>
      <c r="AU304" s="3" t="s">
        <v>4068</v>
      </c>
      <c r="AV304" s="3" t="s">
        <v>4069</v>
      </c>
      <c r="AW304" s="3" t="s">
        <v>4070</v>
      </c>
      <c r="AX304" s="3" t="s">
        <v>4070</v>
      </c>
      <c r="AY304" s="3" t="s">
        <v>4071</v>
      </c>
      <c r="AZ304" s="3" t="s">
        <v>74</v>
      </c>
      <c r="BB304" s="3" t="s">
        <v>4072</v>
      </c>
      <c r="BC304" s="3" t="s">
        <v>4073</v>
      </c>
      <c r="BD304" s="3" t="s">
        <v>4074</v>
      </c>
    </row>
    <row r="305" spans="1:56" ht="42.75" customHeight="1" x14ac:dyDescent="0.25">
      <c r="A305" s="7" t="s">
        <v>58</v>
      </c>
      <c r="B305" s="2" t="s">
        <v>4075</v>
      </c>
      <c r="C305" s="2" t="s">
        <v>4076</v>
      </c>
      <c r="D305" s="2" t="s">
        <v>4077</v>
      </c>
      <c r="F305" s="3" t="s">
        <v>58</v>
      </c>
      <c r="G305" s="3" t="s">
        <v>59</v>
      </c>
      <c r="H305" s="3" t="s">
        <v>58</v>
      </c>
      <c r="I305" s="3" t="s">
        <v>58</v>
      </c>
      <c r="J305" s="3" t="s">
        <v>60</v>
      </c>
      <c r="K305" s="2" t="s">
        <v>4078</v>
      </c>
      <c r="L305" s="2" t="s">
        <v>4079</v>
      </c>
      <c r="M305" s="3" t="s">
        <v>2770</v>
      </c>
      <c r="O305" s="3" t="s">
        <v>64</v>
      </c>
      <c r="P305" s="3" t="s">
        <v>115</v>
      </c>
      <c r="Q305" s="2" t="s">
        <v>4080</v>
      </c>
      <c r="R305" s="3" t="s">
        <v>67</v>
      </c>
      <c r="S305" s="4">
        <v>2</v>
      </c>
      <c r="T305" s="4">
        <v>2</v>
      </c>
      <c r="U305" s="5" t="s">
        <v>4081</v>
      </c>
      <c r="V305" s="5" t="s">
        <v>4081</v>
      </c>
      <c r="W305" s="5" t="s">
        <v>3917</v>
      </c>
      <c r="X305" s="5" t="s">
        <v>3917</v>
      </c>
      <c r="Y305" s="4">
        <v>567</v>
      </c>
      <c r="Z305" s="4">
        <v>422</v>
      </c>
      <c r="AA305" s="4">
        <v>424</v>
      </c>
      <c r="AB305" s="4">
        <v>2</v>
      </c>
      <c r="AC305" s="4">
        <v>2</v>
      </c>
      <c r="AD305" s="4">
        <v>19</v>
      </c>
      <c r="AE305" s="4">
        <v>19</v>
      </c>
      <c r="AF305" s="4">
        <v>6</v>
      </c>
      <c r="AG305" s="4">
        <v>6</v>
      </c>
      <c r="AH305" s="4">
        <v>6</v>
      </c>
      <c r="AI305" s="4">
        <v>6</v>
      </c>
      <c r="AJ305" s="4">
        <v>12</v>
      </c>
      <c r="AK305" s="4">
        <v>12</v>
      </c>
      <c r="AL305" s="4">
        <v>1</v>
      </c>
      <c r="AM305" s="4">
        <v>1</v>
      </c>
      <c r="AN305" s="4">
        <v>0</v>
      </c>
      <c r="AO305" s="4">
        <v>0</v>
      </c>
      <c r="AP305" s="3" t="s">
        <v>58</v>
      </c>
      <c r="AQ305" s="3" t="s">
        <v>86</v>
      </c>
      <c r="AR305" s="6" t="str">
        <f>HYPERLINK("http://catalog.hathitrust.org/Record/007473222","HathiTrust Record")</f>
        <v>HathiTrust Record</v>
      </c>
      <c r="AS305" s="6" t="str">
        <f>HYPERLINK("https://creighton-primo.hosted.exlibrisgroup.com/primo-explore/search?tab=default_tab&amp;search_scope=EVERYTHING&amp;vid=01CRU&amp;lang=en_US&amp;offset=0&amp;query=any,contains,991004197479702656","Catalog Record")</f>
        <v>Catalog Record</v>
      </c>
      <c r="AT305" s="6" t="str">
        <f>HYPERLINK("http://www.worldcat.org/oclc/2645369","WorldCat Record")</f>
        <v>WorldCat Record</v>
      </c>
      <c r="AU305" s="3" t="s">
        <v>4082</v>
      </c>
      <c r="AV305" s="3" t="s">
        <v>4083</v>
      </c>
      <c r="AW305" s="3" t="s">
        <v>4084</v>
      </c>
      <c r="AX305" s="3" t="s">
        <v>4084</v>
      </c>
      <c r="AY305" s="3" t="s">
        <v>4085</v>
      </c>
      <c r="AZ305" s="3" t="s">
        <v>74</v>
      </c>
      <c r="BB305" s="3" t="s">
        <v>4086</v>
      </c>
      <c r="BC305" s="3" t="s">
        <v>4087</v>
      </c>
      <c r="BD305" s="3" t="s">
        <v>4088</v>
      </c>
    </row>
    <row r="306" spans="1:56" ht="42.75" customHeight="1" x14ac:dyDescent="0.25">
      <c r="A306" s="7" t="s">
        <v>58</v>
      </c>
      <c r="B306" s="2" t="s">
        <v>4089</v>
      </c>
      <c r="C306" s="2" t="s">
        <v>4090</v>
      </c>
      <c r="D306" s="2" t="s">
        <v>4091</v>
      </c>
      <c r="F306" s="3" t="s">
        <v>58</v>
      </c>
      <c r="G306" s="3" t="s">
        <v>59</v>
      </c>
      <c r="H306" s="3" t="s">
        <v>58</v>
      </c>
      <c r="I306" s="3" t="s">
        <v>58</v>
      </c>
      <c r="J306" s="3" t="s">
        <v>60</v>
      </c>
      <c r="K306" s="2" t="s">
        <v>4092</v>
      </c>
      <c r="L306" s="2" t="s">
        <v>4093</v>
      </c>
      <c r="M306" s="3" t="s">
        <v>1101</v>
      </c>
      <c r="O306" s="3" t="s">
        <v>64</v>
      </c>
      <c r="P306" s="3" t="s">
        <v>208</v>
      </c>
      <c r="R306" s="3" t="s">
        <v>67</v>
      </c>
      <c r="S306" s="4">
        <v>22</v>
      </c>
      <c r="T306" s="4">
        <v>22</v>
      </c>
      <c r="U306" s="5" t="s">
        <v>4094</v>
      </c>
      <c r="V306" s="5" t="s">
        <v>4094</v>
      </c>
      <c r="W306" s="5" t="s">
        <v>4095</v>
      </c>
      <c r="X306" s="5" t="s">
        <v>4095</v>
      </c>
      <c r="Y306" s="4">
        <v>549</v>
      </c>
      <c r="Z306" s="4">
        <v>396</v>
      </c>
      <c r="AA306" s="4">
        <v>602</v>
      </c>
      <c r="AB306" s="4">
        <v>5</v>
      </c>
      <c r="AC306" s="4">
        <v>5</v>
      </c>
      <c r="AD306" s="4">
        <v>21</v>
      </c>
      <c r="AE306" s="4">
        <v>26</v>
      </c>
      <c r="AF306" s="4">
        <v>11</v>
      </c>
      <c r="AG306" s="4">
        <v>12</v>
      </c>
      <c r="AH306" s="4">
        <v>2</v>
      </c>
      <c r="AI306" s="4">
        <v>4</v>
      </c>
      <c r="AJ306" s="4">
        <v>10</v>
      </c>
      <c r="AK306" s="4">
        <v>13</v>
      </c>
      <c r="AL306" s="4">
        <v>4</v>
      </c>
      <c r="AM306" s="4">
        <v>4</v>
      </c>
      <c r="AN306" s="4">
        <v>1</v>
      </c>
      <c r="AO306" s="4">
        <v>1</v>
      </c>
      <c r="AP306" s="3" t="s">
        <v>58</v>
      </c>
      <c r="AQ306" s="3" t="s">
        <v>58</v>
      </c>
      <c r="AS306" s="6" t="str">
        <f>HYPERLINK("https://creighton-primo.hosted.exlibrisgroup.com/primo-explore/search?tab=default_tab&amp;search_scope=EVERYTHING&amp;vid=01CRU&amp;lang=en_US&amp;offset=0&amp;query=any,contains,991004201729702656","Catalog Record")</f>
        <v>Catalog Record</v>
      </c>
      <c r="AT306" s="6" t="str">
        <f>HYPERLINK("http://www.worldcat.org/oclc/49527009","WorldCat Record")</f>
        <v>WorldCat Record</v>
      </c>
      <c r="AU306" s="3" t="s">
        <v>4096</v>
      </c>
      <c r="AV306" s="3" t="s">
        <v>4097</v>
      </c>
      <c r="AW306" s="3" t="s">
        <v>4098</v>
      </c>
      <c r="AX306" s="3" t="s">
        <v>4098</v>
      </c>
      <c r="AY306" s="3" t="s">
        <v>4099</v>
      </c>
      <c r="AZ306" s="3" t="s">
        <v>74</v>
      </c>
      <c r="BB306" s="3" t="s">
        <v>4100</v>
      </c>
      <c r="BC306" s="3" t="s">
        <v>4101</v>
      </c>
      <c r="BD306" s="3" t="s">
        <v>4102</v>
      </c>
    </row>
    <row r="307" spans="1:56" ht="42.75" customHeight="1" x14ac:dyDescent="0.25">
      <c r="A307" s="7" t="s">
        <v>58</v>
      </c>
      <c r="B307" s="2" t="s">
        <v>4103</v>
      </c>
      <c r="C307" s="2" t="s">
        <v>4104</v>
      </c>
      <c r="D307" s="2" t="s">
        <v>4105</v>
      </c>
      <c r="F307" s="3" t="s">
        <v>58</v>
      </c>
      <c r="G307" s="3" t="s">
        <v>59</v>
      </c>
      <c r="H307" s="3" t="s">
        <v>58</v>
      </c>
      <c r="I307" s="3" t="s">
        <v>86</v>
      </c>
      <c r="J307" s="3" t="s">
        <v>60</v>
      </c>
      <c r="K307" s="2" t="s">
        <v>4106</v>
      </c>
      <c r="L307" s="2" t="s">
        <v>4107</v>
      </c>
      <c r="M307" s="3" t="s">
        <v>765</v>
      </c>
      <c r="O307" s="3" t="s">
        <v>64</v>
      </c>
      <c r="P307" s="3" t="s">
        <v>115</v>
      </c>
      <c r="R307" s="3" t="s">
        <v>67</v>
      </c>
      <c r="S307" s="4">
        <v>2</v>
      </c>
      <c r="T307" s="4">
        <v>2</v>
      </c>
      <c r="U307" s="5" t="s">
        <v>4108</v>
      </c>
      <c r="V307" s="5" t="s">
        <v>4108</v>
      </c>
      <c r="W307" s="5" t="s">
        <v>4109</v>
      </c>
      <c r="X307" s="5" t="s">
        <v>4109</v>
      </c>
      <c r="Y307" s="4">
        <v>318</v>
      </c>
      <c r="Z307" s="4">
        <v>236</v>
      </c>
      <c r="AA307" s="4">
        <v>543</v>
      </c>
      <c r="AB307" s="4">
        <v>2</v>
      </c>
      <c r="AC307" s="4">
        <v>3</v>
      </c>
      <c r="AD307" s="4">
        <v>14</v>
      </c>
      <c r="AE307" s="4">
        <v>27</v>
      </c>
      <c r="AF307" s="4">
        <v>3</v>
      </c>
      <c r="AG307" s="4">
        <v>10</v>
      </c>
      <c r="AH307" s="4">
        <v>2</v>
      </c>
      <c r="AI307" s="4">
        <v>4</v>
      </c>
      <c r="AJ307" s="4">
        <v>8</v>
      </c>
      <c r="AK307" s="4">
        <v>17</v>
      </c>
      <c r="AL307" s="4">
        <v>1</v>
      </c>
      <c r="AM307" s="4">
        <v>2</v>
      </c>
      <c r="AN307" s="4">
        <v>0</v>
      </c>
      <c r="AO307" s="4">
        <v>0</v>
      </c>
      <c r="AP307" s="3" t="s">
        <v>58</v>
      </c>
      <c r="AQ307" s="3" t="s">
        <v>86</v>
      </c>
      <c r="AR307" s="6" t="str">
        <f>HYPERLINK("http://catalog.hathitrust.org/Record/002999322","HathiTrust Record")</f>
        <v>HathiTrust Record</v>
      </c>
      <c r="AS307" s="6" t="str">
        <f>HYPERLINK("https://creighton-primo.hosted.exlibrisgroup.com/primo-explore/search?tab=default_tab&amp;search_scope=EVERYTHING&amp;vid=01CRU&amp;lang=en_US&amp;offset=0&amp;query=any,contains,991003308579702656","Catalog Record")</f>
        <v>Catalog Record</v>
      </c>
      <c r="AT307" s="6" t="str">
        <f>HYPERLINK("http://www.worldcat.org/oclc/31434818","WorldCat Record")</f>
        <v>WorldCat Record</v>
      </c>
      <c r="AU307" s="3" t="s">
        <v>4110</v>
      </c>
      <c r="AV307" s="3" t="s">
        <v>4111</v>
      </c>
      <c r="AW307" s="3" t="s">
        <v>4112</v>
      </c>
      <c r="AX307" s="3" t="s">
        <v>4112</v>
      </c>
      <c r="AY307" s="3" t="s">
        <v>4113</v>
      </c>
      <c r="AZ307" s="3" t="s">
        <v>74</v>
      </c>
      <c r="BB307" s="3" t="s">
        <v>4114</v>
      </c>
      <c r="BC307" s="3" t="s">
        <v>4115</v>
      </c>
      <c r="BD307" s="3" t="s">
        <v>4116</v>
      </c>
    </row>
    <row r="308" spans="1:56" ht="42.75" customHeight="1" x14ac:dyDescent="0.25">
      <c r="A308" s="7" t="s">
        <v>58</v>
      </c>
      <c r="B308" s="2" t="s">
        <v>4117</v>
      </c>
      <c r="C308" s="2" t="s">
        <v>4118</v>
      </c>
      <c r="D308" s="2" t="s">
        <v>4119</v>
      </c>
      <c r="F308" s="3" t="s">
        <v>58</v>
      </c>
      <c r="G308" s="3" t="s">
        <v>59</v>
      </c>
      <c r="H308" s="3" t="s">
        <v>58</v>
      </c>
      <c r="I308" s="3" t="s">
        <v>58</v>
      </c>
      <c r="J308" s="3" t="s">
        <v>60</v>
      </c>
      <c r="K308" s="2" t="s">
        <v>4120</v>
      </c>
      <c r="L308" s="2" t="s">
        <v>4121</v>
      </c>
      <c r="M308" s="3" t="s">
        <v>4122</v>
      </c>
      <c r="N308" s="2" t="s">
        <v>3823</v>
      </c>
      <c r="O308" s="3" t="s">
        <v>64</v>
      </c>
      <c r="P308" s="3" t="s">
        <v>115</v>
      </c>
      <c r="R308" s="3" t="s">
        <v>67</v>
      </c>
      <c r="S308" s="4">
        <v>2</v>
      </c>
      <c r="T308" s="4">
        <v>2</v>
      </c>
      <c r="U308" s="5" t="s">
        <v>4123</v>
      </c>
      <c r="V308" s="5" t="s">
        <v>4123</v>
      </c>
      <c r="W308" s="5" t="s">
        <v>4124</v>
      </c>
      <c r="X308" s="5" t="s">
        <v>4124</v>
      </c>
      <c r="Y308" s="4">
        <v>1094</v>
      </c>
      <c r="Z308" s="4">
        <v>1002</v>
      </c>
      <c r="AA308" s="4">
        <v>1338</v>
      </c>
      <c r="AB308" s="4">
        <v>7</v>
      </c>
      <c r="AC308" s="4">
        <v>8</v>
      </c>
      <c r="AD308" s="4">
        <v>39</v>
      </c>
      <c r="AE308" s="4">
        <v>46</v>
      </c>
      <c r="AF308" s="4">
        <v>16</v>
      </c>
      <c r="AG308" s="4">
        <v>19</v>
      </c>
      <c r="AH308" s="4">
        <v>8</v>
      </c>
      <c r="AI308" s="4">
        <v>8</v>
      </c>
      <c r="AJ308" s="4">
        <v>20</v>
      </c>
      <c r="AK308" s="4">
        <v>24</v>
      </c>
      <c r="AL308" s="4">
        <v>6</v>
      </c>
      <c r="AM308" s="4">
        <v>7</v>
      </c>
      <c r="AN308" s="4">
        <v>0</v>
      </c>
      <c r="AO308" s="4">
        <v>0</v>
      </c>
      <c r="AP308" s="3" t="s">
        <v>58</v>
      </c>
      <c r="AQ308" s="3" t="s">
        <v>86</v>
      </c>
      <c r="AR308" s="6" t="str">
        <f>HYPERLINK("http://catalog.hathitrust.org/Record/000004088","HathiTrust Record")</f>
        <v>HathiTrust Record</v>
      </c>
      <c r="AS308" s="6" t="str">
        <f>HYPERLINK("https://creighton-primo.hosted.exlibrisgroup.com/primo-explore/search?tab=default_tab&amp;search_scope=EVERYTHING&amp;vid=01CRU&amp;lang=en_US&amp;offset=0&amp;query=any,contains,991002204789702656","Catalog Record")</f>
        <v>Catalog Record</v>
      </c>
      <c r="AT308" s="6" t="str">
        <f>HYPERLINK("http://www.worldcat.org/oclc/285408","WorldCat Record")</f>
        <v>WorldCat Record</v>
      </c>
      <c r="AU308" s="3" t="s">
        <v>4125</v>
      </c>
      <c r="AV308" s="3" t="s">
        <v>4126</v>
      </c>
      <c r="AW308" s="3" t="s">
        <v>4127</v>
      </c>
      <c r="AX308" s="3" t="s">
        <v>4127</v>
      </c>
      <c r="AY308" s="3" t="s">
        <v>4128</v>
      </c>
      <c r="AZ308" s="3" t="s">
        <v>74</v>
      </c>
      <c r="BC308" s="3" t="s">
        <v>4129</v>
      </c>
      <c r="BD308" s="3" t="s">
        <v>4130</v>
      </c>
    </row>
    <row r="309" spans="1:56" ht="42.75" customHeight="1" x14ac:dyDescent="0.25">
      <c r="A309" s="7" t="s">
        <v>58</v>
      </c>
      <c r="B309" s="2" t="s">
        <v>4131</v>
      </c>
      <c r="C309" s="2" t="s">
        <v>4132</v>
      </c>
      <c r="D309" s="2" t="s">
        <v>4133</v>
      </c>
      <c r="F309" s="3" t="s">
        <v>58</v>
      </c>
      <c r="G309" s="3" t="s">
        <v>59</v>
      </c>
      <c r="H309" s="3" t="s">
        <v>58</v>
      </c>
      <c r="I309" s="3" t="s">
        <v>58</v>
      </c>
      <c r="J309" s="3" t="s">
        <v>60</v>
      </c>
      <c r="K309" s="2" t="s">
        <v>4134</v>
      </c>
      <c r="L309" s="2" t="s">
        <v>4135</v>
      </c>
      <c r="M309" s="3" t="s">
        <v>695</v>
      </c>
      <c r="N309" s="2" t="s">
        <v>3272</v>
      </c>
      <c r="O309" s="3" t="s">
        <v>64</v>
      </c>
      <c r="P309" s="3" t="s">
        <v>115</v>
      </c>
      <c r="R309" s="3" t="s">
        <v>67</v>
      </c>
      <c r="S309" s="4">
        <v>7</v>
      </c>
      <c r="T309" s="4">
        <v>7</v>
      </c>
      <c r="U309" s="5" t="s">
        <v>4136</v>
      </c>
      <c r="V309" s="5" t="s">
        <v>4136</v>
      </c>
      <c r="W309" s="5" t="s">
        <v>4137</v>
      </c>
      <c r="X309" s="5" t="s">
        <v>4137</v>
      </c>
      <c r="Y309" s="4">
        <v>65</v>
      </c>
      <c r="Z309" s="4">
        <v>50</v>
      </c>
      <c r="AA309" s="4">
        <v>425</v>
      </c>
      <c r="AB309" s="4">
        <v>1</v>
      </c>
      <c r="AC309" s="4">
        <v>6</v>
      </c>
      <c r="AD309" s="4">
        <v>2</v>
      </c>
      <c r="AE309" s="4">
        <v>19</v>
      </c>
      <c r="AF309" s="4">
        <v>0</v>
      </c>
      <c r="AG309" s="4">
        <v>4</v>
      </c>
      <c r="AH309" s="4">
        <v>0</v>
      </c>
      <c r="AI309" s="4">
        <v>5</v>
      </c>
      <c r="AJ309" s="4">
        <v>2</v>
      </c>
      <c r="AK309" s="4">
        <v>12</v>
      </c>
      <c r="AL309" s="4">
        <v>0</v>
      </c>
      <c r="AM309" s="4">
        <v>4</v>
      </c>
      <c r="AN309" s="4">
        <v>0</v>
      </c>
      <c r="AO309" s="4">
        <v>0</v>
      </c>
      <c r="AP309" s="3" t="s">
        <v>58</v>
      </c>
      <c r="AQ309" s="3" t="s">
        <v>86</v>
      </c>
      <c r="AR309" s="6" t="str">
        <f>HYPERLINK("http://catalog.hathitrust.org/Record/012284959","HathiTrust Record")</f>
        <v>HathiTrust Record</v>
      </c>
      <c r="AS309" s="6" t="str">
        <f>HYPERLINK("https://creighton-primo.hosted.exlibrisgroup.com/primo-explore/search?tab=default_tab&amp;search_scope=EVERYTHING&amp;vid=01CRU&amp;lang=en_US&amp;offset=0&amp;query=any,contains,991002105749702656","Catalog Record")</f>
        <v>Catalog Record</v>
      </c>
      <c r="AT309" s="6" t="str">
        <f>HYPERLINK("http://www.worldcat.org/oclc/27012824","WorldCat Record")</f>
        <v>WorldCat Record</v>
      </c>
      <c r="AU309" s="3" t="s">
        <v>4138</v>
      </c>
      <c r="AV309" s="3" t="s">
        <v>4139</v>
      </c>
      <c r="AW309" s="3" t="s">
        <v>4140</v>
      </c>
      <c r="AX309" s="3" t="s">
        <v>4140</v>
      </c>
      <c r="AY309" s="3" t="s">
        <v>4141</v>
      </c>
      <c r="AZ309" s="3" t="s">
        <v>74</v>
      </c>
      <c r="BB309" s="3" t="s">
        <v>4142</v>
      </c>
      <c r="BC309" s="3" t="s">
        <v>4143</v>
      </c>
      <c r="BD309" s="3" t="s">
        <v>4144</v>
      </c>
    </row>
    <row r="310" spans="1:56" ht="42.75" customHeight="1" x14ac:dyDescent="0.25">
      <c r="A310" s="7" t="s">
        <v>58</v>
      </c>
      <c r="B310" s="2" t="s">
        <v>4145</v>
      </c>
      <c r="C310" s="2" t="s">
        <v>4146</v>
      </c>
      <c r="D310" s="2" t="s">
        <v>4147</v>
      </c>
      <c r="F310" s="3" t="s">
        <v>58</v>
      </c>
      <c r="G310" s="3" t="s">
        <v>59</v>
      </c>
      <c r="H310" s="3" t="s">
        <v>58</v>
      </c>
      <c r="I310" s="3" t="s">
        <v>58</v>
      </c>
      <c r="J310" s="3" t="s">
        <v>60</v>
      </c>
      <c r="K310" s="2" t="s">
        <v>4148</v>
      </c>
      <c r="L310" s="2" t="s">
        <v>4149</v>
      </c>
      <c r="M310" s="3" t="s">
        <v>4150</v>
      </c>
      <c r="O310" s="3" t="s">
        <v>64</v>
      </c>
      <c r="P310" s="3" t="s">
        <v>2854</v>
      </c>
      <c r="R310" s="3" t="s">
        <v>67</v>
      </c>
      <c r="S310" s="4">
        <v>2</v>
      </c>
      <c r="T310" s="4">
        <v>2</v>
      </c>
      <c r="U310" s="5" t="s">
        <v>4151</v>
      </c>
      <c r="V310" s="5" t="s">
        <v>4151</v>
      </c>
      <c r="W310" s="5" t="s">
        <v>3917</v>
      </c>
      <c r="X310" s="5" t="s">
        <v>3917</v>
      </c>
      <c r="Y310" s="4">
        <v>72</v>
      </c>
      <c r="Z310" s="4">
        <v>64</v>
      </c>
      <c r="AA310" s="4">
        <v>72</v>
      </c>
      <c r="AB310" s="4">
        <v>1</v>
      </c>
      <c r="AC310" s="4">
        <v>1</v>
      </c>
      <c r="AD310" s="4">
        <v>0</v>
      </c>
      <c r="AE310" s="4">
        <v>0</v>
      </c>
      <c r="AF310" s="4">
        <v>0</v>
      </c>
      <c r="AG310" s="4">
        <v>0</v>
      </c>
      <c r="AH310" s="4">
        <v>0</v>
      </c>
      <c r="AI310" s="4">
        <v>0</v>
      </c>
      <c r="AJ310" s="4">
        <v>0</v>
      </c>
      <c r="AK310" s="4">
        <v>0</v>
      </c>
      <c r="AL310" s="4">
        <v>0</v>
      </c>
      <c r="AM310" s="4">
        <v>0</v>
      </c>
      <c r="AN310" s="4">
        <v>0</v>
      </c>
      <c r="AO310" s="4">
        <v>0</v>
      </c>
      <c r="AP310" s="3" t="s">
        <v>86</v>
      </c>
      <c r="AQ310" s="3" t="s">
        <v>58</v>
      </c>
      <c r="AR310" s="6" t="str">
        <f>HYPERLINK("http://catalog.hathitrust.org/Record/000659697","HathiTrust Record")</f>
        <v>HathiTrust Record</v>
      </c>
      <c r="AS310" s="6" t="str">
        <f>HYPERLINK("https://creighton-primo.hosted.exlibrisgroup.com/primo-explore/search?tab=default_tab&amp;search_scope=EVERYTHING&amp;vid=01CRU&amp;lang=en_US&amp;offset=0&amp;query=any,contains,991000959599702656","Catalog Record")</f>
        <v>Catalog Record</v>
      </c>
      <c r="AT310" s="6" t="str">
        <f>HYPERLINK("http://www.worldcat.org/oclc/14794393","WorldCat Record")</f>
        <v>WorldCat Record</v>
      </c>
      <c r="AU310" s="3" t="s">
        <v>4152</v>
      </c>
      <c r="AV310" s="3" t="s">
        <v>4153</v>
      </c>
      <c r="AW310" s="3" t="s">
        <v>4154</v>
      </c>
      <c r="AX310" s="3" t="s">
        <v>4154</v>
      </c>
      <c r="AY310" s="3" t="s">
        <v>4155</v>
      </c>
      <c r="AZ310" s="3" t="s">
        <v>74</v>
      </c>
      <c r="BC310" s="3" t="s">
        <v>4156</v>
      </c>
      <c r="BD310" s="3" t="s">
        <v>4157</v>
      </c>
    </row>
    <row r="311" spans="1:56" ht="42.75" customHeight="1" x14ac:dyDescent="0.25">
      <c r="A311" s="7" t="s">
        <v>58</v>
      </c>
      <c r="B311" s="2" t="s">
        <v>4158</v>
      </c>
      <c r="C311" s="2" t="s">
        <v>4159</v>
      </c>
      <c r="D311" s="2" t="s">
        <v>4160</v>
      </c>
      <c r="F311" s="3" t="s">
        <v>58</v>
      </c>
      <c r="G311" s="3" t="s">
        <v>59</v>
      </c>
      <c r="H311" s="3" t="s">
        <v>58</v>
      </c>
      <c r="I311" s="3" t="s">
        <v>58</v>
      </c>
      <c r="J311" s="3" t="s">
        <v>60</v>
      </c>
      <c r="K311" s="2" t="s">
        <v>4161</v>
      </c>
      <c r="L311" s="2" t="s">
        <v>4162</v>
      </c>
      <c r="M311" s="3" t="s">
        <v>942</v>
      </c>
      <c r="O311" s="3" t="s">
        <v>64</v>
      </c>
      <c r="P311" s="3" t="s">
        <v>254</v>
      </c>
      <c r="R311" s="3" t="s">
        <v>67</v>
      </c>
      <c r="S311" s="4">
        <v>4</v>
      </c>
      <c r="T311" s="4">
        <v>4</v>
      </c>
      <c r="U311" s="5" t="s">
        <v>4163</v>
      </c>
      <c r="V311" s="5" t="s">
        <v>4163</v>
      </c>
      <c r="W311" s="5" t="s">
        <v>4164</v>
      </c>
      <c r="X311" s="5" t="s">
        <v>4164</v>
      </c>
      <c r="Y311" s="4">
        <v>25</v>
      </c>
      <c r="Z311" s="4">
        <v>24</v>
      </c>
      <c r="AA311" s="4">
        <v>163</v>
      </c>
      <c r="AB311" s="4">
        <v>1</v>
      </c>
      <c r="AC311" s="4">
        <v>2</v>
      </c>
      <c r="AD311" s="4">
        <v>0</v>
      </c>
      <c r="AE311" s="4">
        <v>4</v>
      </c>
      <c r="AF311" s="4">
        <v>0</v>
      </c>
      <c r="AG311" s="4">
        <v>3</v>
      </c>
      <c r="AH311" s="4">
        <v>0</v>
      </c>
      <c r="AI311" s="4">
        <v>0</v>
      </c>
      <c r="AJ311" s="4">
        <v>0</v>
      </c>
      <c r="AK311" s="4">
        <v>2</v>
      </c>
      <c r="AL311" s="4">
        <v>0</v>
      </c>
      <c r="AM311" s="4">
        <v>0</v>
      </c>
      <c r="AN311" s="4">
        <v>0</v>
      </c>
      <c r="AO311" s="4">
        <v>0</v>
      </c>
      <c r="AP311" s="3" t="s">
        <v>58</v>
      </c>
      <c r="AQ311" s="3" t="s">
        <v>58</v>
      </c>
      <c r="AS311" s="6" t="str">
        <f>HYPERLINK("https://creighton-primo.hosted.exlibrisgroup.com/primo-explore/search?tab=default_tab&amp;search_scope=EVERYTHING&amp;vid=01CRU&amp;lang=en_US&amp;offset=0&amp;query=any,contains,991004232199702656","Catalog Record")</f>
        <v>Catalog Record</v>
      </c>
      <c r="AT311" s="6" t="str">
        <f>HYPERLINK("http://www.worldcat.org/oclc/43491473","WorldCat Record")</f>
        <v>WorldCat Record</v>
      </c>
      <c r="AU311" s="3" t="s">
        <v>4165</v>
      </c>
      <c r="AV311" s="3" t="s">
        <v>4166</v>
      </c>
      <c r="AW311" s="3" t="s">
        <v>4167</v>
      </c>
      <c r="AX311" s="3" t="s">
        <v>4167</v>
      </c>
      <c r="AY311" s="3" t="s">
        <v>4168</v>
      </c>
      <c r="AZ311" s="3" t="s">
        <v>74</v>
      </c>
      <c r="BB311" s="3" t="s">
        <v>4169</v>
      </c>
      <c r="BC311" s="3" t="s">
        <v>4170</v>
      </c>
      <c r="BD311" s="3" t="s">
        <v>4171</v>
      </c>
    </row>
    <row r="312" spans="1:56" ht="42.75" customHeight="1" x14ac:dyDescent="0.25">
      <c r="A312" s="7" t="s">
        <v>58</v>
      </c>
      <c r="B312" s="2" t="s">
        <v>4172</v>
      </c>
      <c r="C312" s="2" t="s">
        <v>4173</v>
      </c>
      <c r="D312" s="2" t="s">
        <v>4174</v>
      </c>
      <c r="F312" s="3" t="s">
        <v>58</v>
      </c>
      <c r="G312" s="3" t="s">
        <v>59</v>
      </c>
      <c r="H312" s="3" t="s">
        <v>58</v>
      </c>
      <c r="I312" s="3" t="s">
        <v>58</v>
      </c>
      <c r="J312" s="3" t="s">
        <v>60</v>
      </c>
      <c r="K312" s="2" t="s">
        <v>4175</v>
      </c>
      <c r="L312" s="2" t="s">
        <v>4176</v>
      </c>
      <c r="M312" s="3" t="s">
        <v>3914</v>
      </c>
      <c r="O312" s="3" t="s">
        <v>64</v>
      </c>
      <c r="P312" s="3" t="s">
        <v>99</v>
      </c>
      <c r="R312" s="3" t="s">
        <v>67</v>
      </c>
      <c r="S312" s="4">
        <v>5</v>
      </c>
      <c r="T312" s="4">
        <v>5</v>
      </c>
      <c r="U312" s="5" t="s">
        <v>4177</v>
      </c>
      <c r="V312" s="5" t="s">
        <v>4177</v>
      </c>
      <c r="W312" s="5" t="s">
        <v>3917</v>
      </c>
      <c r="X312" s="5" t="s">
        <v>3917</v>
      </c>
      <c r="Y312" s="4">
        <v>152</v>
      </c>
      <c r="Z312" s="4">
        <v>138</v>
      </c>
      <c r="AA312" s="4">
        <v>143</v>
      </c>
      <c r="AB312" s="4">
        <v>2</v>
      </c>
      <c r="AC312" s="4">
        <v>2</v>
      </c>
      <c r="AD312" s="4">
        <v>2</v>
      </c>
      <c r="AE312" s="4">
        <v>2</v>
      </c>
      <c r="AF312" s="4">
        <v>1</v>
      </c>
      <c r="AG312" s="4">
        <v>1</v>
      </c>
      <c r="AH312" s="4">
        <v>0</v>
      </c>
      <c r="AI312" s="4">
        <v>0</v>
      </c>
      <c r="AJ312" s="4">
        <v>1</v>
      </c>
      <c r="AK312" s="4">
        <v>1</v>
      </c>
      <c r="AL312" s="4">
        <v>1</v>
      </c>
      <c r="AM312" s="4">
        <v>1</v>
      </c>
      <c r="AN312" s="4">
        <v>0</v>
      </c>
      <c r="AO312" s="4">
        <v>0</v>
      </c>
      <c r="AP312" s="3" t="s">
        <v>58</v>
      </c>
      <c r="AQ312" s="3" t="s">
        <v>58</v>
      </c>
      <c r="AS312" s="6" t="str">
        <f>HYPERLINK("https://creighton-primo.hosted.exlibrisgroup.com/primo-explore/search?tab=default_tab&amp;search_scope=EVERYTHING&amp;vid=01CRU&amp;lang=en_US&amp;offset=0&amp;query=any,contains,991003968649702656","Catalog Record")</f>
        <v>Catalog Record</v>
      </c>
      <c r="AT312" s="6" t="str">
        <f>HYPERLINK("http://www.worldcat.org/oclc/1991053","WorldCat Record")</f>
        <v>WorldCat Record</v>
      </c>
      <c r="AU312" s="3" t="s">
        <v>4178</v>
      </c>
      <c r="AV312" s="3" t="s">
        <v>4179</v>
      </c>
      <c r="AW312" s="3" t="s">
        <v>4180</v>
      </c>
      <c r="AX312" s="3" t="s">
        <v>4180</v>
      </c>
      <c r="AY312" s="3" t="s">
        <v>4181</v>
      </c>
      <c r="AZ312" s="3" t="s">
        <v>74</v>
      </c>
      <c r="BB312" s="3" t="s">
        <v>4182</v>
      </c>
      <c r="BC312" s="3" t="s">
        <v>4183</v>
      </c>
      <c r="BD312" s="3" t="s">
        <v>4184</v>
      </c>
    </row>
    <row r="313" spans="1:56" ht="42.75" customHeight="1" x14ac:dyDescent="0.25">
      <c r="A313" s="7" t="s">
        <v>58</v>
      </c>
      <c r="B313" s="2" t="s">
        <v>4185</v>
      </c>
      <c r="C313" s="2" t="s">
        <v>4186</v>
      </c>
      <c r="D313" s="2" t="s">
        <v>4187</v>
      </c>
      <c r="F313" s="3" t="s">
        <v>58</v>
      </c>
      <c r="G313" s="3" t="s">
        <v>59</v>
      </c>
      <c r="H313" s="3" t="s">
        <v>58</v>
      </c>
      <c r="I313" s="3" t="s">
        <v>58</v>
      </c>
      <c r="J313" s="3" t="s">
        <v>60</v>
      </c>
      <c r="K313" s="2" t="s">
        <v>4188</v>
      </c>
      <c r="L313" s="2" t="s">
        <v>4189</v>
      </c>
      <c r="M313" s="3" t="s">
        <v>1404</v>
      </c>
      <c r="O313" s="3" t="s">
        <v>64</v>
      </c>
      <c r="P313" s="3" t="s">
        <v>2331</v>
      </c>
      <c r="R313" s="3" t="s">
        <v>67</v>
      </c>
      <c r="S313" s="4">
        <v>2</v>
      </c>
      <c r="T313" s="4">
        <v>2</v>
      </c>
      <c r="U313" s="5" t="s">
        <v>4190</v>
      </c>
      <c r="V313" s="5" t="s">
        <v>4190</v>
      </c>
      <c r="W313" s="5" t="s">
        <v>4191</v>
      </c>
      <c r="X313" s="5" t="s">
        <v>4191</v>
      </c>
      <c r="Y313" s="4">
        <v>538</v>
      </c>
      <c r="Z313" s="4">
        <v>453</v>
      </c>
      <c r="AA313" s="4">
        <v>482</v>
      </c>
      <c r="AB313" s="4">
        <v>4</v>
      </c>
      <c r="AC313" s="4">
        <v>4</v>
      </c>
      <c r="AD313" s="4">
        <v>16</v>
      </c>
      <c r="AE313" s="4">
        <v>16</v>
      </c>
      <c r="AF313" s="4">
        <v>5</v>
      </c>
      <c r="AG313" s="4">
        <v>5</v>
      </c>
      <c r="AH313" s="4">
        <v>3</v>
      </c>
      <c r="AI313" s="4">
        <v>3</v>
      </c>
      <c r="AJ313" s="4">
        <v>10</v>
      </c>
      <c r="AK313" s="4">
        <v>10</v>
      </c>
      <c r="AL313" s="4">
        <v>3</v>
      </c>
      <c r="AM313" s="4">
        <v>3</v>
      </c>
      <c r="AN313" s="4">
        <v>0</v>
      </c>
      <c r="AO313" s="4">
        <v>0</v>
      </c>
      <c r="AP313" s="3" t="s">
        <v>58</v>
      </c>
      <c r="AQ313" s="3" t="s">
        <v>58</v>
      </c>
      <c r="AS313" s="6" t="str">
        <f>HYPERLINK("https://creighton-primo.hosted.exlibrisgroup.com/primo-explore/search?tab=default_tab&amp;search_scope=EVERYTHING&amp;vid=01CRU&amp;lang=en_US&amp;offset=0&amp;query=any,contains,991005284049702656","Catalog Record")</f>
        <v>Catalog Record</v>
      </c>
      <c r="AT313" s="6" t="str">
        <f>HYPERLINK("http://www.worldcat.org/oclc/165477879","WorldCat Record")</f>
        <v>WorldCat Record</v>
      </c>
      <c r="AU313" s="3" t="s">
        <v>4192</v>
      </c>
      <c r="AV313" s="3" t="s">
        <v>4193</v>
      </c>
      <c r="AW313" s="3" t="s">
        <v>4194</v>
      </c>
      <c r="AX313" s="3" t="s">
        <v>4194</v>
      </c>
      <c r="AY313" s="3" t="s">
        <v>4195</v>
      </c>
      <c r="AZ313" s="3" t="s">
        <v>74</v>
      </c>
      <c r="BB313" s="3" t="s">
        <v>4196</v>
      </c>
      <c r="BC313" s="3" t="s">
        <v>4197</v>
      </c>
      <c r="BD313" s="3" t="s">
        <v>4198</v>
      </c>
    </row>
    <row r="314" spans="1:56" ht="42.75" customHeight="1" x14ac:dyDescent="0.25">
      <c r="A314" s="7" t="s">
        <v>58</v>
      </c>
      <c r="B314" s="2" t="s">
        <v>4199</v>
      </c>
      <c r="C314" s="2" t="s">
        <v>4200</v>
      </c>
      <c r="D314" s="2" t="s">
        <v>4201</v>
      </c>
      <c r="F314" s="3" t="s">
        <v>58</v>
      </c>
      <c r="G314" s="3" t="s">
        <v>59</v>
      </c>
      <c r="H314" s="3" t="s">
        <v>58</v>
      </c>
      <c r="I314" s="3" t="s">
        <v>58</v>
      </c>
      <c r="J314" s="3" t="s">
        <v>60</v>
      </c>
      <c r="K314" s="2" t="s">
        <v>4202</v>
      </c>
      <c r="L314" s="2" t="s">
        <v>4203</v>
      </c>
      <c r="M314" s="3" t="s">
        <v>238</v>
      </c>
      <c r="O314" s="3" t="s">
        <v>64</v>
      </c>
      <c r="P314" s="3" t="s">
        <v>83</v>
      </c>
      <c r="R314" s="3" t="s">
        <v>67</v>
      </c>
      <c r="S314" s="4">
        <v>8</v>
      </c>
      <c r="T314" s="4">
        <v>8</v>
      </c>
      <c r="U314" s="5" t="s">
        <v>4204</v>
      </c>
      <c r="V314" s="5" t="s">
        <v>4204</v>
      </c>
      <c r="W314" s="5" t="s">
        <v>4205</v>
      </c>
      <c r="X314" s="5" t="s">
        <v>4205</v>
      </c>
      <c r="Y314" s="4">
        <v>243</v>
      </c>
      <c r="Z314" s="4">
        <v>206</v>
      </c>
      <c r="AA314" s="4">
        <v>208</v>
      </c>
      <c r="AB314" s="4">
        <v>1</v>
      </c>
      <c r="AC314" s="4">
        <v>2</v>
      </c>
      <c r="AD314" s="4">
        <v>2</v>
      </c>
      <c r="AE314" s="4">
        <v>3</v>
      </c>
      <c r="AF314" s="4">
        <v>1</v>
      </c>
      <c r="AG314" s="4">
        <v>1</v>
      </c>
      <c r="AH314" s="4">
        <v>0</v>
      </c>
      <c r="AI314" s="4">
        <v>0</v>
      </c>
      <c r="AJ314" s="4">
        <v>2</v>
      </c>
      <c r="AK314" s="4">
        <v>2</v>
      </c>
      <c r="AL314" s="4">
        <v>0</v>
      </c>
      <c r="AM314" s="4">
        <v>1</v>
      </c>
      <c r="AN314" s="4">
        <v>0</v>
      </c>
      <c r="AO314" s="4">
        <v>0</v>
      </c>
      <c r="AP314" s="3" t="s">
        <v>58</v>
      </c>
      <c r="AQ314" s="3" t="s">
        <v>58</v>
      </c>
      <c r="AS314" s="6" t="str">
        <f>HYPERLINK("https://creighton-primo.hosted.exlibrisgroup.com/primo-explore/search?tab=default_tab&amp;search_scope=EVERYTHING&amp;vid=01CRU&amp;lang=en_US&amp;offset=0&amp;query=any,contains,991004656639702656","Catalog Record")</f>
        <v>Catalog Record</v>
      </c>
      <c r="AT314" s="6" t="str">
        <f>HYPERLINK("http://www.worldcat.org/oclc/4495512","WorldCat Record")</f>
        <v>WorldCat Record</v>
      </c>
      <c r="AU314" s="3" t="s">
        <v>4206</v>
      </c>
      <c r="AV314" s="3" t="s">
        <v>4207</v>
      </c>
      <c r="AW314" s="3" t="s">
        <v>4208</v>
      </c>
      <c r="AX314" s="3" t="s">
        <v>4208</v>
      </c>
      <c r="AY314" s="3" t="s">
        <v>4209</v>
      </c>
      <c r="AZ314" s="3" t="s">
        <v>74</v>
      </c>
      <c r="BB314" s="3" t="s">
        <v>4210</v>
      </c>
      <c r="BC314" s="3" t="s">
        <v>4211</v>
      </c>
      <c r="BD314" s="3" t="s">
        <v>4212</v>
      </c>
    </row>
    <row r="315" spans="1:56" ht="42.75" customHeight="1" x14ac:dyDescent="0.25">
      <c r="A315" s="7" t="s">
        <v>58</v>
      </c>
      <c r="B315" s="2" t="s">
        <v>4213</v>
      </c>
      <c r="C315" s="2" t="s">
        <v>4214</v>
      </c>
      <c r="D315" s="2" t="s">
        <v>4215</v>
      </c>
      <c r="F315" s="3" t="s">
        <v>58</v>
      </c>
      <c r="G315" s="3" t="s">
        <v>59</v>
      </c>
      <c r="H315" s="3" t="s">
        <v>58</v>
      </c>
      <c r="I315" s="3" t="s">
        <v>58</v>
      </c>
      <c r="J315" s="3" t="s">
        <v>60</v>
      </c>
      <c r="K315" s="2" t="s">
        <v>4216</v>
      </c>
      <c r="L315" s="2" t="s">
        <v>4217</v>
      </c>
      <c r="M315" s="3" t="s">
        <v>4218</v>
      </c>
      <c r="O315" s="3" t="s">
        <v>64</v>
      </c>
      <c r="P315" s="3" t="s">
        <v>115</v>
      </c>
      <c r="Q315" s="2" t="s">
        <v>4219</v>
      </c>
      <c r="R315" s="3" t="s">
        <v>67</v>
      </c>
      <c r="S315" s="4">
        <v>15</v>
      </c>
      <c r="T315" s="4">
        <v>15</v>
      </c>
      <c r="U315" s="5" t="s">
        <v>4220</v>
      </c>
      <c r="V315" s="5" t="s">
        <v>4220</v>
      </c>
      <c r="W315" s="5" t="s">
        <v>4221</v>
      </c>
      <c r="X315" s="5" t="s">
        <v>4221</v>
      </c>
      <c r="Y315" s="4">
        <v>146</v>
      </c>
      <c r="Z315" s="4">
        <v>119</v>
      </c>
      <c r="AA315" s="4">
        <v>194</v>
      </c>
      <c r="AB315" s="4">
        <v>3</v>
      </c>
      <c r="AC315" s="4">
        <v>4</v>
      </c>
      <c r="AD315" s="4">
        <v>3</v>
      </c>
      <c r="AE315" s="4">
        <v>5</v>
      </c>
      <c r="AF315" s="4">
        <v>0</v>
      </c>
      <c r="AG315" s="4">
        <v>0</v>
      </c>
      <c r="AH315" s="4">
        <v>0</v>
      </c>
      <c r="AI315" s="4">
        <v>1</v>
      </c>
      <c r="AJ315" s="4">
        <v>1</v>
      </c>
      <c r="AK315" s="4">
        <v>1</v>
      </c>
      <c r="AL315" s="4">
        <v>2</v>
      </c>
      <c r="AM315" s="4">
        <v>3</v>
      </c>
      <c r="AN315" s="4">
        <v>0</v>
      </c>
      <c r="AO315" s="4">
        <v>0</v>
      </c>
      <c r="AP315" s="3" t="s">
        <v>58</v>
      </c>
      <c r="AQ315" s="3" t="s">
        <v>86</v>
      </c>
      <c r="AR315" s="6" t="str">
        <f>HYPERLINK("http://catalog.hathitrust.org/Record/009915479","HathiTrust Record")</f>
        <v>HathiTrust Record</v>
      </c>
      <c r="AS315" s="6" t="str">
        <f>HYPERLINK("https://creighton-primo.hosted.exlibrisgroup.com/primo-explore/search?tab=default_tab&amp;search_scope=EVERYTHING&amp;vid=01CRU&amp;lang=en_US&amp;offset=0&amp;query=any,contains,991004029009702656","Catalog Record")</f>
        <v>Catalog Record</v>
      </c>
      <c r="AT315" s="6" t="str">
        <f>HYPERLINK("http://www.worldcat.org/oclc/2146980","WorldCat Record")</f>
        <v>WorldCat Record</v>
      </c>
      <c r="AU315" s="3" t="s">
        <v>4222</v>
      </c>
      <c r="AV315" s="3" t="s">
        <v>4223</v>
      </c>
      <c r="AW315" s="3" t="s">
        <v>4224</v>
      </c>
      <c r="AX315" s="3" t="s">
        <v>4224</v>
      </c>
      <c r="AY315" s="3" t="s">
        <v>4225</v>
      </c>
      <c r="AZ315" s="3" t="s">
        <v>74</v>
      </c>
      <c r="BC315" s="3" t="s">
        <v>4226</v>
      </c>
      <c r="BD315" s="3" t="s">
        <v>4227</v>
      </c>
    </row>
    <row r="316" spans="1:56" ht="42.75" customHeight="1" x14ac:dyDescent="0.25">
      <c r="A316" s="7" t="s">
        <v>58</v>
      </c>
      <c r="B316" s="2" t="s">
        <v>4228</v>
      </c>
      <c r="C316" s="2" t="s">
        <v>4229</v>
      </c>
      <c r="D316" s="2" t="s">
        <v>4230</v>
      </c>
      <c r="F316" s="3" t="s">
        <v>58</v>
      </c>
      <c r="G316" s="3" t="s">
        <v>59</v>
      </c>
      <c r="H316" s="3" t="s">
        <v>58</v>
      </c>
      <c r="I316" s="3" t="s">
        <v>58</v>
      </c>
      <c r="J316" s="3" t="s">
        <v>60</v>
      </c>
      <c r="L316" s="2" t="s">
        <v>3747</v>
      </c>
      <c r="M316" s="3" t="s">
        <v>344</v>
      </c>
      <c r="O316" s="3" t="s">
        <v>64</v>
      </c>
      <c r="P316" s="3" t="s">
        <v>83</v>
      </c>
      <c r="R316" s="3" t="s">
        <v>67</v>
      </c>
      <c r="S316" s="4">
        <v>11</v>
      </c>
      <c r="T316" s="4">
        <v>11</v>
      </c>
      <c r="U316" s="5" t="s">
        <v>4220</v>
      </c>
      <c r="V316" s="5" t="s">
        <v>4220</v>
      </c>
      <c r="W316" s="5" t="s">
        <v>4231</v>
      </c>
      <c r="X316" s="5" t="s">
        <v>4231</v>
      </c>
      <c r="Y316" s="4">
        <v>125</v>
      </c>
      <c r="Z316" s="4">
        <v>99</v>
      </c>
      <c r="AA316" s="4">
        <v>99</v>
      </c>
      <c r="AB316" s="4">
        <v>2</v>
      </c>
      <c r="AC316" s="4">
        <v>2</v>
      </c>
      <c r="AD316" s="4">
        <v>2</v>
      </c>
      <c r="AE316" s="4">
        <v>2</v>
      </c>
      <c r="AF316" s="4">
        <v>0</v>
      </c>
      <c r="AG316" s="4">
        <v>0</v>
      </c>
      <c r="AH316" s="4">
        <v>0</v>
      </c>
      <c r="AI316" s="4">
        <v>0</v>
      </c>
      <c r="AJ316" s="4">
        <v>1</v>
      </c>
      <c r="AK316" s="4">
        <v>1</v>
      </c>
      <c r="AL316" s="4">
        <v>1</v>
      </c>
      <c r="AM316" s="4">
        <v>1</v>
      </c>
      <c r="AN316" s="4">
        <v>0</v>
      </c>
      <c r="AO316" s="4">
        <v>0</v>
      </c>
      <c r="AP316" s="3" t="s">
        <v>58</v>
      </c>
      <c r="AQ316" s="3" t="s">
        <v>58</v>
      </c>
      <c r="AS316" s="6" t="str">
        <f>HYPERLINK("https://creighton-primo.hosted.exlibrisgroup.com/primo-explore/search?tab=default_tab&amp;search_scope=EVERYTHING&amp;vid=01CRU&amp;lang=en_US&amp;offset=0&amp;query=any,contains,991004936039702656","Catalog Record")</f>
        <v>Catalog Record</v>
      </c>
      <c r="AT316" s="6" t="str">
        <f>HYPERLINK("http://www.worldcat.org/oclc/6143040","WorldCat Record")</f>
        <v>WorldCat Record</v>
      </c>
      <c r="AU316" s="3" t="s">
        <v>4232</v>
      </c>
      <c r="AV316" s="3" t="s">
        <v>4233</v>
      </c>
      <c r="AW316" s="3" t="s">
        <v>4234</v>
      </c>
      <c r="AX316" s="3" t="s">
        <v>4234</v>
      </c>
      <c r="AY316" s="3" t="s">
        <v>4235</v>
      </c>
      <c r="AZ316" s="3" t="s">
        <v>74</v>
      </c>
      <c r="BB316" s="3" t="s">
        <v>4236</v>
      </c>
      <c r="BC316" s="3" t="s">
        <v>4237</v>
      </c>
      <c r="BD316" s="3" t="s">
        <v>4238</v>
      </c>
    </row>
    <row r="317" spans="1:56" ht="42.75" customHeight="1" x14ac:dyDescent="0.25">
      <c r="A317" s="7" t="s">
        <v>58</v>
      </c>
      <c r="B317" s="2" t="s">
        <v>4239</v>
      </c>
      <c r="C317" s="2" t="s">
        <v>4240</v>
      </c>
      <c r="D317" s="2" t="s">
        <v>4241</v>
      </c>
      <c r="F317" s="3" t="s">
        <v>58</v>
      </c>
      <c r="G317" s="3" t="s">
        <v>59</v>
      </c>
      <c r="H317" s="3" t="s">
        <v>86</v>
      </c>
      <c r="I317" s="3" t="s">
        <v>58</v>
      </c>
      <c r="J317" s="3" t="s">
        <v>60</v>
      </c>
      <c r="K317" s="2" t="s">
        <v>4242</v>
      </c>
      <c r="L317" s="2" t="s">
        <v>4243</v>
      </c>
      <c r="M317" s="3" t="s">
        <v>314</v>
      </c>
      <c r="O317" s="3" t="s">
        <v>64</v>
      </c>
      <c r="P317" s="3" t="s">
        <v>316</v>
      </c>
      <c r="Q317" s="2" t="s">
        <v>4244</v>
      </c>
      <c r="R317" s="3" t="s">
        <v>67</v>
      </c>
      <c r="S317" s="4">
        <v>10</v>
      </c>
      <c r="T317" s="4">
        <v>11</v>
      </c>
      <c r="U317" s="5" t="s">
        <v>4220</v>
      </c>
      <c r="V317" s="5" t="s">
        <v>4220</v>
      </c>
      <c r="W317" s="5" t="s">
        <v>4245</v>
      </c>
      <c r="X317" s="5" t="s">
        <v>4245</v>
      </c>
      <c r="Y317" s="4">
        <v>173</v>
      </c>
      <c r="Z317" s="4">
        <v>138</v>
      </c>
      <c r="AA317" s="4">
        <v>140</v>
      </c>
      <c r="AB317" s="4">
        <v>3</v>
      </c>
      <c r="AC317" s="4">
        <v>3</v>
      </c>
      <c r="AD317" s="4">
        <v>1</v>
      </c>
      <c r="AE317" s="4">
        <v>1</v>
      </c>
      <c r="AF317" s="4">
        <v>0</v>
      </c>
      <c r="AG317" s="4">
        <v>0</v>
      </c>
      <c r="AH317" s="4">
        <v>0</v>
      </c>
      <c r="AI317" s="4">
        <v>0</v>
      </c>
      <c r="AJ317" s="4">
        <v>0</v>
      </c>
      <c r="AK317" s="4">
        <v>0</v>
      </c>
      <c r="AL317" s="4">
        <v>1</v>
      </c>
      <c r="AM317" s="4">
        <v>1</v>
      </c>
      <c r="AN317" s="4">
        <v>0</v>
      </c>
      <c r="AO317" s="4">
        <v>0</v>
      </c>
      <c r="AP317" s="3" t="s">
        <v>58</v>
      </c>
      <c r="AQ317" s="3" t="s">
        <v>86</v>
      </c>
      <c r="AR317" s="6" t="str">
        <f>HYPERLINK("http://catalog.hathitrust.org/Record/001578023","HathiTrust Record")</f>
        <v>HathiTrust Record</v>
      </c>
      <c r="AS317" s="6" t="str">
        <f>HYPERLINK("https://creighton-primo.hosted.exlibrisgroup.com/primo-explore/search?tab=default_tab&amp;search_scope=EVERYTHING&amp;vid=01CRU&amp;lang=en_US&amp;offset=0&amp;query=any,contains,991001790989702656","Catalog Record")</f>
        <v>Catalog Record</v>
      </c>
      <c r="AT317" s="6" t="str">
        <f>HYPERLINK("http://www.worldcat.org/oclc/439643","WorldCat Record")</f>
        <v>WorldCat Record</v>
      </c>
      <c r="AU317" s="3" t="s">
        <v>4246</v>
      </c>
      <c r="AV317" s="3" t="s">
        <v>4247</v>
      </c>
      <c r="AW317" s="3" t="s">
        <v>4248</v>
      </c>
      <c r="AX317" s="3" t="s">
        <v>4248</v>
      </c>
      <c r="AY317" s="3" t="s">
        <v>4249</v>
      </c>
      <c r="AZ317" s="3" t="s">
        <v>74</v>
      </c>
      <c r="BC317" s="3" t="s">
        <v>4250</v>
      </c>
      <c r="BD317" s="3" t="s">
        <v>4251</v>
      </c>
    </row>
    <row r="318" spans="1:56" ht="42.75" customHeight="1" x14ac:dyDescent="0.25">
      <c r="A318" s="7" t="s">
        <v>58</v>
      </c>
      <c r="B318" s="2" t="s">
        <v>4252</v>
      </c>
      <c r="C318" s="2" t="s">
        <v>4253</v>
      </c>
      <c r="D318" s="2" t="s">
        <v>4254</v>
      </c>
      <c r="F318" s="3" t="s">
        <v>58</v>
      </c>
      <c r="G318" s="3" t="s">
        <v>59</v>
      </c>
      <c r="H318" s="3" t="s">
        <v>58</v>
      </c>
      <c r="I318" s="3" t="s">
        <v>58</v>
      </c>
      <c r="J318" s="3" t="s">
        <v>60</v>
      </c>
      <c r="K318" s="2" t="s">
        <v>4255</v>
      </c>
      <c r="L318" s="2" t="s">
        <v>4256</v>
      </c>
      <c r="M318" s="3" t="s">
        <v>1361</v>
      </c>
      <c r="N318" s="2" t="s">
        <v>1736</v>
      </c>
      <c r="O318" s="3" t="s">
        <v>64</v>
      </c>
      <c r="P318" s="3" t="s">
        <v>99</v>
      </c>
      <c r="R318" s="3" t="s">
        <v>67</v>
      </c>
      <c r="S318" s="4">
        <v>1</v>
      </c>
      <c r="T318" s="4">
        <v>1</v>
      </c>
      <c r="U318" s="5" t="s">
        <v>4257</v>
      </c>
      <c r="V318" s="5" t="s">
        <v>4257</v>
      </c>
      <c r="W318" s="5" t="s">
        <v>4257</v>
      </c>
      <c r="X318" s="5" t="s">
        <v>4257</v>
      </c>
      <c r="Y318" s="4">
        <v>423</v>
      </c>
      <c r="Z318" s="4">
        <v>403</v>
      </c>
      <c r="AA318" s="4">
        <v>408</v>
      </c>
      <c r="AB318" s="4">
        <v>2</v>
      </c>
      <c r="AC318" s="4">
        <v>2</v>
      </c>
      <c r="AD318" s="4">
        <v>1</v>
      </c>
      <c r="AE318" s="4">
        <v>1</v>
      </c>
      <c r="AF318" s="4">
        <v>0</v>
      </c>
      <c r="AG318" s="4">
        <v>0</v>
      </c>
      <c r="AH318" s="4">
        <v>0</v>
      </c>
      <c r="AI318" s="4">
        <v>0</v>
      </c>
      <c r="AJ318" s="4">
        <v>0</v>
      </c>
      <c r="AK318" s="4">
        <v>0</v>
      </c>
      <c r="AL318" s="4">
        <v>1</v>
      </c>
      <c r="AM318" s="4">
        <v>1</v>
      </c>
      <c r="AN318" s="4">
        <v>0</v>
      </c>
      <c r="AO318" s="4">
        <v>0</v>
      </c>
      <c r="AP318" s="3" t="s">
        <v>58</v>
      </c>
      <c r="AQ318" s="3" t="s">
        <v>58</v>
      </c>
      <c r="AS318" s="6" t="str">
        <f>HYPERLINK("https://creighton-primo.hosted.exlibrisgroup.com/primo-explore/search?tab=default_tab&amp;search_scope=EVERYTHING&amp;vid=01CRU&amp;lang=en_US&amp;offset=0&amp;query=any,contains,991005082479702656","Catalog Record")</f>
        <v>Catalog Record</v>
      </c>
      <c r="AT318" s="6" t="str">
        <f>HYPERLINK("http://www.worldcat.org/oclc/72871361","WorldCat Record")</f>
        <v>WorldCat Record</v>
      </c>
      <c r="AU318" s="3" t="s">
        <v>4258</v>
      </c>
      <c r="AV318" s="3" t="s">
        <v>4259</v>
      </c>
      <c r="AW318" s="3" t="s">
        <v>4260</v>
      </c>
      <c r="AX318" s="3" t="s">
        <v>4260</v>
      </c>
      <c r="AY318" s="3" t="s">
        <v>4261</v>
      </c>
      <c r="AZ318" s="3" t="s">
        <v>74</v>
      </c>
      <c r="BB318" s="3" t="s">
        <v>4262</v>
      </c>
      <c r="BC318" s="3" t="s">
        <v>4263</v>
      </c>
      <c r="BD318" s="3" t="s">
        <v>4264</v>
      </c>
    </row>
    <row r="319" spans="1:56" ht="42.75" customHeight="1" x14ac:dyDescent="0.25">
      <c r="A319" s="7" t="s">
        <v>58</v>
      </c>
      <c r="B319" s="2" t="s">
        <v>4265</v>
      </c>
      <c r="C319" s="2" t="s">
        <v>4266</v>
      </c>
      <c r="D319" s="2" t="s">
        <v>4267</v>
      </c>
      <c r="F319" s="3" t="s">
        <v>58</v>
      </c>
      <c r="G319" s="3" t="s">
        <v>59</v>
      </c>
      <c r="H319" s="3" t="s">
        <v>58</v>
      </c>
      <c r="I319" s="3" t="s">
        <v>58</v>
      </c>
      <c r="J319" s="3" t="s">
        <v>60</v>
      </c>
      <c r="K319" s="2" t="s">
        <v>4268</v>
      </c>
      <c r="L319" s="2" t="s">
        <v>4269</v>
      </c>
      <c r="M319" s="3" t="s">
        <v>1035</v>
      </c>
      <c r="N319" s="2" t="s">
        <v>1736</v>
      </c>
      <c r="O319" s="3" t="s">
        <v>64</v>
      </c>
      <c r="P319" s="3" t="s">
        <v>115</v>
      </c>
      <c r="R319" s="3" t="s">
        <v>67</v>
      </c>
      <c r="S319" s="4">
        <v>4</v>
      </c>
      <c r="T319" s="4">
        <v>4</v>
      </c>
      <c r="U319" s="5" t="s">
        <v>4204</v>
      </c>
      <c r="V319" s="5" t="s">
        <v>4204</v>
      </c>
      <c r="W319" s="5" t="s">
        <v>4270</v>
      </c>
      <c r="X319" s="5" t="s">
        <v>4270</v>
      </c>
      <c r="Y319" s="4">
        <v>845</v>
      </c>
      <c r="Z319" s="4">
        <v>815</v>
      </c>
      <c r="AA319" s="4">
        <v>944</v>
      </c>
      <c r="AB319" s="4">
        <v>7</v>
      </c>
      <c r="AC319" s="4">
        <v>9</v>
      </c>
      <c r="AD319" s="4">
        <v>6</v>
      </c>
      <c r="AE319" s="4">
        <v>11</v>
      </c>
      <c r="AF319" s="4">
        <v>2</v>
      </c>
      <c r="AG319" s="4">
        <v>6</v>
      </c>
      <c r="AH319" s="4">
        <v>0</v>
      </c>
      <c r="AI319" s="4">
        <v>1</v>
      </c>
      <c r="AJ319" s="4">
        <v>4</v>
      </c>
      <c r="AK319" s="4">
        <v>6</v>
      </c>
      <c r="AL319" s="4">
        <v>1</v>
      </c>
      <c r="AM319" s="4">
        <v>2</v>
      </c>
      <c r="AN319" s="4">
        <v>0</v>
      </c>
      <c r="AO319" s="4">
        <v>0</v>
      </c>
      <c r="AP319" s="3" t="s">
        <v>58</v>
      </c>
      <c r="AQ319" s="3" t="s">
        <v>58</v>
      </c>
      <c r="AS319" s="6" t="str">
        <f>HYPERLINK("https://creighton-primo.hosted.exlibrisgroup.com/primo-explore/search?tab=default_tab&amp;search_scope=EVERYTHING&amp;vid=01CRU&amp;lang=en_US&amp;offset=0&amp;query=any,contains,991003557129702656","Catalog Record")</f>
        <v>Catalog Record</v>
      </c>
      <c r="AT319" s="6" t="str">
        <f>HYPERLINK("http://www.worldcat.org/oclc/45890393","WorldCat Record")</f>
        <v>WorldCat Record</v>
      </c>
      <c r="AU319" s="3" t="s">
        <v>4271</v>
      </c>
      <c r="AV319" s="3" t="s">
        <v>4272</v>
      </c>
      <c r="AW319" s="3" t="s">
        <v>4273</v>
      </c>
      <c r="AX319" s="3" t="s">
        <v>4273</v>
      </c>
      <c r="AY319" s="3" t="s">
        <v>4274</v>
      </c>
      <c r="AZ319" s="3" t="s">
        <v>74</v>
      </c>
      <c r="BB319" s="3" t="s">
        <v>4275</v>
      </c>
      <c r="BC319" s="3" t="s">
        <v>4276</v>
      </c>
      <c r="BD319" s="3" t="s">
        <v>4277</v>
      </c>
    </row>
    <row r="320" spans="1:56" ht="42.75" customHeight="1" x14ac:dyDescent="0.25">
      <c r="A320" s="7" t="s">
        <v>58</v>
      </c>
      <c r="B320" s="2" t="s">
        <v>4278</v>
      </c>
      <c r="C320" s="2" t="s">
        <v>4279</v>
      </c>
      <c r="D320" s="2" t="s">
        <v>4280</v>
      </c>
      <c r="F320" s="3" t="s">
        <v>58</v>
      </c>
      <c r="G320" s="3" t="s">
        <v>59</v>
      </c>
      <c r="H320" s="3" t="s">
        <v>58</v>
      </c>
      <c r="I320" s="3" t="s">
        <v>58</v>
      </c>
      <c r="J320" s="3" t="s">
        <v>60</v>
      </c>
      <c r="K320" s="2" t="s">
        <v>4281</v>
      </c>
      <c r="L320" s="2" t="s">
        <v>4282</v>
      </c>
      <c r="M320" s="3" t="s">
        <v>238</v>
      </c>
      <c r="O320" s="3" t="s">
        <v>64</v>
      </c>
      <c r="P320" s="3" t="s">
        <v>115</v>
      </c>
      <c r="R320" s="3" t="s">
        <v>67</v>
      </c>
      <c r="S320" s="4">
        <v>9</v>
      </c>
      <c r="T320" s="4">
        <v>9</v>
      </c>
      <c r="U320" s="5" t="s">
        <v>4283</v>
      </c>
      <c r="V320" s="5" t="s">
        <v>4283</v>
      </c>
      <c r="W320" s="5" t="s">
        <v>3528</v>
      </c>
      <c r="X320" s="5" t="s">
        <v>3528</v>
      </c>
      <c r="Y320" s="4">
        <v>413</v>
      </c>
      <c r="Z320" s="4">
        <v>352</v>
      </c>
      <c r="AA320" s="4">
        <v>354</v>
      </c>
      <c r="AB320" s="4">
        <v>3</v>
      </c>
      <c r="AC320" s="4">
        <v>3</v>
      </c>
      <c r="AD320" s="4">
        <v>11</v>
      </c>
      <c r="AE320" s="4">
        <v>11</v>
      </c>
      <c r="AF320" s="4">
        <v>6</v>
      </c>
      <c r="AG320" s="4">
        <v>6</v>
      </c>
      <c r="AH320" s="4">
        <v>1</v>
      </c>
      <c r="AI320" s="4">
        <v>1</v>
      </c>
      <c r="AJ320" s="4">
        <v>5</v>
      </c>
      <c r="AK320" s="4">
        <v>5</v>
      </c>
      <c r="AL320" s="4">
        <v>1</v>
      </c>
      <c r="AM320" s="4">
        <v>1</v>
      </c>
      <c r="AN320" s="4">
        <v>0</v>
      </c>
      <c r="AO320" s="4">
        <v>0</v>
      </c>
      <c r="AP320" s="3" t="s">
        <v>58</v>
      </c>
      <c r="AQ320" s="3" t="s">
        <v>86</v>
      </c>
      <c r="AR320" s="6" t="str">
        <f>HYPERLINK("http://catalog.hathitrust.org/Record/000705432","HathiTrust Record")</f>
        <v>HathiTrust Record</v>
      </c>
      <c r="AS320" s="6" t="str">
        <f>HYPERLINK("https://creighton-primo.hosted.exlibrisgroup.com/primo-explore/search?tab=default_tab&amp;search_scope=EVERYTHING&amp;vid=01CRU&amp;lang=en_US&amp;offset=0&amp;query=any,contains,991005072689702656","Catalog Record")</f>
        <v>Catalog Record</v>
      </c>
      <c r="AT320" s="6" t="str">
        <f>HYPERLINK("http://www.worldcat.org/oclc/5029460","WorldCat Record")</f>
        <v>WorldCat Record</v>
      </c>
      <c r="AU320" s="3" t="s">
        <v>4284</v>
      </c>
      <c r="AV320" s="3" t="s">
        <v>4285</v>
      </c>
      <c r="AW320" s="3" t="s">
        <v>4286</v>
      </c>
      <c r="AX320" s="3" t="s">
        <v>4286</v>
      </c>
      <c r="AY320" s="3" t="s">
        <v>4287</v>
      </c>
      <c r="AZ320" s="3" t="s">
        <v>74</v>
      </c>
      <c r="BB320" s="3" t="s">
        <v>4288</v>
      </c>
      <c r="BC320" s="3" t="s">
        <v>4289</v>
      </c>
      <c r="BD320" s="3" t="s">
        <v>4290</v>
      </c>
    </row>
    <row r="321" spans="1:56" ht="42.75" customHeight="1" x14ac:dyDescent="0.25">
      <c r="A321" s="7" t="s">
        <v>58</v>
      </c>
      <c r="B321" s="2" t="s">
        <v>4291</v>
      </c>
      <c r="C321" s="2" t="s">
        <v>4292</v>
      </c>
      <c r="D321" s="2" t="s">
        <v>4293</v>
      </c>
      <c r="F321" s="3" t="s">
        <v>58</v>
      </c>
      <c r="G321" s="3" t="s">
        <v>59</v>
      </c>
      <c r="H321" s="3" t="s">
        <v>58</v>
      </c>
      <c r="I321" s="3" t="s">
        <v>58</v>
      </c>
      <c r="J321" s="3" t="s">
        <v>60</v>
      </c>
      <c r="K321" s="2" t="s">
        <v>4294</v>
      </c>
      <c r="L321" s="2" t="s">
        <v>4295</v>
      </c>
      <c r="M321" s="3" t="s">
        <v>4296</v>
      </c>
      <c r="N321" s="2" t="s">
        <v>1736</v>
      </c>
      <c r="O321" s="3" t="s">
        <v>64</v>
      </c>
      <c r="P321" s="3" t="s">
        <v>115</v>
      </c>
      <c r="R321" s="3" t="s">
        <v>67</v>
      </c>
      <c r="S321" s="4">
        <v>12</v>
      </c>
      <c r="T321" s="4">
        <v>12</v>
      </c>
      <c r="U321" s="5" t="s">
        <v>4297</v>
      </c>
      <c r="V321" s="5" t="s">
        <v>4297</v>
      </c>
      <c r="W321" s="5" t="s">
        <v>4298</v>
      </c>
      <c r="X321" s="5" t="s">
        <v>4298</v>
      </c>
      <c r="Y321" s="4">
        <v>830</v>
      </c>
      <c r="Z321" s="4">
        <v>770</v>
      </c>
      <c r="AA321" s="4">
        <v>953</v>
      </c>
      <c r="AB321" s="4">
        <v>6</v>
      </c>
      <c r="AC321" s="4">
        <v>9</v>
      </c>
      <c r="AD321" s="4">
        <v>22</v>
      </c>
      <c r="AE321" s="4">
        <v>33</v>
      </c>
      <c r="AF321" s="4">
        <v>10</v>
      </c>
      <c r="AG321" s="4">
        <v>13</v>
      </c>
      <c r="AH321" s="4">
        <v>6</v>
      </c>
      <c r="AI321" s="4">
        <v>6</v>
      </c>
      <c r="AJ321" s="4">
        <v>11</v>
      </c>
      <c r="AK321" s="4">
        <v>16</v>
      </c>
      <c r="AL321" s="4">
        <v>4</v>
      </c>
      <c r="AM321" s="4">
        <v>7</v>
      </c>
      <c r="AN321" s="4">
        <v>0</v>
      </c>
      <c r="AO321" s="4">
        <v>0</v>
      </c>
      <c r="AP321" s="3" t="s">
        <v>58</v>
      </c>
      <c r="AQ321" s="3" t="s">
        <v>86</v>
      </c>
      <c r="AR321" s="6" t="str">
        <f>HYPERLINK("http://catalog.hathitrust.org/Record/000030023","HathiTrust Record")</f>
        <v>HathiTrust Record</v>
      </c>
      <c r="AS321" s="6" t="str">
        <f>HYPERLINK("https://creighton-primo.hosted.exlibrisgroup.com/primo-explore/search?tab=default_tab&amp;search_scope=EVERYTHING&amp;vid=01CRU&amp;lang=en_US&amp;offset=0&amp;query=any,contains,991003530149702656","Catalog Record")</f>
        <v>Catalog Record</v>
      </c>
      <c r="AT321" s="6" t="str">
        <f>HYPERLINK("http://www.worldcat.org/oclc/1093333","WorldCat Record")</f>
        <v>WorldCat Record</v>
      </c>
      <c r="AU321" s="3" t="s">
        <v>4299</v>
      </c>
      <c r="AV321" s="3" t="s">
        <v>4300</v>
      </c>
      <c r="AW321" s="3" t="s">
        <v>4301</v>
      </c>
      <c r="AX321" s="3" t="s">
        <v>4301</v>
      </c>
      <c r="AY321" s="3" t="s">
        <v>4302</v>
      </c>
      <c r="AZ321" s="3" t="s">
        <v>74</v>
      </c>
      <c r="BB321" s="3" t="s">
        <v>4303</v>
      </c>
      <c r="BC321" s="3" t="s">
        <v>4304</v>
      </c>
      <c r="BD321" s="3" t="s">
        <v>4305</v>
      </c>
    </row>
    <row r="322" spans="1:56" ht="42.75" customHeight="1" x14ac:dyDescent="0.25">
      <c r="A322" s="7" t="s">
        <v>58</v>
      </c>
      <c r="B322" s="2" t="s">
        <v>4306</v>
      </c>
      <c r="C322" s="2" t="s">
        <v>4307</v>
      </c>
      <c r="D322" s="2" t="s">
        <v>4308</v>
      </c>
      <c r="F322" s="3" t="s">
        <v>58</v>
      </c>
      <c r="G322" s="3" t="s">
        <v>59</v>
      </c>
      <c r="H322" s="3" t="s">
        <v>58</v>
      </c>
      <c r="I322" s="3" t="s">
        <v>58</v>
      </c>
      <c r="J322" s="3" t="s">
        <v>60</v>
      </c>
      <c r="K322" s="2" t="s">
        <v>4309</v>
      </c>
      <c r="L322" s="2" t="s">
        <v>4310</v>
      </c>
      <c r="M322" s="3" t="s">
        <v>3124</v>
      </c>
      <c r="O322" s="3" t="s">
        <v>64</v>
      </c>
      <c r="P322" s="3" t="s">
        <v>115</v>
      </c>
      <c r="Q322" s="2" t="s">
        <v>4311</v>
      </c>
      <c r="R322" s="3" t="s">
        <v>67</v>
      </c>
      <c r="S322" s="4">
        <v>1</v>
      </c>
      <c r="T322" s="4">
        <v>1</v>
      </c>
      <c r="U322" s="5" t="s">
        <v>4312</v>
      </c>
      <c r="V322" s="5" t="s">
        <v>4312</v>
      </c>
      <c r="W322" s="5" t="s">
        <v>3917</v>
      </c>
      <c r="X322" s="5" t="s">
        <v>3917</v>
      </c>
      <c r="Y322" s="4">
        <v>582</v>
      </c>
      <c r="Z322" s="4">
        <v>482</v>
      </c>
      <c r="AA322" s="4">
        <v>489</v>
      </c>
      <c r="AB322" s="4">
        <v>5</v>
      </c>
      <c r="AC322" s="4">
        <v>5</v>
      </c>
      <c r="AD322" s="4">
        <v>23</v>
      </c>
      <c r="AE322" s="4">
        <v>23</v>
      </c>
      <c r="AF322" s="4">
        <v>8</v>
      </c>
      <c r="AG322" s="4">
        <v>8</v>
      </c>
      <c r="AH322" s="4">
        <v>6</v>
      </c>
      <c r="AI322" s="4">
        <v>6</v>
      </c>
      <c r="AJ322" s="4">
        <v>12</v>
      </c>
      <c r="AK322" s="4">
        <v>12</v>
      </c>
      <c r="AL322" s="4">
        <v>4</v>
      </c>
      <c r="AM322" s="4">
        <v>4</v>
      </c>
      <c r="AN322" s="4">
        <v>0</v>
      </c>
      <c r="AO322" s="4">
        <v>0</v>
      </c>
      <c r="AP322" s="3" t="s">
        <v>58</v>
      </c>
      <c r="AQ322" s="3" t="s">
        <v>86</v>
      </c>
      <c r="AR322" s="6" t="str">
        <f>HYPERLINK("http://catalog.hathitrust.org/Record/001563216","HathiTrust Record")</f>
        <v>HathiTrust Record</v>
      </c>
      <c r="AS322" s="6" t="str">
        <f>HYPERLINK("https://creighton-primo.hosted.exlibrisgroup.com/primo-explore/search?tab=default_tab&amp;search_scope=EVERYTHING&amp;vid=01CRU&amp;lang=en_US&amp;offset=0&amp;query=any,contains,991000605369702656","Catalog Record")</f>
        <v>Catalog Record</v>
      </c>
      <c r="AT322" s="6" t="str">
        <f>HYPERLINK("http://www.worldcat.org/oclc/98833","WorldCat Record")</f>
        <v>WorldCat Record</v>
      </c>
      <c r="AU322" s="3" t="s">
        <v>4313</v>
      </c>
      <c r="AV322" s="3" t="s">
        <v>4314</v>
      </c>
      <c r="AW322" s="3" t="s">
        <v>4315</v>
      </c>
      <c r="AX322" s="3" t="s">
        <v>4315</v>
      </c>
      <c r="AY322" s="3" t="s">
        <v>4316</v>
      </c>
      <c r="AZ322" s="3" t="s">
        <v>74</v>
      </c>
      <c r="BB322" s="3" t="s">
        <v>4317</v>
      </c>
      <c r="BC322" s="3" t="s">
        <v>4318</v>
      </c>
      <c r="BD322" s="3" t="s">
        <v>4319</v>
      </c>
    </row>
    <row r="323" spans="1:56" ht="42.75" customHeight="1" x14ac:dyDescent="0.25">
      <c r="A323" s="7" t="s">
        <v>58</v>
      </c>
      <c r="B323" s="2" t="s">
        <v>4320</v>
      </c>
      <c r="C323" s="2" t="s">
        <v>4321</v>
      </c>
      <c r="D323" s="2" t="s">
        <v>4322</v>
      </c>
      <c r="F323" s="3" t="s">
        <v>58</v>
      </c>
      <c r="G323" s="3" t="s">
        <v>59</v>
      </c>
      <c r="H323" s="3" t="s">
        <v>86</v>
      </c>
      <c r="I323" s="3" t="s">
        <v>58</v>
      </c>
      <c r="J323" s="3" t="s">
        <v>60</v>
      </c>
      <c r="L323" s="2" t="s">
        <v>4323</v>
      </c>
      <c r="M323" s="3" t="s">
        <v>238</v>
      </c>
      <c r="O323" s="3" t="s">
        <v>64</v>
      </c>
      <c r="P323" s="3" t="s">
        <v>115</v>
      </c>
      <c r="Q323" s="2" t="s">
        <v>4324</v>
      </c>
      <c r="R323" s="3" t="s">
        <v>67</v>
      </c>
      <c r="S323" s="4">
        <v>3</v>
      </c>
      <c r="T323" s="4">
        <v>7</v>
      </c>
      <c r="U323" s="5" t="s">
        <v>4325</v>
      </c>
      <c r="V323" s="5" t="s">
        <v>4325</v>
      </c>
      <c r="W323" s="5" t="s">
        <v>4326</v>
      </c>
      <c r="X323" s="5" t="s">
        <v>4326</v>
      </c>
      <c r="Y323" s="4">
        <v>423</v>
      </c>
      <c r="Z323" s="4">
        <v>326</v>
      </c>
      <c r="AA323" s="4">
        <v>336</v>
      </c>
      <c r="AB323" s="4">
        <v>4</v>
      </c>
      <c r="AC323" s="4">
        <v>4</v>
      </c>
      <c r="AD323" s="4">
        <v>16</v>
      </c>
      <c r="AE323" s="4">
        <v>16</v>
      </c>
      <c r="AF323" s="4">
        <v>3</v>
      </c>
      <c r="AG323" s="4">
        <v>3</v>
      </c>
      <c r="AH323" s="4">
        <v>5</v>
      </c>
      <c r="AI323" s="4">
        <v>5</v>
      </c>
      <c r="AJ323" s="4">
        <v>10</v>
      </c>
      <c r="AK323" s="4">
        <v>10</v>
      </c>
      <c r="AL323" s="4">
        <v>2</v>
      </c>
      <c r="AM323" s="4">
        <v>2</v>
      </c>
      <c r="AN323" s="4">
        <v>0</v>
      </c>
      <c r="AO323" s="4">
        <v>0</v>
      </c>
      <c r="AP323" s="3" t="s">
        <v>58</v>
      </c>
      <c r="AQ323" s="3" t="s">
        <v>86</v>
      </c>
      <c r="AR323" s="6" t="str">
        <f>HYPERLINK("http://catalog.hathitrust.org/Record/000022380","HathiTrust Record")</f>
        <v>HathiTrust Record</v>
      </c>
      <c r="AS323" s="6" t="str">
        <f>HYPERLINK("https://creighton-primo.hosted.exlibrisgroup.com/primo-explore/search?tab=default_tab&amp;search_scope=EVERYTHING&amp;vid=01CRU&amp;lang=en_US&amp;offset=0&amp;query=any,contains,991001800969702656","Catalog Record")</f>
        <v>Catalog Record</v>
      </c>
      <c r="AT323" s="6" t="str">
        <f>HYPERLINK("http://www.worldcat.org/oclc/4494696","WorldCat Record")</f>
        <v>WorldCat Record</v>
      </c>
      <c r="AU323" s="3" t="s">
        <v>4327</v>
      </c>
      <c r="AV323" s="3" t="s">
        <v>4328</v>
      </c>
      <c r="AW323" s="3" t="s">
        <v>4329</v>
      </c>
      <c r="AX323" s="3" t="s">
        <v>4329</v>
      </c>
      <c r="AY323" s="3" t="s">
        <v>4330</v>
      </c>
      <c r="AZ323" s="3" t="s">
        <v>74</v>
      </c>
      <c r="BB323" s="3" t="s">
        <v>4331</v>
      </c>
      <c r="BC323" s="3" t="s">
        <v>4332</v>
      </c>
      <c r="BD323" s="3" t="s">
        <v>4333</v>
      </c>
    </row>
    <row r="324" spans="1:56" ht="42.75" customHeight="1" x14ac:dyDescent="0.25">
      <c r="A324" s="7" t="s">
        <v>58</v>
      </c>
      <c r="B324" s="2" t="s">
        <v>4334</v>
      </c>
      <c r="C324" s="2" t="s">
        <v>4335</v>
      </c>
      <c r="D324" s="2" t="s">
        <v>4336</v>
      </c>
      <c r="F324" s="3" t="s">
        <v>58</v>
      </c>
      <c r="G324" s="3" t="s">
        <v>59</v>
      </c>
      <c r="H324" s="3" t="s">
        <v>58</v>
      </c>
      <c r="I324" s="3" t="s">
        <v>58</v>
      </c>
      <c r="J324" s="3" t="s">
        <v>60</v>
      </c>
      <c r="K324" s="2" t="s">
        <v>4337</v>
      </c>
      <c r="L324" s="2" t="s">
        <v>4338</v>
      </c>
      <c r="M324" s="3" t="s">
        <v>888</v>
      </c>
      <c r="O324" s="3" t="s">
        <v>64</v>
      </c>
      <c r="P324" s="3" t="s">
        <v>99</v>
      </c>
      <c r="R324" s="3" t="s">
        <v>67</v>
      </c>
      <c r="S324" s="4">
        <v>15</v>
      </c>
      <c r="T324" s="4">
        <v>15</v>
      </c>
      <c r="U324" s="5" t="s">
        <v>4339</v>
      </c>
      <c r="V324" s="5" t="s">
        <v>4339</v>
      </c>
      <c r="W324" s="5" t="s">
        <v>4340</v>
      </c>
      <c r="X324" s="5" t="s">
        <v>4340</v>
      </c>
      <c r="Y324" s="4">
        <v>1032</v>
      </c>
      <c r="Z324" s="4">
        <v>968</v>
      </c>
      <c r="AA324" s="4">
        <v>1457</v>
      </c>
      <c r="AB324" s="4">
        <v>9</v>
      </c>
      <c r="AC324" s="4">
        <v>14</v>
      </c>
      <c r="AD324" s="4">
        <v>34</v>
      </c>
      <c r="AE324" s="4">
        <v>51</v>
      </c>
      <c r="AF324" s="4">
        <v>12</v>
      </c>
      <c r="AG324" s="4">
        <v>23</v>
      </c>
      <c r="AH324" s="4">
        <v>8</v>
      </c>
      <c r="AI324" s="4">
        <v>9</v>
      </c>
      <c r="AJ324" s="4">
        <v>16</v>
      </c>
      <c r="AK324" s="4">
        <v>21</v>
      </c>
      <c r="AL324" s="4">
        <v>6</v>
      </c>
      <c r="AM324" s="4">
        <v>11</v>
      </c>
      <c r="AN324" s="4">
        <v>0</v>
      </c>
      <c r="AO324" s="4">
        <v>0</v>
      </c>
      <c r="AP324" s="3" t="s">
        <v>58</v>
      </c>
      <c r="AQ324" s="3" t="s">
        <v>58</v>
      </c>
      <c r="AS324" s="6" t="str">
        <f>HYPERLINK("https://creighton-primo.hosted.exlibrisgroup.com/primo-explore/search?tab=default_tab&amp;search_scope=EVERYTHING&amp;vid=01CRU&amp;lang=en_US&amp;offset=0&amp;query=any,contains,991003004209702656","Catalog Record")</f>
        <v>Catalog Record</v>
      </c>
      <c r="AT324" s="6" t="str">
        <f>HYPERLINK("http://www.worldcat.org/oclc/40700193","WorldCat Record")</f>
        <v>WorldCat Record</v>
      </c>
      <c r="AU324" s="3" t="s">
        <v>4341</v>
      </c>
      <c r="AV324" s="3" t="s">
        <v>4342</v>
      </c>
      <c r="AW324" s="3" t="s">
        <v>4343</v>
      </c>
      <c r="AX324" s="3" t="s">
        <v>4343</v>
      </c>
      <c r="AY324" s="3" t="s">
        <v>4344</v>
      </c>
      <c r="AZ324" s="3" t="s">
        <v>74</v>
      </c>
      <c r="BB324" s="3" t="s">
        <v>4345</v>
      </c>
      <c r="BC324" s="3" t="s">
        <v>4346</v>
      </c>
      <c r="BD324" s="3" t="s">
        <v>4347</v>
      </c>
    </row>
    <row r="325" spans="1:56" ht="42.75" customHeight="1" x14ac:dyDescent="0.25">
      <c r="A325" s="7" t="s">
        <v>58</v>
      </c>
      <c r="B325" s="2" t="s">
        <v>4348</v>
      </c>
      <c r="C325" s="2" t="s">
        <v>4349</v>
      </c>
      <c r="D325" s="2" t="s">
        <v>4350</v>
      </c>
      <c r="F325" s="3" t="s">
        <v>58</v>
      </c>
      <c r="G325" s="3" t="s">
        <v>59</v>
      </c>
      <c r="H325" s="3" t="s">
        <v>58</v>
      </c>
      <c r="I325" s="3" t="s">
        <v>58</v>
      </c>
      <c r="J325" s="3" t="s">
        <v>60</v>
      </c>
      <c r="K325" s="2" t="s">
        <v>4351</v>
      </c>
      <c r="L325" s="2" t="s">
        <v>4352</v>
      </c>
      <c r="M325" s="3" t="s">
        <v>480</v>
      </c>
      <c r="O325" s="3" t="s">
        <v>64</v>
      </c>
      <c r="P325" s="3" t="s">
        <v>115</v>
      </c>
      <c r="Q325" s="2" t="s">
        <v>3999</v>
      </c>
      <c r="R325" s="3" t="s">
        <v>67</v>
      </c>
      <c r="S325" s="4">
        <v>4</v>
      </c>
      <c r="T325" s="4">
        <v>4</v>
      </c>
      <c r="U325" s="5" t="s">
        <v>3986</v>
      </c>
      <c r="V325" s="5" t="s">
        <v>3986</v>
      </c>
      <c r="W325" s="5" t="s">
        <v>4353</v>
      </c>
      <c r="X325" s="5" t="s">
        <v>4353</v>
      </c>
      <c r="Y325" s="4">
        <v>284</v>
      </c>
      <c r="Z325" s="4">
        <v>210</v>
      </c>
      <c r="AA325" s="4">
        <v>277</v>
      </c>
      <c r="AB325" s="4">
        <v>2</v>
      </c>
      <c r="AC325" s="4">
        <v>2</v>
      </c>
      <c r="AD325" s="4">
        <v>12</v>
      </c>
      <c r="AE325" s="4">
        <v>12</v>
      </c>
      <c r="AF325" s="4">
        <v>4</v>
      </c>
      <c r="AG325" s="4">
        <v>4</v>
      </c>
      <c r="AH325" s="4">
        <v>3</v>
      </c>
      <c r="AI325" s="4">
        <v>3</v>
      </c>
      <c r="AJ325" s="4">
        <v>8</v>
      </c>
      <c r="AK325" s="4">
        <v>8</v>
      </c>
      <c r="AL325" s="4">
        <v>1</v>
      </c>
      <c r="AM325" s="4">
        <v>1</v>
      </c>
      <c r="AN325" s="4">
        <v>0</v>
      </c>
      <c r="AO325" s="4">
        <v>0</v>
      </c>
      <c r="AP325" s="3" t="s">
        <v>58</v>
      </c>
      <c r="AQ325" s="3" t="s">
        <v>86</v>
      </c>
      <c r="AR325" s="6" t="str">
        <f>HYPERLINK("http://catalog.hathitrust.org/Record/001826984","HathiTrust Record")</f>
        <v>HathiTrust Record</v>
      </c>
      <c r="AS325" s="6" t="str">
        <f>HYPERLINK("https://creighton-primo.hosted.exlibrisgroup.com/primo-explore/search?tab=default_tab&amp;search_scope=EVERYTHING&amp;vid=01CRU&amp;lang=en_US&amp;offset=0&amp;query=any,contains,991001423289702656","Catalog Record")</f>
        <v>Catalog Record</v>
      </c>
      <c r="AT325" s="6" t="str">
        <f>HYPERLINK("http://www.worldcat.org/oclc/18986167","WorldCat Record")</f>
        <v>WorldCat Record</v>
      </c>
      <c r="AU325" s="3" t="s">
        <v>4354</v>
      </c>
      <c r="AV325" s="3" t="s">
        <v>4355</v>
      </c>
      <c r="AW325" s="3" t="s">
        <v>4356</v>
      </c>
      <c r="AX325" s="3" t="s">
        <v>4356</v>
      </c>
      <c r="AY325" s="3" t="s">
        <v>4357</v>
      </c>
      <c r="AZ325" s="3" t="s">
        <v>74</v>
      </c>
      <c r="BB325" s="3" t="s">
        <v>4358</v>
      </c>
      <c r="BC325" s="3" t="s">
        <v>4359</v>
      </c>
      <c r="BD325" s="3" t="s">
        <v>4360</v>
      </c>
    </row>
    <row r="326" spans="1:56" ht="42.75" customHeight="1" x14ac:dyDescent="0.25">
      <c r="A326" s="7" t="s">
        <v>58</v>
      </c>
      <c r="B326" s="2" t="s">
        <v>4361</v>
      </c>
      <c r="C326" s="2" t="s">
        <v>4362</v>
      </c>
      <c r="D326" s="2" t="s">
        <v>4363</v>
      </c>
      <c r="F326" s="3" t="s">
        <v>58</v>
      </c>
      <c r="G326" s="3" t="s">
        <v>59</v>
      </c>
      <c r="H326" s="3" t="s">
        <v>58</v>
      </c>
      <c r="I326" s="3" t="s">
        <v>86</v>
      </c>
      <c r="J326" s="3" t="s">
        <v>60</v>
      </c>
      <c r="K326" s="2" t="s">
        <v>4364</v>
      </c>
      <c r="L326" s="2" t="s">
        <v>4365</v>
      </c>
      <c r="M326" s="3" t="s">
        <v>765</v>
      </c>
      <c r="N326" s="2" t="s">
        <v>1613</v>
      </c>
      <c r="O326" s="3" t="s">
        <v>64</v>
      </c>
      <c r="P326" s="3" t="s">
        <v>115</v>
      </c>
      <c r="R326" s="3" t="s">
        <v>67</v>
      </c>
      <c r="S326" s="4">
        <v>11</v>
      </c>
      <c r="T326" s="4">
        <v>11</v>
      </c>
      <c r="U326" s="5" t="s">
        <v>4366</v>
      </c>
      <c r="V326" s="5" t="s">
        <v>4366</v>
      </c>
      <c r="W326" s="5" t="s">
        <v>4367</v>
      </c>
      <c r="X326" s="5" t="s">
        <v>4367</v>
      </c>
      <c r="Y326" s="4">
        <v>592</v>
      </c>
      <c r="Z326" s="4">
        <v>401</v>
      </c>
      <c r="AA326" s="4">
        <v>1071</v>
      </c>
      <c r="AB326" s="4">
        <v>2</v>
      </c>
      <c r="AC326" s="4">
        <v>11</v>
      </c>
      <c r="AD326" s="4">
        <v>18</v>
      </c>
      <c r="AE326" s="4">
        <v>50</v>
      </c>
      <c r="AF326" s="4">
        <v>7</v>
      </c>
      <c r="AG326" s="4">
        <v>23</v>
      </c>
      <c r="AH326" s="4">
        <v>4</v>
      </c>
      <c r="AI326" s="4">
        <v>9</v>
      </c>
      <c r="AJ326" s="4">
        <v>11</v>
      </c>
      <c r="AK326" s="4">
        <v>20</v>
      </c>
      <c r="AL326" s="4">
        <v>1</v>
      </c>
      <c r="AM326" s="4">
        <v>8</v>
      </c>
      <c r="AN326" s="4">
        <v>0</v>
      </c>
      <c r="AO326" s="4">
        <v>0</v>
      </c>
      <c r="AP326" s="3" t="s">
        <v>58</v>
      </c>
      <c r="AQ326" s="3" t="s">
        <v>58</v>
      </c>
      <c r="AS326" s="6" t="str">
        <f>HYPERLINK("https://creighton-primo.hosted.exlibrisgroup.com/primo-explore/search?tab=default_tab&amp;search_scope=EVERYTHING&amp;vid=01CRU&amp;lang=en_US&amp;offset=0&amp;query=any,contains,991005419919702656","Catalog Record")</f>
        <v>Catalog Record</v>
      </c>
      <c r="AT326" s="6" t="str">
        <f>HYPERLINK("http://www.worldcat.org/oclc/31378302","WorldCat Record")</f>
        <v>WorldCat Record</v>
      </c>
      <c r="AU326" s="3" t="s">
        <v>4368</v>
      </c>
      <c r="AV326" s="3" t="s">
        <v>4369</v>
      </c>
      <c r="AW326" s="3" t="s">
        <v>4370</v>
      </c>
      <c r="AX326" s="3" t="s">
        <v>4370</v>
      </c>
      <c r="AY326" s="3" t="s">
        <v>4371</v>
      </c>
      <c r="AZ326" s="3" t="s">
        <v>74</v>
      </c>
      <c r="BB326" s="3" t="s">
        <v>4372</v>
      </c>
      <c r="BC326" s="3" t="s">
        <v>4373</v>
      </c>
      <c r="BD326" s="3" t="s">
        <v>4374</v>
      </c>
    </row>
    <row r="327" spans="1:56" ht="42.75" customHeight="1" x14ac:dyDescent="0.25">
      <c r="A327" s="7" t="s">
        <v>58</v>
      </c>
      <c r="B327" s="2" t="s">
        <v>4375</v>
      </c>
      <c r="C327" s="2" t="s">
        <v>4376</v>
      </c>
      <c r="D327" s="2" t="s">
        <v>4377</v>
      </c>
      <c r="F327" s="3" t="s">
        <v>58</v>
      </c>
      <c r="G327" s="3" t="s">
        <v>59</v>
      </c>
      <c r="H327" s="3" t="s">
        <v>86</v>
      </c>
      <c r="I327" s="3" t="s">
        <v>58</v>
      </c>
      <c r="J327" s="3" t="s">
        <v>60</v>
      </c>
      <c r="L327" s="2" t="s">
        <v>3323</v>
      </c>
      <c r="M327" s="3" t="s">
        <v>114</v>
      </c>
      <c r="O327" s="3" t="s">
        <v>64</v>
      </c>
      <c r="P327" s="3" t="s">
        <v>115</v>
      </c>
      <c r="R327" s="3" t="s">
        <v>67</v>
      </c>
      <c r="S327" s="4">
        <v>8</v>
      </c>
      <c r="T327" s="4">
        <v>8</v>
      </c>
      <c r="U327" s="5" t="s">
        <v>4378</v>
      </c>
      <c r="V327" s="5" t="s">
        <v>4378</v>
      </c>
      <c r="W327" s="5" t="s">
        <v>3528</v>
      </c>
      <c r="X327" s="5" t="s">
        <v>3528</v>
      </c>
      <c r="Y327" s="4">
        <v>230</v>
      </c>
      <c r="Z327" s="4">
        <v>165</v>
      </c>
      <c r="AA327" s="4">
        <v>183</v>
      </c>
      <c r="AB327" s="4">
        <v>2</v>
      </c>
      <c r="AC327" s="4">
        <v>2</v>
      </c>
      <c r="AD327" s="4">
        <v>5</v>
      </c>
      <c r="AE327" s="4">
        <v>5</v>
      </c>
      <c r="AF327" s="4">
        <v>1</v>
      </c>
      <c r="AG327" s="4">
        <v>1</v>
      </c>
      <c r="AH327" s="4">
        <v>1</v>
      </c>
      <c r="AI327" s="4">
        <v>1</v>
      </c>
      <c r="AJ327" s="4">
        <v>4</v>
      </c>
      <c r="AK327" s="4">
        <v>4</v>
      </c>
      <c r="AL327" s="4">
        <v>0</v>
      </c>
      <c r="AM327" s="4">
        <v>0</v>
      </c>
      <c r="AN327" s="4">
        <v>0</v>
      </c>
      <c r="AO327" s="4">
        <v>0</v>
      </c>
      <c r="AP327" s="3" t="s">
        <v>58</v>
      </c>
      <c r="AQ327" s="3" t="s">
        <v>86</v>
      </c>
      <c r="AR327" s="6" t="str">
        <f>HYPERLINK("http://catalog.hathitrust.org/Record/000123526","HathiTrust Record")</f>
        <v>HathiTrust Record</v>
      </c>
      <c r="AS327" s="6" t="str">
        <f>HYPERLINK("https://creighton-primo.hosted.exlibrisgroup.com/primo-explore/search?tab=default_tab&amp;search_scope=EVERYTHING&amp;vid=01CRU&amp;lang=en_US&amp;offset=0&amp;query=any,contains,991000341149702656","Catalog Record")</f>
        <v>Catalog Record</v>
      </c>
      <c r="AT327" s="6" t="str">
        <f>HYPERLINK("http://www.worldcat.org/oclc/10272903","WorldCat Record")</f>
        <v>WorldCat Record</v>
      </c>
      <c r="AU327" s="3" t="s">
        <v>4379</v>
      </c>
      <c r="AV327" s="3" t="s">
        <v>4380</v>
      </c>
      <c r="AW327" s="3" t="s">
        <v>4381</v>
      </c>
      <c r="AX327" s="3" t="s">
        <v>4381</v>
      </c>
      <c r="AY327" s="3" t="s">
        <v>4382</v>
      </c>
      <c r="AZ327" s="3" t="s">
        <v>74</v>
      </c>
      <c r="BB327" s="3" t="s">
        <v>4383</v>
      </c>
      <c r="BC327" s="3" t="s">
        <v>4384</v>
      </c>
      <c r="BD327" s="3" t="s">
        <v>4385</v>
      </c>
    </row>
    <row r="328" spans="1:56" ht="42.75" customHeight="1" x14ac:dyDescent="0.25">
      <c r="A328" s="7" t="s">
        <v>58</v>
      </c>
      <c r="B328" s="2" t="s">
        <v>4386</v>
      </c>
      <c r="C328" s="2" t="s">
        <v>4387</v>
      </c>
      <c r="D328" s="2" t="s">
        <v>4388</v>
      </c>
      <c r="F328" s="3" t="s">
        <v>58</v>
      </c>
      <c r="G328" s="3" t="s">
        <v>59</v>
      </c>
      <c r="H328" s="3" t="s">
        <v>58</v>
      </c>
      <c r="I328" s="3" t="s">
        <v>58</v>
      </c>
      <c r="J328" s="3" t="s">
        <v>60</v>
      </c>
      <c r="K328" s="2" t="s">
        <v>4389</v>
      </c>
      <c r="L328" s="2" t="s">
        <v>4365</v>
      </c>
      <c r="M328" s="3" t="s">
        <v>765</v>
      </c>
      <c r="O328" s="3" t="s">
        <v>4390</v>
      </c>
      <c r="P328" s="3" t="s">
        <v>115</v>
      </c>
      <c r="R328" s="3" t="s">
        <v>67</v>
      </c>
      <c r="S328" s="4">
        <v>5</v>
      </c>
      <c r="T328" s="4">
        <v>5</v>
      </c>
      <c r="U328" s="5" t="s">
        <v>4391</v>
      </c>
      <c r="V328" s="5" t="s">
        <v>4391</v>
      </c>
      <c r="W328" s="5" t="s">
        <v>4392</v>
      </c>
      <c r="X328" s="5" t="s">
        <v>4392</v>
      </c>
      <c r="Y328" s="4">
        <v>507</v>
      </c>
      <c r="Z328" s="4">
        <v>417</v>
      </c>
      <c r="AA328" s="4">
        <v>441</v>
      </c>
      <c r="AB328" s="4">
        <v>1</v>
      </c>
      <c r="AC328" s="4">
        <v>1</v>
      </c>
      <c r="AD328" s="4">
        <v>10</v>
      </c>
      <c r="AE328" s="4">
        <v>11</v>
      </c>
      <c r="AF328" s="4">
        <v>3</v>
      </c>
      <c r="AG328" s="4">
        <v>3</v>
      </c>
      <c r="AH328" s="4">
        <v>5</v>
      </c>
      <c r="AI328" s="4">
        <v>5</v>
      </c>
      <c r="AJ328" s="4">
        <v>5</v>
      </c>
      <c r="AK328" s="4">
        <v>6</v>
      </c>
      <c r="AL328" s="4">
        <v>0</v>
      </c>
      <c r="AM328" s="4">
        <v>0</v>
      </c>
      <c r="AN328" s="4">
        <v>0</v>
      </c>
      <c r="AO328" s="4">
        <v>0</v>
      </c>
      <c r="AP328" s="3" t="s">
        <v>58</v>
      </c>
      <c r="AQ328" s="3" t="s">
        <v>86</v>
      </c>
      <c r="AR328" s="6" t="str">
        <f>HYPERLINK("http://catalog.hathitrust.org/Record/003090049","HathiTrust Record")</f>
        <v>HathiTrust Record</v>
      </c>
      <c r="AS328" s="6" t="str">
        <f>HYPERLINK("https://creighton-primo.hosted.exlibrisgroup.com/primo-explore/search?tab=default_tab&amp;search_scope=EVERYTHING&amp;vid=01CRU&amp;lang=en_US&amp;offset=0&amp;query=any,contains,991002338949702656","Catalog Record")</f>
        <v>Catalog Record</v>
      </c>
      <c r="AT328" s="6" t="str">
        <f>HYPERLINK("http://www.worldcat.org/oclc/30438476","WorldCat Record")</f>
        <v>WorldCat Record</v>
      </c>
      <c r="AU328" s="3" t="s">
        <v>4393</v>
      </c>
      <c r="AV328" s="3" t="s">
        <v>4394</v>
      </c>
      <c r="AW328" s="3" t="s">
        <v>4395</v>
      </c>
      <c r="AX328" s="3" t="s">
        <v>4395</v>
      </c>
      <c r="AY328" s="3" t="s">
        <v>4396</v>
      </c>
      <c r="AZ328" s="3" t="s">
        <v>74</v>
      </c>
      <c r="BB328" s="3" t="s">
        <v>4397</v>
      </c>
      <c r="BC328" s="3" t="s">
        <v>4398</v>
      </c>
      <c r="BD328" s="3" t="s">
        <v>4399</v>
      </c>
    </row>
    <row r="329" spans="1:56" ht="42.75" customHeight="1" x14ac:dyDescent="0.25">
      <c r="A329" s="7" t="s">
        <v>58</v>
      </c>
      <c r="B329" s="2" t="s">
        <v>4400</v>
      </c>
      <c r="C329" s="2" t="s">
        <v>4401</v>
      </c>
      <c r="D329" s="2" t="s">
        <v>4402</v>
      </c>
      <c r="F329" s="3" t="s">
        <v>58</v>
      </c>
      <c r="G329" s="3" t="s">
        <v>59</v>
      </c>
      <c r="H329" s="3" t="s">
        <v>58</v>
      </c>
      <c r="I329" s="3" t="s">
        <v>58</v>
      </c>
      <c r="J329" s="3" t="s">
        <v>60</v>
      </c>
      <c r="K329" s="2" t="s">
        <v>4403</v>
      </c>
      <c r="L329" s="2" t="s">
        <v>4404</v>
      </c>
      <c r="M329" s="3" t="s">
        <v>1574</v>
      </c>
      <c r="O329" s="3" t="s">
        <v>64</v>
      </c>
      <c r="P329" s="3" t="s">
        <v>115</v>
      </c>
      <c r="R329" s="3" t="s">
        <v>67</v>
      </c>
      <c r="S329" s="4">
        <v>5</v>
      </c>
      <c r="T329" s="4">
        <v>5</v>
      </c>
      <c r="U329" s="5" t="s">
        <v>4405</v>
      </c>
      <c r="V329" s="5" t="s">
        <v>4405</v>
      </c>
      <c r="W329" s="5" t="s">
        <v>3528</v>
      </c>
      <c r="X329" s="5" t="s">
        <v>3528</v>
      </c>
      <c r="Y329" s="4">
        <v>401</v>
      </c>
      <c r="Z329" s="4">
        <v>299</v>
      </c>
      <c r="AA329" s="4">
        <v>307</v>
      </c>
      <c r="AB329" s="4">
        <v>1</v>
      </c>
      <c r="AC329" s="4">
        <v>1</v>
      </c>
      <c r="AD329" s="4">
        <v>15</v>
      </c>
      <c r="AE329" s="4">
        <v>15</v>
      </c>
      <c r="AF329" s="4">
        <v>7</v>
      </c>
      <c r="AG329" s="4">
        <v>7</v>
      </c>
      <c r="AH329" s="4">
        <v>3</v>
      </c>
      <c r="AI329" s="4">
        <v>3</v>
      </c>
      <c r="AJ329" s="4">
        <v>10</v>
      </c>
      <c r="AK329" s="4">
        <v>10</v>
      </c>
      <c r="AL329" s="4">
        <v>0</v>
      </c>
      <c r="AM329" s="4">
        <v>0</v>
      </c>
      <c r="AN329" s="4">
        <v>0</v>
      </c>
      <c r="AO329" s="4">
        <v>0</v>
      </c>
      <c r="AP329" s="3" t="s">
        <v>58</v>
      </c>
      <c r="AQ329" s="3" t="s">
        <v>86</v>
      </c>
      <c r="AR329" s="6" t="str">
        <f>HYPERLINK("http://catalog.hathitrust.org/Record/000309757","HathiTrust Record")</f>
        <v>HathiTrust Record</v>
      </c>
      <c r="AS329" s="6" t="str">
        <f>HYPERLINK("https://creighton-primo.hosted.exlibrisgroup.com/primo-explore/search?tab=default_tab&amp;search_scope=EVERYTHING&amp;vid=01CRU&amp;lang=en_US&amp;offset=0&amp;query=any,contains,991005244639702656","Catalog Record")</f>
        <v>Catalog Record</v>
      </c>
      <c r="AT329" s="6" t="str">
        <f>HYPERLINK("http://www.worldcat.org/oclc/8451606","WorldCat Record")</f>
        <v>WorldCat Record</v>
      </c>
      <c r="AU329" s="3" t="s">
        <v>4406</v>
      </c>
      <c r="AV329" s="3" t="s">
        <v>4407</v>
      </c>
      <c r="AW329" s="3" t="s">
        <v>4408</v>
      </c>
      <c r="AX329" s="3" t="s">
        <v>4408</v>
      </c>
      <c r="AY329" s="3" t="s">
        <v>4409</v>
      </c>
      <c r="AZ329" s="3" t="s">
        <v>74</v>
      </c>
      <c r="BB329" s="3" t="s">
        <v>4410</v>
      </c>
      <c r="BC329" s="3" t="s">
        <v>4411</v>
      </c>
      <c r="BD329" s="3" t="s">
        <v>4412</v>
      </c>
    </row>
    <row r="330" spans="1:56" ht="42.75" customHeight="1" x14ac:dyDescent="0.25">
      <c r="A330" s="7" t="s">
        <v>58</v>
      </c>
      <c r="B330" s="2" t="s">
        <v>4413</v>
      </c>
      <c r="C330" s="2" t="s">
        <v>4414</v>
      </c>
      <c r="D330" s="2" t="s">
        <v>4415</v>
      </c>
      <c r="F330" s="3" t="s">
        <v>58</v>
      </c>
      <c r="G330" s="3" t="s">
        <v>59</v>
      </c>
      <c r="H330" s="3" t="s">
        <v>58</v>
      </c>
      <c r="I330" s="3" t="s">
        <v>58</v>
      </c>
      <c r="J330" s="3" t="s">
        <v>60</v>
      </c>
      <c r="K330" s="2" t="s">
        <v>4416</v>
      </c>
      <c r="L330" s="2" t="s">
        <v>4417</v>
      </c>
      <c r="M330" s="3" t="s">
        <v>534</v>
      </c>
      <c r="O330" s="3" t="s">
        <v>64</v>
      </c>
      <c r="P330" s="3" t="s">
        <v>99</v>
      </c>
      <c r="R330" s="3" t="s">
        <v>67</v>
      </c>
      <c r="S330" s="4">
        <v>4</v>
      </c>
      <c r="T330" s="4">
        <v>4</v>
      </c>
      <c r="U330" s="5" t="s">
        <v>4418</v>
      </c>
      <c r="V330" s="5" t="s">
        <v>4418</v>
      </c>
      <c r="W330" s="5" t="s">
        <v>4419</v>
      </c>
      <c r="X330" s="5" t="s">
        <v>4419</v>
      </c>
      <c r="Y330" s="4">
        <v>450</v>
      </c>
      <c r="Z330" s="4">
        <v>285</v>
      </c>
      <c r="AA330" s="4">
        <v>329</v>
      </c>
      <c r="AB330" s="4">
        <v>1</v>
      </c>
      <c r="AC330" s="4">
        <v>1</v>
      </c>
      <c r="AD330" s="4">
        <v>15</v>
      </c>
      <c r="AE330" s="4">
        <v>18</v>
      </c>
      <c r="AF330" s="4">
        <v>5</v>
      </c>
      <c r="AG330" s="4">
        <v>7</v>
      </c>
      <c r="AH330" s="4">
        <v>4</v>
      </c>
      <c r="AI330" s="4">
        <v>6</v>
      </c>
      <c r="AJ330" s="4">
        <v>12</v>
      </c>
      <c r="AK330" s="4">
        <v>12</v>
      </c>
      <c r="AL330" s="4">
        <v>0</v>
      </c>
      <c r="AM330" s="4">
        <v>0</v>
      </c>
      <c r="AN330" s="4">
        <v>0</v>
      </c>
      <c r="AO330" s="4">
        <v>0</v>
      </c>
      <c r="AP330" s="3" t="s">
        <v>58</v>
      </c>
      <c r="AQ330" s="3" t="s">
        <v>86</v>
      </c>
      <c r="AR330" s="6" t="str">
        <f>HYPERLINK("http://catalog.hathitrust.org/Record/101925393","HathiTrust Record")</f>
        <v>HathiTrust Record</v>
      </c>
      <c r="AS330" s="6" t="str">
        <f>HYPERLINK("https://creighton-primo.hosted.exlibrisgroup.com/primo-explore/search?tab=default_tab&amp;search_scope=EVERYTHING&amp;vid=01CRU&amp;lang=en_US&amp;offset=0&amp;query=any,contains,991001573229702656","Catalog Record")</f>
        <v>Catalog Record</v>
      </c>
      <c r="AT330" s="6" t="str">
        <f>HYPERLINK("http://www.worldcat.org/oclc/20417163","WorldCat Record")</f>
        <v>WorldCat Record</v>
      </c>
      <c r="AU330" s="3" t="s">
        <v>4420</v>
      </c>
      <c r="AV330" s="3" t="s">
        <v>4421</v>
      </c>
      <c r="AW330" s="3" t="s">
        <v>4422</v>
      </c>
      <c r="AX330" s="3" t="s">
        <v>4422</v>
      </c>
      <c r="AY330" s="3" t="s">
        <v>4423</v>
      </c>
      <c r="AZ330" s="3" t="s">
        <v>74</v>
      </c>
      <c r="BB330" s="3" t="s">
        <v>4424</v>
      </c>
      <c r="BC330" s="3" t="s">
        <v>4425</v>
      </c>
      <c r="BD330" s="3" t="s">
        <v>4426</v>
      </c>
    </row>
    <row r="331" spans="1:56" ht="42.75" customHeight="1" x14ac:dyDescent="0.25">
      <c r="A331" s="7" t="s">
        <v>58</v>
      </c>
      <c r="B331" s="2" t="s">
        <v>4427</v>
      </c>
      <c r="C331" s="2" t="s">
        <v>4428</v>
      </c>
      <c r="D331" s="2" t="s">
        <v>4429</v>
      </c>
      <c r="F331" s="3" t="s">
        <v>58</v>
      </c>
      <c r="G331" s="3" t="s">
        <v>59</v>
      </c>
      <c r="H331" s="3" t="s">
        <v>58</v>
      </c>
      <c r="I331" s="3" t="s">
        <v>58</v>
      </c>
      <c r="J331" s="3" t="s">
        <v>60</v>
      </c>
      <c r="K331" s="2" t="s">
        <v>4430</v>
      </c>
      <c r="L331" s="2" t="s">
        <v>4431</v>
      </c>
      <c r="M331" s="3" t="s">
        <v>3215</v>
      </c>
      <c r="O331" s="3" t="s">
        <v>64</v>
      </c>
      <c r="P331" s="3" t="s">
        <v>83</v>
      </c>
      <c r="R331" s="3" t="s">
        <v>67</v>
      </c>
      <c r="S331" s="4">
        <v>2</v>
      </c>
      <c r="T331" s="4">
        <v>2</v>
      </c>
      <c r="U331" s="5" t="s">
        <v>4432</v>
      </c>
      <c r="V331" s="5" t="s">
        <v>4432</v>
      </c>
      <c r="W331" s="5" t="s">
        <v>4433</v>
      </c>
      <c r="X331" s="5" t="s">
        <v>4433</v>
      </c>
      <c r="Y331" s="4">
        <v>432</v>
      </c>
      <c r="Z331" s="4">
        <v>376</v>
      </c>
      <c r="AA331" s="4">
        <v>397</v>
      </c>
      <c r="AB331" s="4">
        <v>5</v>
      </c>
      <c r="AC331" s="4">
        <v>5</v>
      </c>
      <c r="AD331" s="4">
        <v>14</v>
      </c>
      <c r="AE331" s="4">
        <v>15</v>
      </c>
      <c r="AF331" s="4">
        <v>5</v>
      </c>
      <c r="AG331" s="4">
        <v>6</v>
      </c>
      <c r="AH331" s="4">
        <v>3</v>
      </c>
      <c r="AI331" s="4">
        <v>4</v>
      </c>
      <c r="AJ331" s="4">
        <v>7</v>
      </c>
      <c r="AK331" s="4">
        <v>7</v>
      </c>
      <c r="AL331" s="4">
        <v>3</v>
      </c>
      <c r="AM331" s="4">
        <v>3</v>
      </c>
      <c r="AN331" s="4">
        <v>0</v>
      </c>
      <c r="AO331" s="4">
        <v>0</v>
      </c>
      <c r="AP331" s="3" t="s">
        <v>58</v>
      </c>
      <c r="AQ331" s="3" t="s">
        <v>86</v>
      </c>
      <c r="AR331" s="6" t="str">
        <f>HYPERLINK("http://catalog.hathitrust.org/Record/001563255","HathiTrust Record")</f>
        <v>HathiTrust Record</v>
      </c>
      <c r="AS331" s="6" t="str">
        <f>HYPERLINK("https://creighton-primo.hosted.exlibrisgroup.com/primo-explore/search?tab=default_tab&amp;search_scope=EVERYTHING&amp;vid=01CRU&amp;lang=en_US&amp;offset=0&amp;query=any,contains,991005000529702656","Catalog Record")</f>
        <v>Catalog Record</v>
      </c>
      <c r="AT331" s="6" t="str">
        <f>HYPERLINK("http://www.worldcat.org/oclc/400331","WorldCat Record")</f>
        <v>WorldCat Record</v>
      </c>
      <c r="AU331" s="3" t="s">
        <v>4434</v>
      </c>
      <c r="AV331" s="3" t="s">
        <v>4435</v>
      </c>
      <c r="AW331" s="3" t="s">
        <v>4436</v>
      </c>
      <c r="AX331" s="3" t="s">
        <v>4436</v>
      </c>
      <c r="AY331" s="3" t="s">
        <v>4437</v>
      </c>
      <c r="AZ331" s="3" t="s">
        <v>74</v>
      </c>
      <c r="BC331" s="3" t="s">
        <v>4438</v>
      </c>
      <c r="BD331" s="3" t="s">
        <v>4439</v>
      </c>
    </row>
    <row r="332" spans="1:56" ht="42.75" customHeight="1" x14ac:dyDescent="0.25">
      <c r="A332" s="7" t="s">
        <v>58</v>
      </c>
      <c r="B332" s="2" t="s">
        <v>4440</v>
      </c>
      <c r="C332" s="2" t="s">
        <v>4441</v>
      </c>
      <c r="D332" s="2" t="s">
        <v>4442</v>
      </c>
      <c r="F332" s="3" t="s">
        <v>58</v>
      </c>
      <c r="G332" s="3" t="s">
        <v>59</v>
      </c>
      <c r="H332" s="3" t="s">
        <v>58</v>
      </c>
      <c r="I332" s="3" t="s">
        <v>58</v>
      </c>
      <c r="J332" s="3" t="s">
        <v>60</v>
      </c>
      <c r="K332" s="2" t="s">
        <v>4443</v>
      </c>
      <c r="L332" s="2" t="s">
        <v>4444</v>
      </c>
      <c r="M332" s="3" t="s">
        <v>2227</v>
      </c>
      <c r="O332" s="3" t="s">
        <v>64</v>
      </c>
      <c r="P332" s="3" t="s">
        <v>115</v>
      </c>
      <c r="Q332" s="2" t="s">
        <v>4445</v>
      </c>
      <c r="R332" s="3" t="s">
        <v>67</v>
      </c>
      <c r="S332" s="4">
        <v>11</v>
      </c>
      <c r="T332" s="4">
        <v>11</v>
      </c>
      <c r="U332" s="5" t="s">
        <v>656</v>
      </c>
      <c r="V332" s="5" t="s">
        <v>656</v>
      </c>
      <c r="W332" s="5" t="s">
        <v>3189</v>
      </c>
      <c r="X332" s="5" t="s">
        <v>3189</v>
      </c>
      <c r="Y332" s="4">
        <v>323</v>
      </c>
      <c r="Z332" s="4">
        <v>237</v>
      </c>
      <c r="AA332" s="4">
        <v>244</v>
      </c>
      <c r="AB332" s="4">
        <v>2</v>
      </c>
      <c r="AC332" s="4">
        <v>2</v>
      </c>
      <c r="AD332" s="4">
        <v>13</v>
      </c>
      <c r="AE332" s="4">
        <v>13</v>
      </c>
      <c r="AF332" s="4">
        <v>4</v>
      </c>
      <c r="AG332" s="4">
        <v>4</v>
      </c>
      <c r="AH332" s="4">
        <v>5</v>
      </c>
      <c r="AI332" s="4">
        <v>5</v>
      </c>
      <c r="AJ332" s="4">
        <v>9</v>
      </c>
      <c r="AK332" s="4">
        <v>9</v>
      </c>
      <c r="AL332" s="4">
        <v>1</v>
      </c>
      <c r="AM332" s="4">
        <v>1</v>
      </c>
      <c r="AN332" s="4">
        <v>0</v>
      </c>
      <c r="AO332" s="4">
        <v>0</v>
      </c>
      <c r="AP332" s="3" t="s">
        <v>58</v>
      </c>
      <c r="AQ332" s="3" t="s">
        <v>86</v>
      </c>
      <c r="AR332" s="6" t="str">
        <f>HYPERLINK("http://catalog.hathitrust.org/Record/000419335","HathiTrust Record")</f>
        <v>HathiTrust Record</v>
      </c>
      <c r="AS332" s="6" t="str">
        <f>HYPERLINK("https://creighton-primo.hosted.exlibrisgroup.com/primo-explore/search?tab=default_tab&amp;search_scope=EVERYTHING&amp;vid=01CRU&amp;lang=en_US&amp;offset=0&amp;query=any,contains,991000600079702656","Catalog Record")</f>
        <v>Catalog Record</v>
      </c>
      <c r="AT332" s="6" t="str">
        <f>HYPERLINK("http://www.worldcat.org/oclc/11840188","WorldCat Record")</f>
        <v>WorldCat Record</v>
      </c>
      <c r="AU332" s="3" t="s">
        <v>4446</v>
      </c>
      <c r="AV332" s="3" t="s">
        <v>4447</v>
      </c>
      <c r="AW332" s="3" t="s">
        <v>4448</v>
      </c>
      <c r="AX332" s="3" t="s">
        <v>4448</v>
      </c>
      <c r="AY332" s="3" t="s">
        <v>4449</v>
      </c>
      <c r="AZ332" s="3" t="s">
        <v>74</v>
      </c>
      <c r="BB332" s="3" t="s">
        <v>4450</v>
      </c>
      <c r="BC332" s="3" t="s">
        <v>4451</v>
      </c>
      <c r="BD332" s="3" t="s">
        <v>4452</v>
      </c>
    </row>
    <row r="333" spans="1:56" ht="42.75" customHeight="1" x14ac:dyDescent="0.25">
      <c r="A333" s="7" t="s">
        <v>58</v>
      </c>
      <c r="B333" s="2" t="s">
        <v>4453</v>
      </c>
      <c r="C333" s="2" t="s">
        <v>4454</v>
      </c>
      <c r="D333" s="2" t="s">
        <v>4455</v>
      </c>
      <c r="F333" s="3" t="s">
        <v>58</v>
      </c>
      <c r="G333" s="3" t="s">
        <v>59</v>
      </c>
      <c r="H333" s="3" t="s">
        <v>58</v>
      </c>
      <c r="I333" s="3" t="s">
        <v>58</v>
      </c>
      <c r="J333" s="3" t="s">
        <v>60</v>
      </c>
      <c r="K333" s="2" t="s">
        <v>4456</v>
      </c>
      <c r="L333" s="2" t="s">
        <v>4457</v>
      </c>
      <c r="M333" s="3" t="s">
        <v>238</v>
      </c>
      <c r="O333" s="3" t="s">
        <v>64</v>
      </c>
      <c r="P333" s="3" t="s">
        <v>115</v>
      </c>
      <c r="R333" s="3" t="s">
        <v>67</v>
      </c>
      <c r="S333" s="4">
        <v>14</v>
      </c>
      <c r="T333" s="4">
        <v>14</v>
      </c>
      <c r="U333" s="5" t="s">
        <v>4458</v>
      </c>
      <c r="V333" s="5" t="s">
        <v>4458</v>
      </c>
      <c r="W333" s="5" t="s">
        <v>4459</v>
      </c>
      <c r="X333" s="5" t="s">
        <v>4459</v>
      </c>
      <c r="Y333" s="4">
        <v>60</v>
      </c>
      <c r="Z333" s="4">
        <v>54</v>
      </c>
      <c r="AA333" s="4">
        <v>284</v>
      </c>
      <c r="AB333" s="4">
        <v>1</v>
      </c>
      <c r="AC333" s="4">
        <v>2</v>
      </c>
      <c r="AD333" s="4">
        <v>1</v>
      </c>
      <c r="AE333" s="4">
        <v>4</v>
      </c>
      <c r="AF333" s="4">
        <v>1</v>
      </c>
      <c r="AG333" s="4">
        <v>3</v>
      </c>
      <c r="AH333" s="4">
        <v>0</v>
      </c>
      <c r="AI333" s="4">
        <v>0</v>
      </c>
      <c r="AJ333" s="4">
        <v>1</v>
      </c>
      <c r="AK333" s="4">
        <v>3</v>
      </c>
      <c r="AL333" s="4">
        <v>0</v>
      </c>
      <c r="AM333" s="4">
        <v>0</v>
      </c>
      <c r="AN333" s="4">
        <v>0</v>
      </c>
      <c r="AO333" s="4">
        <v>0</v>
      </c>
      <c r="AP333" s="3" t="s">
        <v>58</v>
      </c>
      <c r="AQ333" s="3" t="s">
        <v>58</v>
      </c>
      <c r="AS333" s="6" t="str">
        <f>HYPERLINK("https://creighton-primo.hosted.exlibrisgroup.com/primo-explore/search?tab=default_tab&amp;search_scope=EVERYTHING&amp;vid=01CRU&amp;lang=en_US&amp;offset=0&amp;query=any,contains,991004750889702656","Catalog Record")</f>
        <v>Catalog Record</v>
      </c>
      <c r="AT333" s="6" t="str">
        <f>HYPERLINK("http://www.worldcat.org/oclc/4933467","WorldCat Record")</f>
        <v>WorldCat Record</v>
      </c>
      <c r="AU333" s="3" t="s">
        <v>4460</v>
      </c>
      <c r="AV333" s="3" t="s">
        <v>4461</v>
      </c>
      <c r="AW333" s="3" t="s">
        <v>4462</v>
      </c>
      <c r="AX333" s="3" t="s">
        <v>4462</v>
      </c>
      <c r="AY333" s="3" t="s">
        <v>4463</v>
      </c>
      <c r="AZ333" s="3" t="s">
        <v>74</v>
      </c>
      <c r="BB333" s="3" t="s">
        <v>4464</v>
      </c>
      <c r="BC333" s="3" t="s">
        <v>4465</v>
      </c>
      <c r="BD333" s="3" t="s">
        <v>4466</v>
      </c>
    </row>
    <row r="334" spans="1:56" ht="42.75" customHeight="1" x14ac:dyDescent="0.25">
      <c r="A334" s="7" t="s">
        <v>58</v>
      </c>
      <c r="B334" s="2" t="s">
        <v>4467</v>
      </c>
      <c r="C334" s="2" t="s">
        <v>4468</v>
      </c>
      <c r="D334" s="2" t="s">
        <v>4469</v>
      </c>
      <c r="F334" s="3" t="s">
        <v>58</v>
      </c>
      <c r="G334" s="3" t="s">
        <v>59</v>
      </c>
      <c r="H334" s="3" t="s">
        <v>58</v>
      </c>
      <c r="I334" s="3" t="s">
        <v>58</v>
      </c>
      <c r="J334" s="3" t="s">
        <v>60</v>
      </c>
      <c r="K334" s="2" t="s">
        <v>4470</v>
      </c>
      <c r="L334" s="2" t="s">
        <v>4471</v>
      </c>
      <c r="M334" s="3" t="s">
        <v>695</v>
      </c>
      <c r="O334" s="3" t="s">
        <v>64</v>
      </c>
      <c r="P334" s="3" t="s">
        <v>224</v>
      </c>
      <c r="R334" s="3" t="s">
        <v>67</v>
      </c>
      <c r="S334" s="4">
        <v>17</v>
      </c>
      <c r="T334" s="4">
        <v>17</v>
      </c>
      <c r="U334" s="5" t="s">
        <v>4472</v>
      </c>
      <c r="V334" s="5" t="s">
        <v>4472</v>
      </c>
      <c r="W334" s="5" t="s">
        <v>536</v>
      </c>
      <c r="X334" s="5" t="s">
        <v>536</v>
      </c>
      <c r="Y334" s="4">
        <v>76</v>
      </c>
      <c r="Z334" s="4">
        <v>75</v>
      </c>
      <c r="AA334" s="4">
        <v>75</v>
      </c>
      <c r="AB334" s="4">
        <v>3</v>
      </c>
      <c r="AC334" s="4">
        <v>3</v>
      </c>
      <c r="AD334" s="4">
        <v>0</v>
      </c>
      <c r="AE334" s="4">
        <v>0</v>
      </c>
      <c r="AF334" s="4">
        <v>0</v>
      </c>
      <c r="AG334" s="4">
        <v>0</v>
      </c>
      <c r="AH334" s="4">
        <v>0</v>
      </c>
      <c r="AI334" s="4">
        <v>0</v>
      </c>
      <c r="AJ334" s="4">
        <v>0</v>
      </c>
      <c r="AK334" s="4">
        <v>0</v>
      </c>
      <c r="AL334" s="4">
        <v>0</v>
      </c>
      <c r="AM334" s="4">
        <v>0</v>
      </c>
      <c r="AN334" s="4">
        <v>0</v>
      </c>
      <c r="AO334" s="4">
        <v>0</v>
      </c>
      <c r="AP334" s="3" t="s">
        <v>58</v>
      </c>
      <c r="AQ334" s="3" t="s">
        <v>58</v>
      </c>
      <c r="AS334" s="6" t="str">
        <f>HYPERLINK("https://creighton-primo.hosted.exlibrisgroup.com/primo-explore/search?tab=default_tab&amp;search_scope=EVERYTHING&amp;vid=01CRU&amp;lang=en_US&amp;offset=0&amp;query=any,contains,991002316309702656","Catalog Record")</f>
        <v>Catalog Record</v>
      </c>
      <c r="AT334" s="6" t="str">
        <f>HYPERLINK("http://www.worldcat.org/oclc/30057835","WorldCat Record")</f>
        <v>WorldCat Record</v>
      </c>
      <c r="AU334" s="3" t="s">
        <v>4473</v>
      </c>
      <c r="AV334" s="3" t="s">
        <v>4474</v>
      </c>
      <c r="AW334" s="3" t="s">
        <v>4475</v>
      </c>
      <c r="AX334" s="3" t="s">
        <v>4475</v>
      </c>
      <c r="AY334" s="3" t="s">
        <v>4476</v>
      </c>
      <c r="AZ334" s="3" t="s">
        <v>74</v>
      </c>
      <c r="BB334" s="3" t="s">
        <v>4477</v>
      </c>
      <c r="BC334" s="3" t="s">
        <v>4478</v>
      </c>
      <c r="BD334" s="3" t="s">
        <v>4479</v>
      </c>
    </row>
    <row r="335" spans="1:56" ht="42.75" customHeight="1" x14ac:dyDescent="0.25">
      <c r="A335" s="7" t="s">
        <v>58</v>
      </c>
      <c r="B335" s="2" t="s">
        <v>4480</v>
      </c>
      <c r="C335" s="2" t="s">
        <v>4481</v>
      </c>
      <c r="D335" s="2" t="s">
        <v>4482</v>
      </c>
      <c r="F335" s="3" t="s">
        <v>58</v>
      </c>
      <c r="G335" s="3" t="s">
        <v>59</v>
      </c>
      <c r="H335" s="3" t="s">
        <v>58</v>
      </c>
      <c r="I335" s="3" t="s">
        <v>58</v>
      </c>
      <c r="J335" s="3" t="s">
        <v>60</v>
      </c>
      <c r="K335" s="2" t="s">
        <v>4483</v>
      </c>
      <c r="L335" s="2" t="s">
        <v>4484</v>
      </c>
      <c r="M335" s="3" t="s">
        <v>2770</v>
      </c>
      <c r="N335" s="2" t="s">
        <v>4027</v>
      </c>
      <c r="O335" s="3" t="s">
        <v>64</v>
      </c>
      <c r="P335" s="3" t="s">
        <v>65</v>
      </c>
      <c r="R335" s="3" t="s">
        <v>67</v>
      </c>
      <c r="S335" s="4">
        <v>24</v>
      </c>
      <c r="T335" s="4">
        <v>24</v>
      </c>
      <c r="U335" s="5" t="s">
        <v>4485</v>
      </c>
      <c r="V335" s="5" t="s">
        <v>4485</v>
      </c>
      <c r="W335" s="5" t="s">
        <v>4486</v>
      </c>
      <c r="X335" s="5" t="s">
        <v>4486</v>
      </c>
      <c r="Y335" s="4">
        <v>258</v>
      </c>
      <c r="Z335" s="4">
        <v>158</v>
      </c>
      <c r="AA335" s="4">
        <v>202</v>
      </c>
      <c r="AB335" s="4">
        <v>2</v>
      </c>
      <c r="AC335" s="4">
        <v>2</v>
      </c>
      <c r="AD335" s="4">
        <v>3</v>
      </c>
      <c r="AE335" s="4">
        <v>6</v>
      </c>
      <c r="AF335" s="4">
        <v>0</v>
      </c>
      <c r="AG335" s="4">
        <v>2</v>
      </c>
      <c r="AH335" s="4">
        <v>1</v>
      </c>
      <c r="AI335" s="4">
        <v>3</v>
      </c>
      <c r="AJ335" s="4">
        <v>1</v>
      </c>
      <c r="AK335" s="4">
        <v>1</v>
      </c>
      <c r="AL335" s="4">
        <v>1</v>
      </c>
      <c r="AM335" s="4">
        <v>1</v>
      </c>
      <c r="AN335" s="4">
        <v>0</v>
      </c>
      <c r="AO335" s="4">
        <v>0</v>
      </c>
      <c r="AP335" s="3" t="s">
        <v>58</v>
      </c>
      <c r="AQ335" s="3" t="s">
        <v>58</v>
      </c>
      <c r="AS335" s="6" t="str">
        <f>HYPERLINK("https://creighton-primo.hosted.exlibrisgroup.com/primo-explore/search?tab=default_tab&amp;search_scope=EVERYTHING&amp;vid=01CRU&amp;lang=en_US&amp;offset=0&amp;query=any,contains,991004325059702656","Catalog Record")</f>
        <v>Catalog Record</v>
      </c>
      <c r="AT335" s="6" t="str">
        <f>HYPERLINK("http://www.worldcat.org/oclc/3034216","WorldCat Record")</f>
        <v>WorldCat Record</v>
      </c>
      <c r="AU335" s="3" t="s">
        <v>4487</v>
      </c>
      <c r="AV335" s="3" t="s">
        <v>4488</v>
      </c>
      <c r="AW335" s="3" t="s">
        <v>4489</v>
      </c>
      <c r="AX335" s="3" t="s">
        <v>4489</v>
      </c>
      <c r="AY335" s="3" t="s">
        <v>4490</v>
      </c>
      <c r="AZ335" s="3" t="s">
        <v>74</v>
      </c>
      <c r="BB335" s="3" t="s">
        <v>4491</v>
      </c>
      <c r="BC335" s="3" t="s">
        <v>4492</v>
      </c>
      <c r="BD335" s="3" t="s">
        <v>4493</v>
      </c>
    </row>
    <row r="336" spans="1:56" ht="42.75" customHeight="1" x14ac:dyDescent="0.25">
      <c r="A336" s="7" t="s">
        <v>58</v>
      </c>
      <c r="B336" s="2" t="s">
        <v>4494</v>
      </c>
      <c r="C336" s="2" t="s">
        <v>4495</v>
      </c>
      <c r="D336" s="2" t="s">
        <v>4496</v>
      </c>
      <c r="F336" s="3" t="s">
        <v>58</v>
      </c>
      <c r="G336" s="3" t="s">
        <v>59</v>
      </c>
      <c r="H336" s="3" t="s">
        <v>58</v>
      </c>
      <c r="I336" s="3" t="s">
        <v>58</v>
      </c>
      <c r="J336" s="3" t="s">
        <v>60</v>
      </c>
      <c r="K336" s="2" t="s">
        <v>4497</v>
      </c>
      <c r="L336" s="2" t="s">
        <v>4498</v>
      </c>
      <c r="M336" s="3" t="s">
        <v>942</v>
      </c>
      <c r="O336" s="3" t="s">
        <v>64</v>
      </c>
      <c r="P336" s="3" t="s">
        <v>254</v>
      </c>
      <c r="R336" s="3" t="s">
        <v>67</v>
      </c>
      <c r="S336" s="4">
        <v>27</v>
      </c>
      <c r="T336" s="4">
        <v>27</v>
      </c>
      <c r="U336" s="5" t="s">
        <v>4499</v>
      </c>
      <c r="V336" s="5" t="s">
        <v>4499</v>
      </c>
      <c r="W336" s="5" t="s">
        <v>4500</v>
      </c>
      <c r="X336" s="5" t="s">
        <v>4500</v>
      </c>
      <c r="Y336" s="4">
        <v>556</v>
      </c>
      <c r="Z336" s="4">
        <v>497</v>
      </c>
      <c r="AA336" s="4">
        <v>551</v>
      </c>
      <c r="AB336" s="4">
        <v>3</v>
      </c>
      <c r="AC336" s="4">
        <v>3</v>
      </c>
      <c r="AD336" s="4">
        <v>22</v>
      </c>
      <c r="AE336" s="4">
        <v>22</v>
      </c>
      <c r="AF336" s="4">
        <v>10</v>
      </c>
      <c r="AG336" s="4">
        <v>10</v>
      </c>
      <c r="AH336" s="4">
        <v>5</v>
      </c>
      <c r="AI336" s="4">
        <v>5</v>
      </c>
      <c r="AJ336" s="4">
        <v>11</v>
      </c>
      <c r="AK336" s="4">
        <v>11</v>
      </c>
      <c r="AL336" s="4">
        <v>2</v>
      </c>
      <c r="AM336" s="4">
        <v>2</v>
      </c>
      <c r="AN336" s="4">
        <v>0</v>
      </c>
      <c r="AO336" s="4">
        <v>0</v>
      </c>
      <c r="AP336" s="3" t="s">
        <v>58</v>
      </c>
      <c r="AQ336" s="3" t="s">
        <v>58</v>
      </c>
      <c r="AS336" s="6" t="str">
        <f>HYPERLINK("https://creighton-primo.hosted.exlibrisgroup.com/primo-explore/search?tab=default_tab&amp;search_scope=EVERYTHING&amp;vid=01CRU&amp;lang=en_US&amp;offset=0&amp;query=any,contains,991002940849702656","Catalog Record")</f>
        <v>Catalog Record</v>
      </c>
      <c r="AT336" s="6" t="str">
        <f>HYPERLINK("http://www.worldcat.org/oclc/39131268","WorldCat Record")</f>
        <v>WorldCat Record</v>
      </c>
      <c r="AU336" s="3" t="s">
        <v>4501</v>
      </c>
      <c r="AV336" s="3" t="s">
        <v>4502</v>
      </c>
      <c r="AW336" s="3" t="s">
        <v>4503</v>
      </c>
      <c r="AX336" s="3" t="s">
        <v>4503</v>
      </c>
      <c r="AY336" s="3" t="s">
        <v>4504</v>
      </c>
      <c r="AZ336" s="3" t="s">
        <v>74</v>
      </c>
      <c r="BB336" s="3" t="s">
        <v>4505</v>
      </c>
      <c r="BC336" s="3" t="s">
        <v>4506</v>
      </c>
      <c r="BD336" s="3" t="s">
        <v>4507</v>
      </c>
    </row>
    <row r="337" spans="1:56" ht="42.75" customHeight="1" x14ac:dyDescent="0.25">
      <c r="A337" s="7" t="s">
        <v>58</v>
      </c>
      <c r="B337" s="2" t="s">
        <v>4508</v>
      </c>
      <c r="C337" s="2" t="s">
        <v>4509</v>
      </c>
      <c r="D337" s="2" t="s">
        <v>4510</v>
      </c>
      <c r="F337" s="3" t="s">
        <v>58</v>
      </c>
      <c r="G337" s="3" t="s">
        <v>59</v>
      </c>
      <c r="H337" s="3" t="s">
        <v>58</v>
      </c>
      <c r="I337" s="3" t="s">
        <v>58</v>
      </c>
      <c r="J337" s="3" t="s">
        <v>60</v>
      </c>
      <c r="K337" s="2" t="s">
        <v>4511</v>
      </c>
      <c r="L337" s="2" t="s">
        <v>4512</v>
      </c>
      <c r="M337" s="3" t="s">
        <v>765</v>
      </c>
      <c r="N337" s="2" t="s">
        <v>1736</v>
      </c>
      <c r="O337" s="3" t="s">
        <v>64</v>
      </c>
      <c r="P337" s="3" t="s">
        <v>115</v>
      </c>
      <c r="R337" s="3" t="s">
        <v>67</v>
      </c>
      <c r="S337" s="4">
        <v>50</v>
      </c>
      <c r="T337" s="4">
        <v>50</v>
      </c>
      <c r="U337" s="5" t="s">
        <v>4499</v>
      </c>
      <c r="V337" s="5" t="s">
        <v>4499</v>
      </c>
      <c r="W337" s="5" t="s">
        <v>4513</v>
      </c>
      <c r="X337" s="5" t="s">
        <v>4513</v>
      </c>
      <c r="Y337" s="4">
        <v>681</v>
      </c>
      <c r="Z337" s="4">
        <v>644</v>
      </c>
      <c r="AA337" s="4">
        <v>648</v>
      </c>
      <c r="AB337" s="4">
        <v>6</v>
      </c>
      <c r="AC337" s="4">
        <v>6</v>
      </c>
      <c r="AD337" s="4">
        <v>13</v>
      </c>
      <c r="AE337" s="4">
        <v>13</v>
      </c>
      <c r="AF337" s="4">
        <v>6</v>
      </c>
      <c r="AG337" s="4">
        <v>6</v>
      </c>
      <c r="AH337" s="4">
        <v>1</v>
      </c>
      <c r="AI337" s="4">
        <v>1</v>
      </c>
      <c r="AJ337" s="4">
        <v>6</v>
      </c>
      <c r="AK337" s="4">
        <v>6</v>
      </c>
      <c r="AL337" s="4">
        <v>2</v>
      </c>
      <c r="AM337" s="4">
        <v>2</v>
      </c>
      <c r="AN337" s="4">
        <v>0</v>
      </c>
      <c r="AO337" s="4">
        <v>0</v>
      </c>
      <c r="AP337" s="3" t="s">
        <v>58</v>
      </c>
      <c r="AQ337" s="3" t="s">
        <v>58</v>
      </c>
      <c r="AS337" s="6" t="str">
        <f>HYPERLINK("https://creighton-primo.hosted.exlibrisgroup.com/primo-explore/search?tab=default_tab&amp;search_scope=EVERYTHING&amp;vid=01CRU&amp;lang=en_US&amp;offset=0&amp;query=any,contains,991002432629702656","Catalog Record")</f>
        <v>Catalog Record</v>
      </c>
      <c r="AT337" s="6" t="str">
        <f>HYPERLINK("http://www.worldcat.org/oclc/31710610","WorldCat Record")</f>
        <v>WorldCat Record</v>
      </c>
      <c r="AU337" s="3" t="s">
        <v>4514</v>
      </c>
      <c r="AV337" s="3" t="s">
        <v>4515</v>
      </c>
      <c r="AW337" s="3" t="s">
        <v>4516</v>
      </c>
      <c r="AX337" s="3" t="s">
        <v>4516</v>
      </c>
      <c r="AY337" s="3" t="s">
        <v>4517</v>
      </c>
      <c r="AZ337" s="3" t="s">
        <v>74</v>
      </c>
      <c r="BB337" s="3" t="s">
        <v>4518</v>
      </c>
      <c r="BC337" s="3" t="s">
        <v>4519</v>
      </c>
      <c r="BD337" s="3" t="s">
        <v>4520</v>
      </c>
    </row>
    <row r="338" spans="1:56" ht="42.75" customHeight="1" x14ac:dyDescent="0.25">
      <c r="A338" s="7" t="s">
        <v>58</v>
      </c>
      <c r="B338" s="2" t="s">
        <v>4521</v>
      </c>
      <c r="C338" s="2" t="s">
        <v>4522</v>
      </c>
      <c r="D338" s="2" t="s">
        <v>4523</v>
      </c>
      <c r="F338" s="3" t="s">
        <v>58</v>
      </c>
      <c r="G338" s="3" t="s">
        <v>59</v>
      </c>
      <c r="H338" s="3" t="s">
        <v>58</v>
      </c>
      <c r="I338" s="3" t="s">
        <v>58</v>
      </c>
      <c r="J338" s="3" t="s">
        <v>60</v>
      </c>
      <c r="K338" s="2" t="s">
        <v>4524</v>
      </c>
      <c r="L338" s="2" t="s">
        <v>4525</v>
      </c>
      <c r="M338" s="3" t="s">
        <v>144</v>
      </c>
      <c r="O338" s="3" t="s">
        <v>64</v>
      </c>
      <c r="P338" s="3" t="s">
        <v>99</v>
      </c>
      <c r="R338" s="3" t="s">
        <v>67</v>
      </c>
      <c r="S338" s="4">
        <v>2</v>
      </c>
      <c r="T338" s="4">
        <v>2</v>
      </c>
      <c r="U338" s="5" t="s">
        <v>4526</v>
      </c>
      <c r="V338" s="5" t="s">
        <v>4526</v>
      </c>
      <c r="W338" s="5" t="s">
        <v>4526</v>
      </c>
      <c r="X338" s="5" t="s">
        <v>4526</v>
      </c>
      <c r="Y338" s="4">
        <v>122</v>
      </c>
      <c r="Z338" s="4">
        <v>109</v>
      </c>
      <c r="AA338" s="4">
        <v>114</v>
      </c>
      <c r="AB338" s="4">
        <v>2</v>
      </c>
      <c r="AC338" s="4">
        <v>2</v>
      </c>
      <c r="AD338" s="4">
        <v>2</v>
      </c>
      <c r="AE338" s="4">
        <v>2</v>
      </c>
      <c r="AF338" s="4">
        <v>1</v>
      </c>
      <c r="AG338" s="4">
        <v>1</v>
      </c>
      <c r="AH338" s="4">
        <v>0</v>
      </c>
      <c r="AI338" s="4">
        <v>0</v>
      </c>
      <c r="AJ338" s="4">
        <v>1</v>
      </c>
      <c r="AK338" s="4">
        <v>1</v>
      </c>
      <c r="AL338" s="4">
        <v>1</v>
      </c>
      <c r="AM338" s="4">
        <v>1</v>
      </c>
      <c r="AN338" s="4">
        <v>0</v>
      </c>
      <c r="AO338" s="4">
        <v>0</v>
      </c>
      <c r="AP338" s="3" t="s">
        <v>58</v>
      </c>
      <c r="AQ338" s="3" t="s">
        <v>58</v>
      </c>
      <c r="AS338" s="6" t="str">
        <f>HYPERLINK("https://creighton-primo.hosted.exlibrisgroup.com/primo-explore/search?tab=default_tab&amp;search_scope=EVERYTHING&amp;vid=01CRU&amp;lang=en_US&amp;offset=0&amp;query=any,contains,991004946219702656","Catalog Record")</f>
        <v>Catalog Record</v>
      </c>
      <c r="AT338" s="6" t="str">
        <f>HYPERLINK("http://www.worldcat.org/oclc/37022512","WorldCat Record")</f>
        <v>WorldCat Record</v>
      </c>
      <c r="AU338" s="3" t="s">
        <v>4527</v>
      </c>
      <c r="AV338" s="3" t="s">
        <v>4528</v>
      </c>
      <c r="AW338" s="3" t="s">
        <v>4529</v>
      </c>
      <c r="AX338" s="3" t="s">
        <v>4529</v>
      </c>
      <c r="AY338" s="3" t="s">
        <v>4530</v>
      </c>
      <c r="AZ338" s="3" t="s">
        <v>74</v>
      </c>
      <c r="BB338" s="3" t="s">
        <v>4531</v>
      </c>
      <c r="BC338" s="3" t="s">
        <v>4532</v>
      </c>
      <c r="BD338" s="3" t="s">
        <v>4533</v>
      </c>
    </row>
    <row r="339" spans="1:56" ht="42.75" customHeight="1" x14ac:dyDescent="0.25">
      <c r="A339" s="7" t="s">
        <v>58</v>
      </c>
      <c r="B339" s="2" t="s">
        <v>4534</v>
      </c>
      <c r="C339" s="2" t="s">
        <v>4535</v>
      </c>
      <c r="D339" s="2" t="s">
        <v>4536</v>
      </c>
      <c r="F339" s="3" t="s">
        <v>58</v>
      </c>
      <c r="G339" s="3" t="s">
        <v>59</v>
      </c>
      <c r="H339" s="3" t="s">
        <v>58</v>
      </c>
      <c r="I339" s="3" t="s">
        <v>58</v>
      </c>
      <c r="J339" s="3" t="s">
        <v>60</v>
      </c>
      <c r="K339" s="2" t="s">
        <v>4537</v>
      </c>
      <c r="L339" s="2" t="s">
        <v>4538</v>
      </c>
      <c r="M339" s="3" t="s">
        <v>942</v>
      </c>
      <c r="O339" s="3" t="s">
        <v>64</v>
      </c>
      <c r="P339" s="3" t="s">
        <v>316</v>
      </c>
      <c r="R339" s="3" t="s">
        <v>67</v>
      </c>
      <c r="S339" s="4">
        <v>21</v>
      </c>
      <c r="T339" s="4">
        <v>21</v>
      </c>
      <c r="U339" s="5" t="s">
        <v>4472</v>
      </c>
      <c r="V339" s="5" t="s">
        <v>4472</v>
      </c>
      <c r="W339" s="5" t="s">
        <v>4539</v>
      </c>
      <c r="X339" s="5" t="s">
        <v>4539</v>
      </c>
      <c r="Y339" s="4">
        <v>161</v>
      </c>
      <c r="Z339" s="4">
        <v>133</v>
      </c>
      <c r="AA339" s="4">
        <v>163</v>
      </c>
      <c r="AB339" s="4">
        <v>3</v>
      </c>
      <c r="AC339" s="4">
        <v>3</v>
      </c>
      <c r="AD339" s="4">
        <v>7</v>
      </c>
      <c r="AE339" s="4">
        <v>7</v>
      </c>
      <c r="AF339" s="4">
        <v>2</v>
      </c>
      <c r="AG339" s="4">
        <v>2</v>
      </c>
      <c r="AH339" s="4">
        <v>1</v>
      </c>
      <c r="AI339" s="4">
        <v>1</v>
      </c>
      <c r="AJ339" s="4">
        <v>3</v>
      </c>
      <c r="AK339" s="4">
        <v>3</v>
      </c>
      <c r="AL339" s="4">
        <v>2</v>
      </c>
      <c r="AM339" s="4">
        <v>2</v>
      </c>
      <c r="AN339" s="4">
        <v>0</v>
      </c>
      <c r="AO339" s="4">
        <v>0</v>
      </c>
      <c r="AP339" s="3" t="s">
        <v>58</v>
      </c>
      <c r="AQ339" s="3" t="s">
        <v>58</v>
      </c>
      <c r="AS339" s="6" t="str">
        <f>HYPERLINK("https://creighton-primo.hosted.exlibrisgroup.com/primo-explore/search?tab=default_tab&amp;search_scope=EVERYTHING&amp;vid=01CRU&amp;lang=en_US&amp;offset=0&amp;query=any,contains,991002938929702656","Catalog Record")</f>
        <v>Catalog Record</v>
      </c>
      <c r="AT339" s="6" t="str">
        <f>HYPERLINK("http://www.worldcat.org/oclc/39093676","WorldCat Record")</f>
        <v>WorldCat Record</v>
      </c>
      <c r="AU339" s="3" t="s">
        <v>4540</v>
      </c>
      <c r="AV339" s="3" t="s">
        <v>4541</v>
      </c>
      <c r="AW339" s="3" t="s">
        <v>4542</v>
      </c>
      <c r="AX339" s="3" t="s">
        <v>4542</v>
      </c>
      <c r="AY339" s="3" t="s">
        <v>4543</v>
      </c>
      <c r="AZ339" s="3" t="s">
        <v>74</v>
      </c>
      <c r="BB339" s="3" t="s">
        <v>4544</v>
      </c>
      <c r="BC339" s="3" t="s">
        <v>4545</v>
      </c>
      <c r="BD339" s="3" t="s">
        <v>4546</v>
      </c>
    </row>
    <row r="340" spans="1:56" ht="42.75" customHeight="1" x14ac:dyDescent="0.25">
      <c r="A340" s="7" t="s">
        <v>58</v>
      </c>
      <c r="B340" s="2" t="s">
        <v>4547</v>
      </c>
      <c r="C340" s="2" t="s">
        <v>4548</v>
      </c>
      <c r="D340" s="2" t="s">
        <v>4549</v>
      </c>
      <c r="F340" s="3" t="s">
        <v>58</v>
      </c>
      <c r="G340" s="3" t="s">
        <v>59</v>
      </c>
      <c r="H340" s="3" t="s">
        <v>58</v>
      </c>
      <c r="I340" s="3" t="s">
        <v>58</v>
      </c>
      <c r="J340" s="3" t="s">
        <v>60</v>
      </c>
      <c r="L340" s="2" t="s">
        <v>4550</v>
      </c>
      <c r="M340" s="3" t="s">
        <v>586</v>
      </c>
      <c r="O340" s="3" t="s">
        <v>64</v>
      </c>
      <c r="P340" s="3" t="s">
        <v>115</v>
      </c>
      <c r="R340" s="3" t="s">
        <v>67</v>
      </c>
      <c r="S340" s="4">
        <v>15</v>
      </c>
      <c r="T340" s="4">
        <v>15</v>
      </c>
      <c r="U340" s="5" t="s">
        <v>4551</v>
      </c>
      <c r="V340" s="5" t="s">
        <v>4551</v>
      </c>
      <c r="W340" s="5" t="s">
        <v>4552</v>
      </c>
      <c r="X340" s="5" t="s">
        <v>4552</v>
      </c>
      <c r="Y340" s="4">
        <v>292</v>
      </c>
      <c r="Z340" s="4">
        <v>199</v>
      </c>
      <c r="AA340" s="4">
        <v>200</v>
      </c>
      <c r="AB340" s="4">
        <v>1</v>
      </c>
      <c r="AC340" s="4">
        <v>1</v>
      </c>
      <c r="AD340" s="4">
        <v>13</v>
      </c>
      <c r="AE340" s="4">
        <v>13</v>
      </c>
      <c r="AF340" s="4">
        <v>5</v>
      </c>
      <c r="AG340" s="4">
        <v>5</v>
      </c>
      <c r="AH340" s="4">
        <v>3</v>
      </c>
      <c r="AI340" s="4">
        <v>3</v>
      </c>
      <c r="AJ340" s="4">
        <v>9</v>
      </c>
      <c r="AK340" s="4">
        <v>9</v>
      </c>
      <c r="AL340" s="4">
        <v>0</v>
      </c>
      <c r="AM340" s="4">
        <v>0</v>
      </c>
      <c r="AN340" s="4">
        <v>0</v>
      </c>
      <c r="AO340" s="4">
        <v>0</v>
      </c>
      <c r="AP340" s="3" t="s">
        <v>58</v>
      </c>
      <c r="AQ340" s="3" t="s">
        <v>58</v>
      </c>
      <c r="AS340" s="6" t="str">
        <f>HYPERLINK("https://creighton-primo.hosted.exlibrisgroup.com/primo-explore/search?tab=default_tab&amp;search_scope=EVERYTHING&amp;vid=01CRU&amp;lang=en_US&amp;offset=0&amp;query=any,contains,991001850419702656","Catalog Record")</f>
        <v>Catalog Record</v>
      </c>
      <c r="AT340" s="6" t="str">
        <f>HYPERLINK("http://www.worldcat.org/oclc/23218950","WorldCat Record")</f>
        <v>WorldCat Record</v>
      </c>
      <c r="AU340" s="3" t="s">
        <v>4553</v>
      </c>
      <c r="AV340" s="3" t="s">
        <v>4554</v>
      </c>
      <c r="AW340" s="3" t="s">
        <v>4555</v>
      </c>
      <c r="AX340" s="3" t="s">
        <v>4555</v>
      </c>
      <c r="AY340" s="3" t="s">
        <v>4556</v>
      </c>
      <c r="AZ340" s="3" t="s">
        <v>74</v>
      </c>
      <c r="BB340" s="3" t="s">
        <v>4557</v>
      </c>
      <c r="BC340" s="3" t="s">
        <v>4558</v>
      </c>
      <c r="BD340" s="3" t="s">
        <v>4559</v>
      </c>
    </row>
    <row r="341" spans="1:56" ht="42.75" customHeight="1" x14ac:dyDescent="0.25">
      <c r="A341" s="7" t="s">
        <v>58</v>
      </c>
      <c r="B341" s="2" t="s">
        <v>4560</v>
      </c>
      <c r="C341" s="2" t="s">
        <v>4561</v>
      </c>
      <c r="D341" s="2" t="s">
        <v>4562</v>
      </c>
      <c r="F341" s="3" t="s">
        <v>58</v>
      </c>
      <c r="G341" s="3" t="s">
        <v>59</v>
      </c>
      <c r="H341" s="3" t="s">
        <v>58</v>
      </c>
      <c r="I341" s="3" t="s">
        <v>58</v>
      </c>
      <c r="J341" s="3" t="s">
        <v>60</v>
      </c>
      <c r="K341" s="2" t="s">
        <v>4563</v>
      </c>
      <c r="L341" s="2" t="s">
        <v>4564</v>
      </c>
      <c r="M341" s="3" t="s">
        <v>480</v>
      </c>
      <c r="O341" s="3" t="s">
        <v>64</v>
      </c>
      <c r="P341" s="3" t="s">
        <v>359</v>
      </c>
      <c r="Q341" s="2" t="s">
        <v>4565</v>
      </c>
      <c r="R341" s="3" t="s">
        <v>67</v>
      </c>
      <c r="S341" s="4">
        <v>11</v>
      </c>
      <c r="T341" s="4">
        <v>11</v>
      </c>
      <c r="U341" s="5" t="s">
        <v>903</v>
      </c>
      <c r="V341" s="5" t="s">
        <v>903</v>
      </c>
      <c r="W341" s="5" t="s">
        <v>2092</v>
      </c>
      <c r="X341" s="5" t="s">
        <v>2092</v>
      </c>
      <c r="Y341" s="4">
        <v>272</v>
      </c>
      <c r="Z341" s="4">
        <v>217</v>
      </c>
      <c r="AA341" s="4">
        <v>224</v>
      </c>
      <c r="AB341" s="4">
        <v>2</v>
      </c>
      <c r="AC341" s="4">
        <v>2</v>
      </c>
      <c r="AD341" s="4">
        <v>6</v>
      </c>
      <c r="AE341" s="4">
        <v>6</v>
      </c>
      <c r="AF341" s="4">
        <v>3</v>
      </c>
      <c r="AG341" s="4">
        <v>3</v>
      </c>
      <c r="AH341" s="4">
        <v>1</v>
      </c>
      <c r="AI341" s="4">
        <v>1</v>
      </c>
      <c r="AJ341" s="4">
        <v>3</v>
      </c>
      <c r="AK341" s="4">
        <v>3</v>
      </c>
      <c r="AL341" s="4">
        <v>1</v>
      </c>
      <c r="AM341" s="4">
        <v>1</v>
      </c>
      <c r="AN341" s="4">
        <v>0</v>
      </c>
      <c r="AO341" s="4">
        <v>0</v>
      </c>
      <c r="AP341" s="3" t="s">
        <v>58</v>
      </c>
      <c r="AQ341" s="3" t="s">
        <v>86</v>
      </c>
      <c r="AR341" s="6" t="str">
        <f>HYPERLINK("http://catalog.hathitrust.org/Record/001948850","HathiTrust Record")</f>
        <v>HathiTrust Record</v>
      </c>
      <c r="AS341" s="6" t="str">
        <f>HYPERLINK("https://creighton-primo.hosted.exlibrisgroup.com/primo-explore/search?tab=default_tab&amp;search_scope=EVERYTHING&amp;vid=01CRU&amp;lang=en_US&amp;offset=0&amp;query=any,contains,991001494249702656","Catalog Record")</f>
        <v>Catalog Record</v>
      </c>
      <c r="AT341" s="6" t="str">
        <f>HYPERLINK("http://www.worldcat.org/oclc/19741397","WorldCat Record")</f>
        <v>WorldCat Record</v>
      </c>
      <c r="AU341" s="3" t="s">
        <v>4566</v>
      </c>
      <c r="AV341" s="3" t="s">
        <v>4567</v>
      </c>
      <c r="AW341" s="3" t="s">
        <v>4568</v>
      </c>
      <c r="AX341" s="3" t="s">
        <v>4568</v>
      </c>
      <c r="AY341" s="3" t="s">
        <v>4569</v>
      </c>
      <c r="AZ341" s="3" t="s">
        <v>74</v>
      </c>
      <c r="BB341" s="3" t="s">
        <v>4570</v>
      </c>
      <c r="BC341" s="3" t="s">
        <v>4571</v>
      </c>
      <c r="BD341" s="3" t="s">
        <v>4572</v>
      </c>
    </row>
    <row r="342" spans="1:56" ht="42.75" customHeight="1" x14ac:dyDescent="0.25">
      <c r="A342" s="7" t="s">
        <v>58</v>
      </c>
      <c r="B342" s="2" t="s">
        <v>4573</v>
      </c>
      <c r="C342" s="2" t="s">
        <v>4574</v>
      </c>
      <c r="D342" s="2" t="s">
        <v>4575</v>
      </c>
      <c r="F342" s="3" t="s">
        <v>58</v>
      </c>
      <c r="G342" s="3" t="s">
        <v>59</v>
      </c>
      <c r="H342" s="3" t="s">
        <v>58</v>
      </c>
      <c r="I342" s="3" t="s">
        <v>58</v>
      </c>
      <c r="J342" s="3" t="s">
        <v>60</v>
      </c>
      <c r="L342" s="2" t="s">
        <v>4576</v>
      </c>
      <c r="M342" s="3" t="s">
        <v>765</v>
      </c>
      <c r="O342" s="3" t="s">
        <v>64</v>
      </c>
      <c r="P342" s="3" t="s">
        <v>65</v>
      </c>
      <c r="R342" s="3" t="s">
        <v>67</v>
      </c>
      <c r="S342" s="4">
        <v>12</v>
      </c>
      <c r="T342" s="4">
        <v>12</v>
      </c>
      <c r="U342" s="5" t="s">
        <v>4577</v>
      </c>
      <c r="V342" s="5" t="s">
        <v>4577</v>
      </c>
      <c r="W342" s="5" t="s">
        <v>4578</v>
      </c>
      <c r="X342" s="5" t="s">
        <v>4578</v>
      </c>
      <c r="Y342" s="4">
        <v>358</v>
      </c>
      <c r="Z342" s="4">
        <v>210</v>
      </c>
      <c r="AA342" s="4">
        <v>984</v>
      </c>
      <c r="AB342" s="4">
        <v>2</v>
      </c>
      <c r="AC342" s="4">
        <v>29</v>
      </c>
      <c r="AD342" s="4">
        <v>9</v>
      </c>
      <c r="AE342" s="4">
        <v>37</v>
      </c>
      <c r="AF342" s="4">
        <v>4</v>
      </c>
      <c r="AG342" s="4">
        <v>10</v>
      </c>
      <c r="AH342" s="4">
        <v>2</v>
      </c>
      <c r="AI342" s="4">
        <v>7</v>
      </c>
      <c r="AJ342" s="4">
        <v>6</v>
      </c>
      <c r="AK342" s="4">
        <v>14</v>
      </c>
      <c r="AL342" s="4">
        <v>1</v>
      </c>
      <c r="AM342" s="4">
        <v>14</v>
      </c>
      <c r="AN342" s="4">
        <v>0</v>
      </c>
      <c r="AO342" s="4">
        <v>0</v>
      </c>
      <c r="AP342" s="3" t="s">
        <v>58</v>
      </c>
      <c r="AQ342" s="3" t="s">
        <v>86</v>
      </c>
      <c r="AR342" s="6" t="str">
        <f>HYPERLINK("http://catalog.hathitrust.org/Record/002993989","HathiTrust Record")</f>
        <v>HathiTrust Record</v>
      </c>
      <c r="AS342" s="6" t="str">
        <f>HYPERLINK("https://creighton-primo.hosted.exlibrisgroup.com/primo-explore/search?tab=default_tab&amp;search_scope=EVERYTHING&amp;vid=01CRU&amp;lang=en_US&amp;offset=0&amp;query=any,contains,991002376759702656","Catalog Record")</f>
        <v>Catalog Record</v>
      </c>
      <c r="AT342" s="6" t="str">
        <f>HYPERLINK("http://www.worldcat.org/oclc/30895405","WorldCat Record")</f>
        <v>WorldCat Record</v>
      </c>
      <c r="AU342" s="3" t="s">
        <v>4579</v>
      </c>
      <c r="AV342" s="3" t="s">
        <v>4580</v>
      </c>
      <c r="AW342" s="3" t="s">
        <v>4581</v>
      </c>
      <c r="AX342" s="3" t="s">
        <v>4581</v>
      </c>
      <c r="AY342" s="3" t="s">
        <v>4582</v>
      </c>
      <c r="AZ342" s="3" t="s">
        <v>74</v>
      </c>
      <c r="BB342" s="3" t="s">
        <v>4583</v>
      </c>
      <c r="BC342" s="3" t="s">
        <v>4584</v>
      </c>
      <c r="BD342" s="3" t="s">
        <v>4585</v>
      </c>
    </row>
    <row r="343" spans="1:56" ht="42.75" customHeight="1" x14ac:dyDescent="0.25">
      <c r="A343" s="7" t="s">
        <v>58</v>
      </c>
      <c r="B343" s="2" t="s">
        <v>4586</v>
      </c>
      <c r="C343" s="2" t="s">
        <v>4587</v>
      </c>
      <c r="D343" s="2" t="s">
        <v>4588</v>
      </c>
      <c r="F343" s="3" t="s">
        <v>58</v>
      </c>
      <c r="G343" s="3" t="s">
        <v>59</v>
      </c>
      <c r="H343" s="3" t="s">
        <v>58</v>
      </c>
      <c r="I343" s="3" t="s">
        <v>58</v>
      </c>
      <c r="J343" s="3" t="s">
        <v>60</v>
      </c>
      <c r="K343" s="2" t="s">
        <v>4589</v>
      </c>
      <c r="L343" s="2" t="s">
        <v>4590</v>
      </c>
      <c r="M343" s="3" t="s">
        <v>98</v>
      </c>
      <c r="O343" s="3" t="s">
        <v>64</v>
      </c>
      <c r="P343" s="3" t="s">
        <v>65</v>
      </c>
      <c r="Q343" s="2" t="s">
        <v>4591</v>
      </c>
      <c r="R343" s="3" t="s">
        <v>67</v>
      </c>
      <c r="S343" s="4">
        <v>13</v>
      </c>
      <c r="T343" s="4">
        <v>13</v>
      </c>
      <c r="U343" s="5" t="s">
        <v>4592</v>
      </c>
      <c r="V343" s="5" t="s">
        <v>4592</v>
      </c>
      <c r="W343" s="5" t="s">
        <v>2746</v>
      </c>
      <c r="X343" s="5" t="s">
        <v>2746</v>
      </c>
      <c r="Y343" s="4">
        <v>334</v>
      </c>
      <c r="Z343" s="4">
        <v>207</v>
      </c>
      <c r="AA343" s="4">
        <v>224</v>
      </c>
      <c r="AB343" s="4">
        <v>1</v>
      </c>
      <c r="AC343" s="4">
        <v>1</v>
      </c>
      <c r="AD343" s="4">
        <v>11</v>
      </c>
      <c r="AE343" s="4">
        <v>11</v>
      </c>
      <c r="AF343" s="4">
        <v>3</v>
      </c>
      <c r="AG343" s="4">
        <v>3</v>
      </c>
      <c r="AH343" s="4">
        <v>4</v>
      </c>
      <c r="AI343" s="4">
        <v>4</v>
      </c>
      <c r="AJ343" s="4">
        <v>9</v>
      </c>
      <c r="AK343" s="4">
        <v>9</v>
      </c>
      <c r="AL343" s="4">
        <v>0</v>
      </c>
      <c r="AM343" s="4">
        <v>0</v>
      </c>
      <c r="AN343" s="4">
        <v>0</v>
      </c>
      <c r="AO343" s="4">
        <v>0</v>
      </c>
      <c r="AP343" s="3" t="s">
        <v>58</v>
      </c>
      <c r="AQ343" s="3" t="s">
        <v>58</v>
      </c>
      <c r="AS343" s="6" t="str">
        <f>HYPERLINK("https://creighton-primo.hosted.exlibrisgroup.com/primo-explore/search?tab=default_tab&amp;search_scope=EVERYTHING&amp;vid=01CRU&amp;lang=en_US&amp;offset=0&amp;query=any,contains,991001164469702656","Catalog Record")</f>
        <v>Catalog Record</v>
      </c>
      <c r="AT343" s="6" t="str">
        <f>HYPERLINK("http://www.worldcat.org/oclc/16921566","WorldCat Record")</f>
        <v>WorldCat Record</v>
      </c>
      <c r="AU343" s="3" t="s">
        <v>4593</v>
      </c>
      <c r="AV343" s="3" t="s">
        <v>4594</v>
      </c>
      <c r="AW343" s="3" t="s">
        <v>4595</v>
      </c>
      <c r="AX343" s="3" t="s">
        <v>4595</v>
      </c>
      <c r="AY343" s="3" t="s">
        <v>4596</v>
      </c>
      <c r="AZ343" s="3" t="s">
        <v>74</v>
      </c>
      <c r="BB343" s="3" t="s">
        <v>4597</v>
      </c>
      <c r="BC343" s="3" t="s">
        <v>4598</v>
      </c>
      <c r="BD343" s="3" t="s">
        <v>4599</v>
      </c>
    </row>
    <row r="344" spans="1:56" ht="42.75" customHeight="1" x14ac:dyDescent="0.25">
      <c r="A344" s="7" t="s">
        <v>58</v>
      </c>
      <c r="B344" s="2" t="s">
        <v>4600</v>
      </c>
      <c r="C344" s="2" t="s">
        <v>4601</v>
      </c>
      <c r="D344" s="2" t="s">
        <v>4602</v>
      </c>
      <c r="F344" s="3" t="s">
        <v>58</v>
      </c>
      <c r="G344" s="3" t="s">
        <v>59</v>
      </c>
      <c r="H344" s="3" t="s">
        <v>58</v>
      </c>
      <c r="I344" s="3" t="s">
        <v>58</v>
      </c>
      <c r="J344" s="3" t="s">
        <v>60</v>
      </c>
      <c r="K344" s="2" t="s">
        <v>4603</v>
      </c>
      <c r="L344" s="2" t="s">
        <v>4604</v>
      </c>
      <c r="M344" s="3" t="s">
        <v>737</v>
      </c>
      <c r="O344" s="3" t="s">
        <v>64</v>
      </c>
      <c r="P344" s="3" t="s">
        <v>115</v>
      </c>
      <c r="R344" s="3" t="s">
        <v>67</v>
      </c>
      <c r="S344" s="4">
        <v>18</v>
      </c>
      <c r="T344" s="4">
        <v>18</v>
      </c>
      <c r="U344" s="5" t="s">
        <v>4577</v>
      </c>
      <c r="V344" s="5" t="s">
        <v>4577</v>
      </c>
      <c r="W344" s="5" t="s">
        <v>4605</v>
      </c>
      <c r="X344" s="5" t="s">
        <v>4605</v>
      </c>
      <c r="Y344" s="4">
        <v>203</v>
      </c>
      <c r="Z344" s="4">
        <v>177</v>
      </c>
      <c r="AA344" s="4">
        <v>180</v>
      </c>
      <c r="AB344" s="4">
        <v>1</v>
      </c>
      <c r="AC344" s="4">
        <v>1</v>
      </c>
      <c r="AD344" s="4">
        <v>5</v>
      </c>
      <c r="AE344" s="4">
        <v>5</v>
      </c>
      <c r="AF344" s="4">
        <v>2</v>
      </c>
      <c r="AG344" s="4">
        <v>2</v>
      </c>
      <c r="AH344" s="4">
        <v>3</v>
      </c>
      <c r="AI344" s="4">
        <v>3</v>
      </c>
      <c r="AJ344" s="4">
        <v>4</v>
      </c>
      <c r="AK344" s="4">
        <v>4</v>
      </c>
      <c r="AL344" s="4">
        <v>0</v>
      </c>
      <c r="AM344" s="4">
        <v>0</v>
      </c>
      <c r="AN344" s="4">
        <v>0</v>
      </c>
      <c r="AO344" s="4">
        <v>0</v>
      </c>
      <c r="AP344" s="3" t="s">
        <v>58</v>
      </c>
      <c r="AQ344" s="3" t="s">
        <v>86</v>
      </c>
      <c r="AR344" s="6" t="str">
        <f>HYPERLINK("http://catalog.hathitrust.org/Record/002802059","HathiTrust Record")</f>
        <v>HathiTrust Record</v>
      </c>
      <c r="AS344" s="6" t="str">
        <f>HYPERLINK("https://creighton-primo.hosted.exlibrisgroup.com/primo-explore/search?tab=default_tab&amp;search_scope=EVERYTHING&amp;vid=01CRU&amp;lang=en_US&amp;offset=0&amp;query=any,contains,991002245349702656","Catalog Record")</f>
        <v>Catalog Record</v>
      </c>
      <c r="AT344" s="6" t="str">
        <f>HYPERLINK("http://www.worldcat.org/oclc/28964164","WorldCat Record")</f>
        <v>WorldCat Record</v>
      </c>
      <c r="AU344" s="3" t="s">
        <v>4606</v>
      </c>
      <c r="AV344" s="3" t="s">
        <v>4607</v>
      </c>
      <c r="AW344" s="3" t="s">
        <v>4608</v>
      </c>
      <c r="AX344" s="3" t="s">
        <v>4608</v>
      </c>
      <c r="AY344" s="3" t="s">
        <v>4609</v>
      </c>
      <c r="AZ344" s="3" t="s">
        <v>74</v>
      </c>
      <c r="BB344" s="3" t="s">
        <v>4610</v>
      </c>
      <c r="BC344" s="3" t="s">
        <v>4611</v>
      </c>
      <c r="BD344" s="3" t="s">
        <v>4612</v>
      </c>
    </row>
    <row r="345" spans="1:56" ht="42.75" customHeight="1" x14ac:dyDescent="0.25">
      <c r="A345" s="7" t="s">
        <v>58</v>
      </c>
      <c r="B345" s="2" t="s">
        <v>4613</v>
      </c>
      <c r="C345" s="2" t="s">
        <v>4614</v>
      </c>
      <c r="D345" s="2" t="s">
        <v>4615</v>
      </c>
      <c r="F345" s="3" t="s">
        <v>58</v>
      </c>
      <c r="G345" s="3" t="s">
        <v>59</v>
      </c>
      <c r="H345" s="3" t="s">
        <v>58</v>
      </c>
      <c r="I345" s="3" t="s">
        <v>58</v>
      </c>
      <c r="J345" s="3" t="s">
        <v>60</v>
      </c>
      <c r="K345" s="2" t="s">
        <v>4616</v>
      </c>
      <c r="L345" s="2" t="s">
        <v>4617</v>
      </c>
      <c r="M345" s="3" t="s">
        <v>3124</v>
      </c>
      <c r="N345" s="2" t="s">
        <v>1844</v>
      </c>
      <c r="O345" s="3" t="s">
        <v>64</v>
      </c>
      <c r="P345" s="3" t="s">
        <v>65</v>
      </c>
      <c r="R345" s="3" t="s">
        <v>67</v>
      </c>
      <c r="S345" s="4">
        <v>15</v>
      </c>
      <c r="T345" s="4">
        <v>15</v>
      </c>
      <c r="U345" s="5" t="s">
        <v>4618</v>
      </c>
      <c r="V345" s="5" t="s">
        <v>4618</v>
      </c>
      <c r="W345" s="5" t="s">
        <v>4245</v>
      </c>
      <c r="X345" s="5" t="s">
        <v>4245</v>
      </c>
      <c r="Y345" s="4">
        <v>375</v>
      </c>
      <c r="Z345" s="4">
        <v>253</v>
      </c>
      <c r="AA345" s="4">
        <v>416</v>
      </c>
      <c r="AB345" s="4">
        <v>4</v>
      </c>
      <c r="AC345" s="4">
        <v>5</v>
      </c>
      <c r="AD345" s="4">
        <v>12</v>
      </c>
      <c r="AE345" s="4">
        <v>20</v>
      </c>
      <c r="AF345" s="4">
        <v>3</v>
      </c>
      <c r="AG345" s="4">
        <v>8</v>
      </c>
      <c r="AH345" s="4">
        <v>3</v>
      </c>
      <c r="AI345" s="4">
        <v>4</v>
      </c>
      <c r="AJ345" s="4">
        <v>6</v>
      </c>
      <c r="AK345" s="4">
        <v>11</v>
      </c>
      <c r="AL345" s="4">
        <v>3</v>
      </c>
      <c r="AM345" s="4">
        <v>4</v>
      </c>
      <c r="AN345" s="4">
        <v>0</v>
      </c>
      <c r="AO345" s="4">
        <v>0</v>
      </c>
      <c r="AP345" s="3" t="s">
        <v>58</v>
      </c>
      <c r="AQ345" s="3" t="s">
        <v>86</v>
      </c>
      <c r="AR345" s="6" t="str">
        <f>HYPERLINK("http://catalog.hathitrust.org/Record/000001405","HathiTrust Record")</f>
        <v>HathiTrust Record</v>
      </c>
      <c r="AS345" s="6" t="str">
        <f>HYPERLINK("https://creighton-primo.hosted.exlibrisgroup.com/primo-explore/search?tab=default_tab&amp;search_scope=EVERYTHING&amp;vid=01CRU&amp;lang=en_US&amp;offset=0&amp;query=any,contains,991000615999702656","Catalog Record")</f>
        <v>Catalog Record</v>
      </c>
      <c r="AT345" s="6" t="str">
        <f>HYPERLINK("http://www.worldcat.org/oclc/101705","WorldCat Record")</f>
        <v>WorldCat Record</v>
      </c>
      <c r="AU345" s="3" t="s">
        <v>4619</v>
      </c>
      <c r="AV345" s="3" t="s">
        <v>4620</v>
      </c>
      <c r="AW345" s="3" t="s">
        <v>4621</v>
      </c>
      <c r="AX345" s="3" t="s">
        <v>4621</v>
      </c>
      <c r="AY345" s="3" t="s">
        <v>4622</v>
      </c>
      <c r="AZ345" s="3" t="s">
        <v>74</v>
      </c>
      <c r="BB345" s="3" t="s">
        <v>4623</v>
      </c>
      <c r="BC345" s="3" t="s">
        <v>4624</v>
      </c>
      <c r="BD345" s="3" t="s">
        <v>4625</v>
      </c>
    </row>
    <row r="346" spans="1:56" ht="42.75" customHeight="1" x14ac:dyDescent="0.25">
      <c r="A346" s="7" t="s">
        <v>58</v>
      </c>
      <c r="B346" s="2" t="s">
        <v>4626</v>
      </c>
      <c r="C346" s="2" t="s">
        <v>4627</v>
      </c>
      <c r="D346" s="2" t="s">
        <v>4628</v>
      </c>
      <c r="F346" s="3" t="s">
        <v>58</v>
      </c>
      <c r="G346" s="3" t="s">
        <v>59</v>
      </c>
      <c r="H346" s="3" t="s">
        <v>58</v>
      </c>
      <c r="I346" s="3" t="s">
        <v>58</v>
      </c>
      <c r="J346" s="3" t="s">
        <v>60</v>
      </c>
      <c r="L346" s="2" t="s">
        <v>4629</v>
      </c>
      <c r="M346" s="3" t="s">
        <v>344</v>
      </c>
      <c r="O346" s="3" t="s">
        <v>64</v>
      </c>
      <c r="P346" s="3" t="s">
        <v>65</v>
      </c>
      <c r="Q346" s="2" t="s">
        <v>4630</v>
      </c>
      <c r="R346" s="3" t="s">
        <v>67</v>
      </c>
      <c r="S346" s="4">
        <v>4</v>
      </c>
      <c r="T346" s="4">
        <v>4</v>
      </c>
      <c r="U346" s="5" t="s">
        <v>4631</v>
      </c>
      <c r="V346" s="5" t="s">
        <v>4631</v>
      </c>
      <c r="W346" s="5" t="s">
        <v>131</v>
      </c>
      <c r="X346" s="5" t="s">
        <v>131</v>
      </c>
      <c r="Y346" s="4">
        <v>388</v>
      </c>
      <c r="Z346" s="4">
        <v>241</v>
      </c>
      <c r="AA346" s="4">
        <v>287</v>
      </c>
      <c r="AB346" s="4">
        <v>1</v>
      </c>
      <c r="AC346" s="4">
        <v>1</v>
      </c>
      <c r="AD346" s="4">
        <v>11</v>
      </c>
      <c r="AE346" s="4">
        <v>12</v>
      </c>
      <c r="AF346" s="4">
        <v>2</v>
      </c>
      <c r="AG346" s="4">
        <v>2</v>
      </c>
      <c r="AH346" s="4">
        <v>3</v>
      </c>
      <c r="AI346" s="4">
        <v>3</v>
      </c>
      <c r="AJ346" s="4">
        <v>9</v>
      </c>
      <c r="AK346" s="4">
        <v>10</v>
      </c>
      <c r="AL346" s="4">
        <v>0</v>
      </c>
      <c r="AM346" s="4">
        <v>0</v>
      </c>
      <c r="AN346" s="4">
        <v>0</v>
      </c>
      <c r="AO346" s="4">
        <v>0</v>
      </c>
      <c r="AP346" s="3" t="s">
        <v>58</v>
      </c>
      <c r="AQ346" s="3" t="s">
        <v>58</v>
      </c>
      <c r="AS346" s="6" t="str">
        <f>HYPERLINK("https://creighton-primo.hosted.exlibrisgroup.com/primo-explore/search?tab=default_tab&amp;search_scope=EVERYTHING&amp;vid=01CRU&amp;lang=en_US&amp;offset=0&amp;query=any,contains,991005038379702656","Catalog Record")</f>
        <v>Catalog Record</v>
      </c>
      <c r="AT346" s="6" t="str">
        <f>HYPERLINK("http://www.worldcat.org/oclc/6770927","WorldCat Record")</f>
        <v>WorldCat Record</v>
      </c>
      <c r="AU346" s="3" t="s">
        <v>4632</v>
      </c>
      <c r="AV346" s="3" t="s">
        <v>4633</v>
      </c>
      <c r="AW346" s="3" t="s">
        <v>4634</v>
      </c>
      <c r="AX346" s="3" t="s">
        <v>4634</v>
      </c>
      <c r="AY346" s="3" t="s">
        <v>4635</v>
      </c>
      <c r="AZ346" s="3" t="s">
        <v>74</v>
      </c>
      <c r="BB346" s="3" t="s">
        <v>4636</v>
      </c>
      <c r="BC346" s="3" t="s">
        <v>4637</v>
      </c>
      <c r="BD346" s="3" t="s">
        <v>4638</v>
      </c>
    </row>
    <row r="347" spans="1:56" ht="42.75" customHeight="1" x14ac:dyDescent="0.25">
      <c r="A347" s="7" t="s">
        <v>58</v>
      </c>
      <c r="B347" s="2" t="s">
        <v>4639</v>
      </c>
      <c r="C347" s="2" t="s">
        <v>4640</v>
      </c>
      <c r="D347" s="2" t="s">
        <v>4641</v>
      </c>
      <c r="F347" s="3" t="s">
        <v>58</v>
      </c>
      <c r="G347" s="3" t="s">
        <v>59</v>
      </c>
      <c r="H347" s="3" t="s">
        <v>58</v>
      </c>
      <c r="I347" s="3" t="s">
        <v>58</v>
      </c>
      <c r="J347" s="3" t="s">
        <v>60</v>
      </c>
      <c r="L347" s="2" t="s">
        <v>4642</v>
      </c>
      <c r="M347" s="3" t="s">
        <v>371</v>
      </c>
      <c r="O347" s="3" t="s">
        <v>64</v>
      </c>
      <c r="P347" s="3" t="s">
        <v>65</v>
      </c>
      <c r="R347" s="3" t="s">
        <v>67</v>
      </c>
      <c r="S347" s="4">
        <v>14</v>
      </c>
      <c r="T347" s="4">
        <v>14</v>
      </c>
      <c r="U347" s="5" t="s">
        <v>2438</v>
      </c>
      <c r="V347" s="5" t="s">
        <v>2438</v>
      </c>
      <c r="W347" s="5" t="s">
        <v>131</v>
      </c>
      <c r="X347" s="5" t="s">
        <v>131</v>
      </c>
      <c r="Y347" s="4">
        <v>449</v>
      </c>
      <c r="Z347" s="4">
        <v>357</v>
      </c>
      <c r="AA347" s="4">
        <v>361</v>
      </c>
      <c r="AB347" s="4">
        <v>4</v>
      </c>
      <c r="AC347" s="4">
        <v>4</v>
      </c>
      <c r="AD347" s="4">
        <v>20</v>
      </c>
      <c r="AE347" s="4">
        <v>20</v>
      </c>
      <c r="AF347" s="4">
        <v>6</v>
      </c>
      <c r="AG347" s="4">
        <v>6</v>
      </c>
      <c r="AH347" s="4">
        <v>6</v>
      </c>
      <c r="AI347" s="4">
        <v>6</v>
      </c>
      <c r="AJ347" s="4">
        <v>11</v>
      </c>
      <c r="AK347" s="4">
        <v>11</v>
      </c>
      <c r="AL347" s="4">
        <v>3</v>
      </c>
      <c r="AM347" s="4">
        <v>3</v>
      </c>
      <c r="AN347" s="4">
        <v>0</v>
      </c>
      <c r="AO347" s="4">
        <v>0</v>
      </c>
      <c r="AP347" s="3" t="s">
        <v>58</v>
      </c>
      <c r="AQ347" s="3" t="s">
        <v>86</v>
      </c>
      <c r="AR347" s="6" t="str">
        <f>HYPERLINK("http://catalog.hathitrust.org/Record/000538323","HathiTrust Record")</f>
        <v>HathiTrust Record</v>
      </c>
      <c r="AS347" s="6" t="str">
        <f>HYPERLINK("https://creighton-primo.hosted.exlibrisgroup.com/primo-explore/search?tab=default_tab&amp;search_scope=EVERYTHING&amp;vid=01CRU&amp;lang=en_US&amp;offset=0&amp;query=any,contains,991000667309702656","Catalog Record")</f>
        <v>Catalog Record</v>
      </c>
      <c r="AT347" s="6" t="str">
        <f>HYPERLINK("http://www.worldcat.org/oclc/12286635","WorldCat Record")</f>
        <v>WorldCat Record</v>
      </c>
      <c r="AU347" s="3" t="s">
        <v>4643</v>
      </c>
      <c r="AV347" s="3" t="s">
        <v>4644</v>
      </c>
      <c r="AW347" s="3" t="s">
        <v>4645</v>
      </c>
      <c r="AX347" s="3" t="s">
        <v>4645</v>
      </c>
      <c r="AY347" s="3" t="s">
        <v>4646</v>
      </c>
      <c r="AZ347" s="3" t="s">
        <v>74</v>
      </c>
      <c r="BB347" s="3" t="s">
        <v>4647</v>
      </c>
      <c r="BC347" s="3" t="s">
        <v>4648</v>
      </c>
      <c r="BD347" s="3" t="s">
        <v>4649</v>
      </c>
    </row>
    <row r="348" spans="1:56" ht="42.75" customHeight="1" x14ac:dyDescent="0.25">
      <c r="A348" s="7" t="s">
        <v>58</v>
      </c>
      <c r="B348" s="2" t="s">
        <v>4650</v>
      </c>
      <c r="C348" s="2" t="s">
        <v>4651</v>
      </c>
      <c r="D348" s="2" t="s">
        <v>4652</v>
      </c>
      <c r="F348" s="3" t="s">
        <v>58</v>
      </c>
      <c r="G348" s="3" t="s">
        <v>59</v>
      </c>
      <c r="H348" s="3" t="s">
        <v>58</v>
      </c>
      <c r="I348" s="3" t="s">
        <v>58</v>
      </c>
      <c r="J348" s="3" t="s">
        <v>60</v>
      </c>
      <c r="K348" s="2" t="s">
        <v>4653</v>
      </c>
      <c r="L348" s="2" t="s">
        <v>4654</v>
      </c>
      <c r="M348" s="3" t="s">
        <v>737</v>
      </c>
      <c r="O348" s="3" t="s">
        <v>64</v>
      </c>
      <c r="P348" s="3" t="s">
        <v>115</v>
      </c>
      <c r="R348" s="3" t="s">
        <v>67</v>
      </c>
      <c r="S348" s="4">
        <v>5</v>
      </c>
      <c r="T348" s="4">
        <v>5</v>
      </c>
      <c r="U348" s="5" t="s">
        <v>4618</v>
      </c>
      <c r="V348" s="5" t="s">
        <v>4618</v>
      </c>
      <c r="W348" s="5" t="s">
        <v>4655</v>
      </c>
      <c r="X348" s="5" t="s">
        <v>4655</v>
      </c>
      <c r="Y348" s="4">
        <v>464</v>
      </c>
      <c r="Z348" s="4">
        <v>437</v>
      </c>
      <c r="AA348" s="4">
        <v>442</v>
      </c>
      <c r="AB348" s="4">
        <v>4</v>
      </c>
      <c r="AC348" s="4">
        <v>4</v>
      </c>
      <c r="AD348" s="4">
        <v>15</v>
      </c>
      <c r="AE348" s="4">
        <v>15</v>
      </c>
      <c r="AF348" s="4">
        <v>3</v>
      </c>
      <c r="AG348" s="4">
        <v>3</v>
      </c>
      <c r="AH348" s="4">
        <v>3</v>
      </c>
      <c r="AI348" s="4">
        <v>3</v>
      </c>
      <c r="AJ348" s="4">
        <v>9</v>
      </c>
      <c r="AK348" s="4">
        <v>9</v>
      </c>
      <c r="AL348" s="4">
        <v>3</v>
      </c>
      <c r="AM348" s="4">
        <v>3</v>
      </c>
      <c r="AN348" s="4">
        <v>0</v>
      </c>
      <c r="AO348" s="4">
        <v>0</v>
      </c>
      <c r="AP348" s="3" t="s">
        <v>58</v>
      </c>
      <c r="AQ348" s="3" t="s">
        <v>58</v>
      </c>
      <c r="AS348" s="6" t="str">
        <f>HYPERLINK("https://creighton-primo.hosted.exlibrisgroup.com/primo-explore/search?tab=default_tab&amp;search_scope=EVERYTHING&amp;vid=01CRU&amp;lang=en_US&amp;offset=0&amp;query=any,contains,991002341979702656","Catalog Record")</f>
        <v>Catalog Record</v>
      </c>
      <c r="AT348" s="6" t="str">
        <f>HYPERLINK("http://www.worldcat.org/oclc/30493827","WorldCat Record")</f>
        <v>WorldCat Record</v>
      </c>
      <c r="AU348" s="3" t="s">
        <v>4656</v>
      </c>
      <c r="AV348" s="3" t="s">
        <v>4657</v>
      </c>
      <c r="AW348" s="3" t="s">
        <v>4658</v>
      </c>
      <c r="AX348" s="3" t="s">
        <v>4658</v>
      </c>
      <c r="AY348" s="3" t="s">
        <v>4659</v>
      </c>
      <c r="AZ348" s="3" t="s">
        <v>74</v>
      </c>
      <c r="BB348" s="3" t="s">
        <v>4660</v>
      </c>
      <c r="BC348" s="3" t="s">
        <v>4661</v>
      </c>
      <c r="BD348" s="3" t="s">
        <v>4662</v>
      </c>
    </row>
    <row r="349" spans="1:56" ht="42.75" customHeight="1" x14ac:dyDescent="0.25">
      <c r="A349" s="7" t="s">
        <v>58</v>
      </c>
      <c r="B349" s="2" t="s">
        <v>4663</v>
      </c>
      <c r="C349" s="2" t="s">
        <v>4664</v>
      </c>
      <c r="D349" s="2" t="s">
        <v>4665</v>
      </c>
      <c r="F349" s="3" t="s">
        <v>58</v>
      </c>
      <c r="G349" s="3" t="s">
        <v>59</v>
      </c>
      <c r="H349" s="3" t="s">
        <v>58</v>
      </c>
      <c r="I349" s="3" t="s">
        <v>58</v>
      </c>
      <c r="J349" s="3" t="s">
        <v>60</v>
      </c>
      <c r="K349" s="2" t="s">
        <v>4653</v>
      </c>
      <c r="L349" s="2" t="s">
        <v>4666</v>
      </c>
      <c r="M349" s="3" t="s">
        <v>114</v>
      </c>
      <c r="O349" s="3" t="s">
        <v>64</v>
      </c>
      <c r="P349" s="3" t="s">
        <v>115</v>
      </c>
      <c r="R349" s="3" t="s">
        <v>67</v>
      </c>
      <c r="S349" s="4">
        <v>12</v>
      </c>
      <c r="T349" s="4">
        <v>12</v>
      </c>
      <c r="U349" s="5" t="s">
        <v>4551</v>
      </c>
      <c r="V349" s="5" t="s">
        <v>4551</v>
      </c>
      <c r="W349" s="5" t="s">
        <v>670</v>
      </c>
      <c r="X349" s="5" t="s">
        <v>670</v>
      </c>
      <c r="Y349" s="4">
        <v>1194</v>
      </c>
      <c r="Z349" s="4">
        <v>1146</v>
      </c>
      <c r="AA349" s="4">
        <v>1265</v>
      </c>
      <c r="AB349" s="4">
        <v>6</v>
      </c>
      <c r="AC349" s="4">
        <v>7</v>
      </c>
      <c r="AD349" s="4">
        <v>26</v>
      </c>
      <c r="AE349" s="4">
        <v>28</v>
      </c>
      <c r="AF349" s="4">
        <v>8</v>
      </c>
      <c r="AG349" s="4">
        <v>9</v>
      </c>
      <c r="AH349" s="4">
        <v>5</v>
      </c>
      <c r="AI349" s="4">
        <v>5</v>
      </c>
      <c r="AJ349" s="4">
        <v>18</v>
      </c>
      <c r="AK349" s="4">
        <v>18</v>
      </c>
      <c r="AL349" s="4">
        <v>2</v>
      </c>
      <c r="AM349" s="4">
        <v>3</v>
      </c>
      <c r="AN349" s="4">
        <v>0</v>
      </c>
      <c r="AO349" s="4">
        <v>0</v>
      </c>
      <c r="AP349" s="3" t="s">
        <v>58</v>
      </c>
      <c r="AQ349" s="3" t="s">
        <v>58</v>
      </c>
      <c r="AS349" s="6" t="str">
        <f>HYPERLINK("https://creighton-primo.hosted.exlibrisgroup.com/primo-explore/search?tab=default_tab&amp;search_scope=EVERYTHING&amp;vid=01CRU&amp;lang=en_US&amp;offset=0&amp;query=any,contains,991000414759702656","Catalog Record")</f>
        <v>Catalog Record</v>
      </c>
      <c r="AT349" s="6" t="str">
        <f>HYPERLINK("http://www.worldcat.org/oclc/10723904","WorldCat Record")</f>
        <v>WorldCat Record</v>
      </c>
      <c r="AU349" s="3" t="s">
        <v>4667</v>
      </c>
      <c r="AV349" s="3" t="s">
        <v>4668</v>
      </c>
      <c r="AW349" s="3" t="s">
        <v>4669</v>
      </c>
      <c r="AX349" s="3" t="s">
        <v>4669</v>
      </c>
      <c r="AY349" s="3" t="s">
        <v>4670</v>
      </c>
      <c r="AZ349" s="3" t="s">
        <v>74</v>
      </c>
      <c r="BB349" s="3" t="s">
        <v>4671</v>
      </c>
      <c r="BC349" s="3" t="s">
        <v>4672</v>
      </c>
      <c r="BD349" s="3" t="s">
        <v>4673</v>
      </c>
    </row>
    <row r="350" spans="1:56" ht="42.75" customHeight="1" x14ac:dyDescent="0.25">
      <c r="A350" s="7" t="s">
        <v>58</v>
      </c>
      <c r="B350" s="2" t="s">
        <v>4674</v>
      </c>
      <c r="C350" s="2" t="s">
        <v>4675</v>
      </c>
      <c r="D350" s="2" t="s">
        <v>4676</v>
      </c>
      <c r="F350" s="3" t="s">
        <v>58</v>
      </c>
      <c r="G350" s="3" t="s">
        <v>59</v>
      </c>
      <c r="H350" s="3" t="s">
        <v>58</v>
      </c>
      <c r="I350" s="3" t="s">
        <v>58</v>
      </c>
      <c r="J350" s="3" t="s">
        <v>60</v>
      </c>
      <c r="K350" s="2" t="s">
        <v>4677</v>
      </c>
      <c r="L350" s="2" t="s">
        <v>4678</v>
      </c>
      <c r="M350" s="3" t="s">
        <v>144</v>
      </c>
      <c r="O350" s="3" t="s">
        <v>64</v>
      </c>
      <c r="P350" s="3" t="s">
        <v>3070</v>
      </c>
      <c r="R350" s="3" t="s">
        <v>67</v>
      </c>
      <c r="S350" s="4">
        <v>12</v>
      </c>
      <c r="T350" s="4">
        <v>12</v>
      </c>
      <c r="U350" s="5" t="s">
        <v>4679</v>
      </c>
      <c r="V350" s="5" t="s">
        <v>4679</v>
      </c>
      <c r="W350" s="5" t="s">
        <v>4680</v>
      </c>
      <c r="X350" s="5" t="s">
        <v>4680</v>
      </c>
      <c r="Y350" s="4">
        <v>244</v>
      </c>
      <c r="Z350" s="4">
        <v>218</v>
      </c>
      <c r="AA350" s="4">
        <v>238</v>
      </c>
      <c r="AB350" s="4">
        <v>2</v>
      </c>
      <c r="AC350" s="4">
        <v>2</v>
      </c>
      <c r="AD350" s="4">
        <v>2</v>
      </c>
      <c r="AE350" s="4">
        <v>3</v>
      </c>
      <c r="AF350" s="4">
        <v>1</v>
      </c>
      <c r="AG350" s="4">
        <v>2</v>
      </c>
      <c r="AH350" s="4">
        <v>0</v>
      </c>
      <c r="AI350" s="4">
        <v>1</v>
      </c>
      <c r="AJ350" s="4">
        <v>0</v>
      </c>
      <c r="AK350" s="4">
        <v>0</v>
      </c>
      <c r="AL350" s="4">
        <v>1</v>
      </c>
      <c r="AM350" s="4">
        <v>1</v>
      </c>
      <c r="AN350" s="4">
        <v>0</v>
      </c>
      <c r="AO350" s="4">
        <v>0</v>
      </c>
      <c r="AP350" s="3" t="s">
        <v>58</v>
      </c>
      <c r="AQ350" s="3" t="s">
        <v>58</v>
      </c>
      <c r="AS350" s="6" t="str">
        <f>HYPERLINK("https://creighton-primo.hosted.exlibrisgroup.com/primo-explore/search?tab=default_tab&amp;search_scope=EVERYTHING&amp;vid=01CRU&amp;lang=en_US&amp;offset=0&amp;query=any,contains,991002745689702656","Catalog Record")</f>
        <v>Catalog Record</v>
      </c>
      <c r="AT350" s="6" t="str">
        <f>HYPERLINK("http://www.worldcat.org/oclc/36037771","WorldCat Record")</f>
        <v>WorldCat Record</v>
      </c>
      <c r="AU350" s="3" t="s">
        <v>4681</v>
      </c>
      <c r="AV350" s="3" t="s">
        <v>4682</v>
      </c>
      <c r="AW350" s="3" t="s">
        <v>4683</v>
      </c>
      <c r="AX350" s="3" t="s">
        <v>4683</v>
      </c>
      <c r="AY350" s="3" t="s">
        <v>4684</v>
      </c>
      <c r="AZ350" s="3" t="s">
        <v>74</v>
      </c>
      <c r="BB350" s="3" t="s">
        <v>4685</v>
      </c>
      <c r="BC350" s="3" t="s">
        <v>4686</v>
      </c>
      <c r="BD350" s="3" t="s">
        <v>4687</v>
      </c>
    </row>
    <row r="351" spans="1:56" ht="42.75" customHeight="1" x14ac:dyDescent="0.25">
      <c r="A351" s="7" t="s">
        <v>58</v>
      </c>
      <c r="B351" s="2" t="s">
        <v>4688</v>
      </c>
      <c r="C351" s="2" t="s">
        <v>4689</v>
      </c>
      <c r="D351" s="2" t="s">
        <v>4690</v>
      </c>
      <c r="F351" s="3" t="s">
        <v>86</v>
      </c>
      <c r="G351" s="3" t="s">
        <v>59</v>
      </c>
      <c r="H351" s="3" t="s">
        <v>58</v>
      </c>
      <c r="I351" s="3" t="s">
        <v>58</v>
      </c>
      <c r="J351" s="3" t="s">
        <v>60</v>
      </c>
      <c r="L351" s="2" t="s">
        <v>4691</v>
      </c>
      <c r="M351" s="3" t="s">
        <v>534</v>
      </c>
      <c r="O351" s="3" t="s">
        <v>64</v>
      </c>
      <c r="P351" s="3" t="s">
        <v>65</v>
      </c>
      <c r="R351" s="3" t="s">
        <v>67</v>
      </c>
      <c r="S351" s="4">
        <v>9</v>
      </c>
      <c r="T351" s="4">
        <v>9</v>
      </c>
      <c r="U351" s="5" t="s">
        <v>4692</v>
      </c>
      <c r="V351" s="5" t="s">
        <v>4692</v>
      </c>
      <c r="W351" s="5" t="s">
        <v>4693</v>
      </c>
      <c r="X351" s="5" t="s">
        <v>4693</v>
      </c>
      <c r="Y351" s="4">
        <v>142</v>
      </c>
      <c r="Z351" s="4">
        <v>96</v>
      </c>
      <c r="AA351" s="4">
        <v>98</v>
      </c>
      <c r="AB351" s="4">
        <v>2</v>
      </c>
      <c r="AC351" s="4">
        <v>2</v>
      </c>
      <c r="AD351" s="4">
        <v>4</v>
      </c>
      <c r="AE351" s="4">
        <v>4</v>
      </c>
      <c r="AF351" s="4">
        <v>1</v>
      </c>
      <c r="AG351" s="4">
        <v>1</v>
      </c>
      <c r="AH351" s="4">
        <v>1</v>
      </c>
      <c r="AI351" s="4">
        <v>1</v>
      </c>
      <c r="AJ351" s="4">
        <v>1</v>
      </c>
      <c r="AK351" s="4">
        <v>1</v>
      </c>
      <c r="AL351" s="4">
        <v>1</v>
      </c>
      <c r="AM351" s="4">
        <v>1</v>
      </c>
      <c r="AN351" s="4">
        <v>0</v>
      </c>
      <c r="AO351" s="4">
        <v>0</v>
      </c>
      <c r="AP351" s="3" t="s">
        <v>58</v>
      </c>
      <c r="AQ351" s="3" t="s">
        <v>86</v>
      </c>
      <c r="AR351" s="6" t="str">
        <f>HYPERLINK("http://catalog.hathitrust.org/Record/002056921","HathiTrust Record")</f>
        <v>HathiTrust Record</v>
      </c>
      <c r="AS351" s="6" t="str">
        <f>HYPERLINK("https://creighton-primo.hosted.exlibrisgroup.com/primo-explore/search?tab=default_tab&amp;search_scope=EVERYTHING&amp;vid=01CRU&amp;lang=en_US&amp;offset=0&amp;query=any,contains,991001574639702656","Catalog Record")</f>
        <v>Catalog Record</v>
      </c>
      <c r="AT351" s="6" t="str">
        <f>HYPERLINK("http://www.worldcat.org/oclc/20421523","WorldCat Record")</f>
        <v>WorldCat Record</v>
      </c>
      <c r="AU351" s="3" t="s">
        <v>4694</v>
      </c>
      <c r="AV351" s="3" t="s">
        <v>4695</v>
      </c>
      <c r="AW351" s="3" t="s">
        <v>4696</v>
      </c>
      <c r="AX351" s="3" t="s">
        <v>4696</v>
      </c>
      <c r="AY351" s="3" t="s">
        <v>4697</v>
      </c>
      <c r="AZ351" s="3" t="s">
        <v>74</v>
      </c>
      <c r="BB351" s="3" t="s">
        <v>4698</v>
      </c>
      <c r="BC351" s="3" t="s">
        <v>4699</v>
      </c>
      <c r="BD351" s="3" t="s">
        <v>4700</v>
      </c>
    </row>
    <row r="352" spans="1:56" ht="42.75" customHeight="1" x14ac:dyDescent="0.25">
      <c r="A352" s="7" t="s">
        <v>58</v>
      </c>
      <c r="B352" s="2" t="s">
        <v>4701</v>
      </c>
      <c r="C352" s="2" t="s">
        <v>4702</v>
      </c>
      <c r="D352" s="2" t="s">
        <v>4703</v>
      </c>
      <c r="F352" s="3" t="s">
        <v>58</v>
      </c>
      <c r="G352" s="3" t="s">
        <v>59</v>
      </c>
      <c r="H352" s="3" t="s">
        <v>58</v>
      </c>
      <c r="I352" s="3" t="s">
        <v>58</v>
      </c>
      <c r="J352" s="3" t="s">
        <v>60</v>
      </c>
      <c r="K352" s="2" t="s">
        <v>4704</v>
      </c>
      <c r="L352" s="2" t="s">
        <v>4705</v>
      </c>
      <c r="M352" s="3" t="s">
        <v>238</v>
      </c>
      <c r="O352" s="3" t="s">
        <v>64</v>
      </c>
      <c r="P352" s="3" t="s">
        <v>115</v>
      </c>
      <c r="R352" s="3" t="s">
        <v>67</v>
      </c>
      <c r="S352" s="4">
        <v>3</v>
      </c>
      <c r="T352" s="4">
        <v>3</v>
      </c>
      <c r="U352" s="5" t="s">
        <v>4631</v>
      </c>
      <c r="V352" s="5" t="s">
        <v>4631</v>
      </c>
      <c r="W352" s="5" t="s">
        <v>3528</v>
      </c>
      <c r="X352" s="5" t="s">
        <v>3528</v>
      </c>
      <c r="Y352" s="4">
        <v>311</v>
      </c>
      <c r="Z352" s="4">
        <v>233</v>
      </c>
      <c r="AA352" s="4">
        <v>233</v>
      </c>
      <c r="AB352" s="4">
        <v>2</v>
      </c>
      <c r="AC352" s="4">
        <v>2</v>
      </c>
      <c r="AD352" s="4">
        <v>6</v>
      </c>
      <c r="AE352" s="4">
        <v>6</v>
      </c>
      <c r="AF352" s="4">
        <v>1</v>
      </c>
      <c r="AG352" s="4">
        <v>1</v>
      </c>
      <c r="AH352" s="4">
        <v>2</v>
      </c>
      <c r="AI352" s="4">
        <v>2</v>
      </c>
      <c r="AJ352" s="4">
        <v>4</v>
      </c>
      <c r="AK352" s="4">
        <v>4</v>
      </c>
      <c r="AL352" s="4">
        <v>1</v>
      </c>
      <c r="AM352" s="4">
        <v>1</v>
      </c>
      <c r="AN352" s="4">
        <v>0</v>
      </c>
      <c r="AO352" s="4">
        <v>0</v>
      </c>
      <c r="AP352" s="3" t="s">
        <v>58</v>
      </c>
      <c r="AQ352" s="3" t="s">
        <v>58</v>
      </c>
      <c r="AS352" s="6" t="str">
        <f>HYPERLINK("https://creighton-primo.hosted.exlibrisgroup.com/primo-explore/search?tab=default_tab&amp;search_scope=EVERYTHING&amp;vid=01CRU&amp;lang=en_US&amp;offset=0&amp;query=any,contains,991004657059702656","Catalog Record")</f>
        <v>Catalog Record</v>
      </c>
      <c r="AT352" s="6" t="str">
        <f>HYPERLINK("http://www.worldcat.org/oclc/4495631","WorldCat Record")</f>
        <v>WorldCat Record</v>
      </c>
      <c r="AU352" s="3" t="s">
        <v>4706</v>
      </c>
      <c r="AV352" s="3" t="s">
        <v>4707</v>
      </c>
      <c r="AW352" s="3" t="s">
        <v>4708</v>
      </c>
      <c r="AX352" s="3" t="s">
        <v>4708</v>
      </c>
      <c r="AY352" s="3" t="s">
        <v>4709</v>
      </c>
      <c r="AZ352" s="3" t="s">
        <v>74</v>
      </c>
      <c r="BB352" s="3" t="s">
        <v>4710</v>
      </c>
      <c r="BC352" s="3" t="s">
        <v>4711</v>
      </c>
      <c r="BD352" s="3" t="s">
        <v>4712</v>
      </c>
    </row>
    <row r="353" spans="1:56" ht="42.75" customHeight="1" x14ac:dyDescent="0.25">
      <c r="A353" s="7" t="s">
        <v>58</v>
      </c>
      <c r="B353" s="2" t="s">
        <v>4713</v>
      </c>
      <c r="C353" s="2" t="s">
        <v>4714</v>
      </c>
      <c r="D353" s="2" t="s">
        <v>4715</v>
      </c>
      <c r="F353" s="3" t="s">
        <v>58</v>
      </c>
      <c r="G353" s="3" t="s">
        <v>59</v>
      </c>
      <c r="H353" s="3" t="s">
        <v>58</v>
      </c>
      <c r="I353" s="3" t="s">
        <v>58</v>
      </c>
      <c r="J353" s="3" t="s">
        <v>60</v>
      </c>
      <c r="L353" s="2" t="s">
        <v>4404</v>
      </c>
      <c r="M353" s="3" t="s">
        <v>1574</v>
      </c>
      <c r="O353" s="3" t="s">
        <v>64</v>
      </c>
      <c r="P353" s="3" t="s">
        <v>115</v>
      </c>
      <c r="Q353" s="2" t="s">
        <v>4716</v>
      </c>
      <c r="R353" s="3" t="s">
        <v>67</v>
      </c>
      <c r="S353" s="4">
        <v>4</v>
      </c>
      <c r="T353" s="4">
        <v>4</v>
      </c>
      <c r="U353" s="5" t="s">
        <v>4717</v>
      </c>
      <c r="V353" s="5" t="s">
        <v>4717</v>
      </c>
      <c r="W353" s="5" t="s">
        <v>3528</v>
      </c>
      <c r="X353" s="5" t="s">
        <v>3528</v>
      </c>
      <c r="Y353" s="4">
        <v>508</v>
      </c>
      <c r="Z353" s="4">
        <v>392</v>
      </c>
      <c r="AA353" s="4">
        <v>397</v>
      </c>
      <c r="AB353" s="4">
        <v>3</v>
      </c>
      <c r="AC353" s="4">
        <v>3</v>
      </c>
      <c r="AD353" s="4">
        <v>12</v>
      </c>
      <c r="AE353" s="4">
        <v>12</v>
      </c>
      <c r="AF353" s="4">
        <v>2</v>
      </c>
      <c r="AG353" s="4">
        <v>2</v>
      </c>
      <c r="AH353" s="4">
        <v>3</v>
      </c>
      <c r="AI353" s="4">
        <v>3</v>
      </c>
      <c r="AJ353" s="4">
        <v>7</v>
      </c>
      <c r="AK353" s="4">
        <v>7</v>
      </c>
      <c r="AL353" s="4">
        <v>2</v>
      </c>
      <c r="AM353" s="4">
        <v>2</v>
      </c>
      <c r="AN353" s="4">
        <v>0</v>
      </c>
      <c r="AO353" s="4">
        <v>0</v>
      </c>
      <c r="AP353" s="3" t="s">
        <v>58</v>
      </c>
      <c r="AQ353" s="3" t="s">
        <v>58</v>
      </c>
      <c r="AS353" s="6" t="str">
        <f>HYPERLINK("https://creighton-primo.hosted.exlibrisgroup.com/primo-explore/search?tab=default_tab&amp;search_scope=EVERYTHING&amp;vid=01CRU&amp;lang=en_US&amp;offset=0&amp;query=any,contains,991005228999702656","Catalog Record")</f>
        <v>Catalog Record</v>
      </c>
      <c r="AT353" s="6" t="str">
        <f>HYPERLINK("http://www.worldcat.org/oclc/8305907","WorldCat Record")</f>
        <v>WorldCat Record</v>
      </c>
      <c r="AU353" s="3" t="s">
        <v>4718</v>
      </c>
      <c r="AV353" s="3" t="s">
        <v>4719</v>
      </c>
      <c r="AW353" s="3" t="s">
        <v>4720</v>
      </c>
      <c r="AX353" s="3" t="s">
        <v>4720</v>
      </c>
      <c r="AY353" s="3" t="s">
        <v>4721</v>
      </c>
      <c r="AZ353" s="3" t="s">
        <v>74</v>
      </c>
      <c r="BB353" s="3" t="s">
        <v>4722</v>
      </c>
      <c r="BC353" s="3" t="s">
        <v>4723</v>
      </c>
      <c r="BD353" s="3" t="s">
        <v>4724</v>
      </c>
    </row>
    <row r="354" spans="1:56" ht="42.75" customHeight="1" x14ac:dyDescent="0.25">
      <c r="A354" s="7" t="s">
        <v>58</v>
      </c>
      <c r="B354" s="2" t="s">
        <v>4725</v>
      </c>
      <c r="C354" s="2" t="s">
        <v>4726</v>
      </c>
      <c r="D354" s="2" t="s">
        <v>4727</v>
      </c>
      <c r="F354" s="3" t="s">
        <v>58</v>
      </c>
      <c r="G354" s="3" t="s">
        <v>59</v>
      </c>
      <c r="H354" s="3" t="s">
        <v>58</v>
      </c>
      <c r="I354" s="3" t="s">
        <v>58</v>
      </c>
      <c r="J354" s="3" t="s">
        <v>60</v>
      </c>
      <c r="L354" s="2" t="s">
        <v>4728</v>
      </c>
      <c r="M354" s="3" t="s">
        <v>207</v>
      </c>
      <c r="O354" s="3" t="s">
        <v>64</v>
      </c>
      <c r="P354" s="3" t="s">
        <v>359</v>
      </c>
      <c r="R354" s="3" t="s">
        <v>67</v>
      </c>
      <c r="S354" s="4">
        <v>4</v>
      </c>
      <c r="T354" s="4">
        <v>4</v>
      </c>
      <c r="U354" s="5" t="s">
        <v>4729</v>
      </c>
      <c r="V354" s="5" t="s">
        <v>4729</v>
      </c>
      <c r="W354" s="5" t="s">
        <v>4730</v>
      </c>
      <c r="X354" s="5" t="s">
        <v>4730</v>
      </c>
      <c r="Y354" s="4">
        <v>191</v>
      </c>
      <c r="Z354" s="4">
        <v>168</v>
      </c>
      <c r="AA354" s="4">
        <v>170</v>
      </c>
      <c r="AB354" s="4">
        <v>2</v>
      </c>
      <c r="AC354" s="4">
        <v>2</v>
      </c>
      <c r="AD354" s="4">
        <v>3</v>
      </c>
      <c r="AE354" s="4">
        <v>3</v>
      </c>
      <c r="AF354" s="4">
        <v>0</v>
      </c>
      <c r="AG354" s="4">
        <v>0</v>
      </c>
      <c r="AH354" s="4">
        <v>1</v>
      </c>
      <c r="AI354" s="4">
        <v>1</v>
      </c>
      <c r="AJ354" s="4">
        <v>1</v>
      </c>
      <c r="AK354" s="4">
        <v>1</v>
      </c>
      <c r="AL354" s="4">
        <v>1</v>
      </c>
      <c r="AM354" s="4">
        <v>1</v>
      </c>
      <c r="AN354" s="4">
        <v>0</v>
      </c>
      <c r="AO354" s="4">
        <v>0</v>
      </c>
      <c r="AP354" s="3" t="s">
        <v>58</v>
      </c>
      <c r="AQ354" s="3" t="s">
        <v>86</v>
      </c>
      <c r="AR354" s="6" t="str">
        <f>HYPERLINK("http://catalog.hathitrust.org/Record/000125788","HathiTrust Record")</f>
        <v>HathiTrust Record</v>
      </c>
      <c r="AS354" s="6" t="str">
        <f>HYPERLINK("https://creighton-primo.hosted.exlibrisgroup.com/primo-explore/search?tab=default_tab&amp;search_scope=EVERYTHING&amp;vid=01CRU&amp;lang=en_US&amp;offset=0&amp;query=any,contains,991000045579702656","Catalog Record")</f>
        <v>Catalog Record</v>
      </c>
      <c r="AT354" s="6" t="str">
        <f>HYPERLINK("http://www.worldcat.org/oclc/8668591","WorldCat Record")</f>
        <v>WorldCat Record</v>
      </c>
      <c r="AU354" s="3" t="s">
        <v>4731</v>
      </c>
      <c r="AV354" s="3" t="s">
        <v>4732</v>
      </c>
      <c r="AW354" s="3" t="s">
        <v>4733</v>
      </c>
      <c r="AX354" s="3" t="s">
        <v>4733</v>
      </c>
      <c r="AY354" s="3" t="s">
        <v>4734</v>
      </c>
      <c r="AZ354" s="3" t="s">
        <v>74</v>
      </c>
      <c r="BC354" s="3" t="s">
        <v>4735</v>
      </c>
      <c r="BD354" s="3" t="s">
        <v>4736</v>
      </c>
    </row>
    <row r="355" spans="1:56" ht="42.75" customHeight="1" x14ac:dyDescent="0.25">
      <c r="A355" s="7" t="s">
        <v>58</v>
      </c>
      <c r="B355" s="2" t="s">
        <v>4737</v>
      </c>
      <c r="C355" s="2" t="s">
        <v>4738</v>
      </c>
      <c r="D355" s="2" t="s">
        <v>4739</v>
      </c>
      <c r="F355" s="3" t="s">
        <v>58</v>
      </c>
      <c r="G355" s="3" t="s">
        <v>59</v>
      </c>
      <c r="H355" s="3" t="s">
        <v>58</v>
      </c>
      <c r="I355" s="3" t="s">
        <v>58</v>
      </c>
      <c r="J355" s="3" t="s">
        <v>60</v>
      </c>
      <c r="L355" s="2" t="s">
        <v>4740</v>
      </c>
      <c r="M355" s="3" t="s">
        <v>2227</v>
      </c>
      <c r="O355" s="3" t="s">
        <v>64</v>
      </c>
      <c r="P355" s="3" t="s">
        <v>65</v>
      </c>
      <c r="R355" s="3" t="s">
        <v>67</v>
      </c>
      <c r="S355" s="4">
        <v>3</v>
      </c>
      <c r="T355" s="4">
        <v>3</v>
      </c>
      <c r="U355" s="5" t="s">
        <v>4729</v>
      </c>
      <c r="V355" s="5" t="s">
        <v>4729</v>
      </c>
      <c r="W355" s="5" t="s">
        <v>3528</v>
      </c>
      <c r="X355" s="5" t="s">
        <v>3528</v>
      </c>
      <c r="Y355" s="4">
        <v>334</v>
      </c>
      <c r="Z355" s="4">
        <v>238</v>
      </c>
      <c r="AA355" s="4">
        <v>260</v>
      </c>
      <c r="AB355" s="4">
        <v>3</v>
      </c>
      <c r="AC355" s="4">
        <v>3</v>
      </c>
      <c r="AD355" s="4">
        <v>12</v>
      </c>
      <c r="AE355" s="4">
        <v>12</v>
      </c>
      <c r="AF355" s="4">
        <v>4</v>
      </c>
      <c r="AG355" s="4">
        <v>4</v>
      </c>
      <c r="AH355" s="4">
        <v>3</v>
      </c>
      <c r="AI355" s="4">
        <v>3</v>
      </c>
      <c r="AJ355" s="4">
        <v>6</v>
      </c>
      <c r="AK355" s="4">
        <v>6</v>
      </c>
      <c r="AL355" s="4">
        <v>2</v>
      </c>
      <c r="AM355" s="4">
        <v>2</v>
      </c>
      <c r="AN355" s="4">
        <v>0</v>
      </c>
      <c r="AO355" s="4">
        <v>0</v>
      </c>
      <c r="AP355" s="3" t="s">
        <v>58</v>
      </c>
      <c r="AQ355" s="3" t="s">
        <v>86</v>
      </c>
      <c r="AR355" s="6" t="str">
        <f>HYPERLINK("http://catalog.hathitrust.org/Record/000477342","HathiTrust Record")</f>
        <v>HathiTrust Record</v>
      </c>
      <c r="AS355" s="6" t="str">
        <f>HYPERLINK("https://creighton-primo.hosted.exlibrisgroup.com/primo-explore/search?tab=default_tab&amp;search_scope=EVERYTHING&amp;vid=01CRU&amp;lang=en_US&amp;offset=0&amp;query=any,contains,991000715099702656","Catalog Record")</f>
        <v>Catalog Record</v>
      </c>
      <c r="AT355" s="6" t="str">
        <f>HYPERLINK("http://www.worldcat.org/oclc/14905512","WorldCat Record")</f>
        <v>WorldCat Record</v>
      </c>
      <c r="AU355" s="3" t="s">
        <v>4741</v>
      </c>
      <c r="AV355" s="3" t="s">
        <v>4742</v>
      </c>
      <c r="AW355" s="3" t="s">
        <v>4743</v>
      </c>
      <c r="AX355" s="3" t="s">
        <v>4743</v>
      </c>
      <c r="AY355" s="3" t="s">
        <v>4744</v>
      </c>
      <c r="AZ355" s="3" t="s">
        <v>74</v>
      </c>
      <c r="BB355" s="3" t="s">
        <v>4745</v>
      </c>
      <c r="BC355" s="3" t="s">
        <v>4746</v>
      </c>
      <c r="BD355" s="3" t="s">
        <v>4747</v>
      </c>
    </row>
    <row r="356" spans="1:56" ht="42.75" customHeight="1" x14ac:dyDescent="0.25">
      <c r="A356" s="7" t="s">
        <v>58</v>
      </c>
      <c r="B356" s="2" t="s">
        <v>4748</v>
      </c>
      <c r="C356" s="2" t="s">
        <v>4749</v>
      </c>
      <c r="D356" s="2" t="s">
        <v>4750</v>
      </c>
      <c r="F356" s="3" t="s">
        <v>58</v>
      </c>
      <c r="G356" s="3" t="s">
        <v>59</v>
      </c>
      <c r="H356" s="3" t="s">
        <v>58</v>
      </c>
      <c r="I356" s="3" t="s">
        <v>58</v>
      </c>
      <c r="J356" s="3" t="s">
        <v>60</v>
      </c>
      <c r="K356" s="2" t="s">
        <v>4751</v>
      </c>
      <c r="L356" s="2" t="s">
        <v>4752</v>
      </c>
      <c r="M356" s="3" t="s">
        <v>238</v>
      </c>
      <c r="N356" s="2" t="s">
        <v>1736</v>
      </c>
      <c r="O356" s="3" t="s">
        <v>64</v>
      </c>
      <c r="P356" s="3" t="s">
        <v>115</v>
      </c>
      <c r="R356" s="3" t="s">
        <v>67</v>
      </c>
      <c r="S356" s="4">
        <v>7</v>
      </c>
      <c r="T356" s="4">
        <v>7</v>
      </c>
      <c r="U356" s="5" t="s">
        <v>4753</v>
      </c>
      <c r="V356" s="5" t="s">
        <v>4753</v>
      </c>
      <c r="W356" s="5" t="s">
        <v>3528</v>
      </c>
      <c r="X356" s="5" t="s">
        <v>3528</v>
      </c>
      <c r="Y356" s="4">
        <v>497</v>
      </c>
      <c r="Z356" s="4">
        <v>466</v>
      </c>
      <c r="AA356" s="4">
        <v>471</v>
      </c>
      <c r="AB356" s="4">
        <v>4</v>
      </c>
      <c r="AC356" s="4">
        <v>4</v>
      </c>
      <c r="AD356" s="4">
        <v>9</v>
      </c>
      <c r="AE356" s="4">
        <v>9</v>
      </c>
      <c r="AF356" s="4">
        <v>5</v>
      </c>
      <c r="AG356" s="4">
        <v>5</v>
      </c>
      <c r="AH356" s="4">
        <v>1</v>
      </c>
      <c r="AI356" s="4">
        <v>1</v>
      </c>
      <c r="AJ356" s="4">
        <v>4</v>
      </c>
      <c r="AK356" s="4">
        <v>4</v>
      </c>
      <c r="AL356" s="4">
        <v>1</v>
      </c>
      <c r="AM356" s="4">
        <v>1</v>
      </c>
      <c r="AN356" s="4">
        <v>0</v>
      </c>
      <c r="AO356" s="4">
        <v>0</v>
      </c>
      <c r="AP356" s="3" t="s">
        <v>58</v>
      </c>
      <c r="AQ356" s="3" t="s">
        <v>58</v>
      </c>
      <c r="AS356" s="6" t="str">
        <f>HYPERLINK("https://creighton-primo.hosted.exlibrisgroup.com/primo-explore/search?tab=default_tab&amp;search_scope=EVERYTHING&amp;vid=01CRU&amp;lang=en_US&amp;offset=0&amp;query=any,contains,991004659419702656","Catalog Record")</f>
        <v>Catalog Record</v>
      </c>
      <c r="AT356" s="6" t="str">
        <f>HYPERLINK("http://www.worldcat.org/oclc/4496370","WorldCat Record")</f>
        <v>WorldCat Record</v>
      </c>
      <c r="AU356" s="3" t="s">
        <v>4754</v>
      </c>
      <c r="AV356" s="3" t="s">
        <v>4755</v>
      </c>
      <c r="AW356" s="3" t="s">
        <v>4756</v>
      </c>
      <c r="AX356" s="3" t="s">
        <v>4756</v>
      </c>
      <c r="AY356" s="3" t="s">
        <v>4757</v>
      </c>
      <c r="AZ356" s="3" t="s">
        <v>74</v>
      </c>
      <c r="BB356" s="3" t="s">
        <v>4758</v>
      </c>
      <c r="BC356" s="3" t="s">
        <v>4759</v>
      </c>
      <c r="BD356" s="3" t="s">
        <v>4760</v>
      </c>
    </row>
    <row r="357" spans="1:56" ht="42.75" customHeight="1" x14ac:dyDescent="0.25">
      <c r="A357" s="7" t="s">
        <v>58</v>
      </c>
      <c r="B357" s="2" t="s">
        <v>4761</v>
      </c>
      <c r="C357" s="2" t="s">
        <v>4762</v>
      </c>
      <c r="D357" s="2" t="s">
        <v>4763</v>
      </c>
      <c r="F357" s="3" t="s">
        <v>58</v>
      </c>
      <c r="G357" s="3" t="s">
        <v>59</v>
      </c>
      <c r="H357" s="3" t="s">
        <v>58</v>
      </c>
      <c r="I357" s="3" t="s">
        <v>58</v>
      </c>
      <c r="J357" s="3" t="s">
        <v>60</v>
      </c>
      <c r="K357" s="2" t="s">
        <v>4764</v>
      </c>
      <c r="L357" s="2" t="s">
        <v>4765</v>
      </c>
      <c r="M357" s="3" t="s">
        <v>344</v>
      </c>
      <c r="O357" s="3" t="s">
        <v>64</v>
      </c>
      <c r="P357" s="3" t="s">
        <v>115</v>
      </c>
      <c r="Q357" s="2" t="s">
        <v>4766</v>
      </c>
      <c r="R357" s="3" t="s">
        <v>67</v>
      </c>
      <c r="S357" s="4">
        <v>2</v>
      </c>
      <c r="T357" s="4">
        <v>2</v>
      </c>
      <c r="U357" s="5" t="s">
        <v>4767</v>
      </c>
      <c r="V357" s="5" t="s">
        <v>4767</v>
      </c>
      <c r="W357" s="5" t="s">
        <v>3528</v>
      </c>
      <c r="X357" s="5" t="s">
        <v>3528</v>
      </c>
      <c r="Y357" s="4">
        <v>204</v>
      </c>
      <c r="Z357" s="4">
        <v>186</v>
      </c>
      <c r="AA357" s="4">
        <v>187</v>
      </c>
      <c r="AB357" s="4">
        <v>2</v>
      </c>
      <c r="AC357" s="4">
        <v>2</v>
      </c>
      <c r="AD357" s="4">
        <v>7</v>
      </c>
      <c r="AE357" s="4">
        <v>7</v>
      </c>
      <c r="AF357" s="4">
        <v>4</v>
      </c>
      <c r="AG357" s="4">
        <v>4</v>
      </c>
      <c r="AH357" s="4">
        <v>1</v>
      </c>
      <c r="AI357" s="4">
        <v>1</v>
      </c>
      <c r="AJ357" s="4">
        <v>2</v>
      </c>
      <c r="AK357" s="4">
        <v>2</v>
      </c>
      <c r="AL357" s="4">
        <v>1</v>
      </c>
      <c r="AM357" s="4">
        <v>1</v>
      </c>
      <c r="AN357" s="4">
        <v>0</v>
      </c>
      <c r="AO357" s="4">
        <v>0</v>
      </c>
      <c r="AP357" s="3" t="s">
        <v>58</v>
      </c>
      <c r="AQ357" s="3" t="s">
        <v>86</v>
      </c>
      <c r="AR357" s="6" t="str">
        <f>HYPERLINK("http://catalog.hathitrust.org/Record/006251090","HathiTrust Record")</f>
        <v>HathiTrust Record</v>
      </c>
      <c r="AS357" s="6" t="str">
        <f>HYPERLINK("https://creighton-primo.hosted.exlibrisgroup.com/primo-explore/search?tab=default_tab&amp;search_scope=EVERYTHING&amp;vid=01CRU&amp;lang=en_US&amp;offset=0&amp;query=any,contains,991004915189702656","Catalog Record")</f>
        <v>Catalog Record</v>
      </c>
      <c r="AT357" s="6" t="str">
        <f>HYPERLINK("http://www.worldcat.org/oclc/6015902","WorldCat Record")</f>
        <v>WorldCat Record</v>
      </c>
      <c r="AU357" s="3" t="s">
        <v>4768</v>
      </c>
      <c r="AV357" s="3" t="s">
        <v>4769</v>
      </c>
      <c r="AW357" s="3" t="s">
        <v>4770</v>
      </c>
      <c r="AX357" s="3" t="s">
        <v>4770</v>
      </c>
      <c r="AY357" s="3" t="s">
        <v>4771</v>
      </c>
      <c r="AZ357" s="3" t="s">
        <v>74</v>
      </c>
      <c r="BB357" s="3" t="s">
        <v>4772</v>
      </c>
      <c r="BC357" s="3" t="s">
        <v>4773</v>
      </c>
      <c r="BD357" s="3" t="s">
        <v>4774</v>
      </c>
    </row>
    <row r="358" spans="1:56" ht="42.75" customHeight="1" x14ac:dyDescent="0.25">
      <c r="A358" s="7" t="s">
        <v>58</v>
      </c>
      <c r="B358" s="2" t="s">
        <v>4775</v>
      </c>
      <c r="C358" s="2" t="s">
        <v>4776</v>
      </c>
      <c r="D358" s="2" t="s">
        <v>4777</v>
      </c>
      <c r="F358" s="3" t="s">
        <v>58</v>
      </c>
      <c r="G358" s="3" t="s">
        <v>59</v>
      </c>
      <c r="H358" s="3" t="s">
        <v>58</v>
      </c>
      <c r="I358" s="3" t="s">
        <v>58</v>
      </c>
      <c r="J358" s="3" t="s">
        <v>60</v>
      </c>
      <c r="K358" s="2" t="s">
        <v>4778</v>
      </c>
      <c r="L358" s="2" t="s">
        <v>4779</v>
      </c>
      <c r="M358" s="3" t="s">
        <v>765</v>
      </c>
      <c r="O358" s="3" t="s">
        <v>64</v>
      </c>
      <c r="P358" s="3" t="s">
        <v>115</v>
      </c>
      <c r="R358" s="3" t="s">
        <v>67</v>
      </c>
      <c r="S358" s="4">
        <v>8</v>
      </c>
      <c r="T358" s="4">
        <v>8</v>
      </c>
      <c r="U358" s="5" t="s">
        <v>4780</v>
      </c>
      <c r="V358" s="5" t="s">
        <v>4780</v>
      </c>
      <c r="W358" s="5" t="s">
        <v>4781</v>
      </c>
      <c r="X358" s="5" t="s">
        <v>4781</v>
      </c>
      <c r="Y358" s="4">
        <v>350</v>
      </c>
      <c r="Z358" s="4">
        <v>332</v>
      </c>
      <c r="AA358" s="4">
        <v>332</v>
      </c>
      <c r="AB358" s="4">
        <v>2</v>
      </c>
      <c r="AC358" s="4">
        <v>2</v>
      </c>
      <c r="AD358" s="4">
        <v>14</v>
      </c>
      <c r="AE358" s="4">
        <v>14</v>
      </c>
      <c r="AF358" s="4">
        <v>3</v>
      </c>
      <c r="AG358" s="4">
        <v>3</v>
      </c>
      <c r="AH358" s="4">
        <v>3</v>
      </c>
      <c r="AI358" s="4">
        <v>3</v>
      </c>
      <c r="AJ358" s="4">
        <v>9</v>
      </c>
      <c r="AK358" s="4">
        <v>9</v>
      </c>
      <c r="AL358" s="4">
        <v>1</v>
      </c>
      <c r="AM358" s="4">
        <v>1</v>
      </c>
      <c r="AN358" s="4">
        <v>1</v>
      </c>
      <c r="AO358" s="4">
        <v>1</v>
      </c>
      <c r="AP358" s="3" t="s">
        <v>58</v>
      </c>
      <c r="AQ358" s="3" t="s">
        <v>58</v>
      </c>
      <c r="AS358" s="6" t="str">
        <f>HYPERLINK("https://creighton-primo.hosted.exlibrisgroup.com/primo-explore/search?tab=default_tab&amp;search_scope=EVERYTHING&amp;vid=01CRU&amp;lang=en_US&amp;offset=0&amp;query=any,contains,991002519519702656","Catalog Record")</f>
        <v>Catalog Record</v>
      </c>
      <c r="AT358" s="6" t="str">
        <f>HYPERLINK("http://www.worldcat.org/oclc/32778648","WorldCat Record")</f>
        <v>WorldCat Record</v>
      </c>
      <c r="AU358" s="3" t="s">
        <v>4782</v>
      </c>
      <c r="AV358" s="3" t="s">
        <v>4783</v>
      </c>
      <c r="AW358" s="3" t="s">
        <v>4784</v>
      </c>
      <c r="AX358" s="3" t="s">
        <v>4784</v>
      </c>
      <c r="AY358" s="3" t="s">
        <v>4785</v>
      </c>
      <c r="AZ358" s="3" t="s">
        <v>74</v>
      </c>
      <c r="BB358" s="3" t="s">
        <v>4786</v>
      </c>
      <c r="BC358" s="3" t="s">
        <v>4787</v>
      </c>
      <c r="BD358" s="3" t="s">
        <v>4788</v>
      </c>
    </row>
    <row r="359" spans="1:56" ht="42.75" customHeight="1" x14ac:dyDescent="0.25">
      <c r="A359" s="7" t="s">
        <v>58</v>
      </c>
      <c r="B359" s="2" t="s">
        <v>4789</v>
      </c>
      <c r="C359" s="2" t="s">
        <v>4790</v>
      </c>
      <c r="D359" s="2" t="s">
        <v>4791</v>
      </c>
      <c r="F359" s="3" t="s">
        <v>58</v>
      </c>
      <c r="G359" s="3" t="s">
        <v>59</v>
      </c>
      <c r="H359" s="3" t="s">
        <v>58</v>
      </c>
      <c r="I359" s="3" t="s">
        <v>58</v>
      </c>
      <c r="J359" s="3" t="s">
        <v>60</v>
      </c>
      <c r="K359" s="2" t="s">
        <v>4792</v>
      </c>
      <c r="L359" s="2" t="s">
        <v>4793</v>
      </c>
      <c r="M359" s="3" t="s">
        <v>3914</v>
      </c>
      <c r="O359" s="3" t="s">
        <v>64</v>
      </c>
      <c r="P359" s="3" t="s">
        <v>224</v>
      </c>
      <c r="R359" s="3" t="s">
        <v>67</v>
      </c>
      <c r="S359" s="4">
        <v>5</v>
      </c>
      <c r="T359" s="4">
        <v>5</v>
      </c>
      <c r="U359" s="5" t="s">
        <v>4794</v>
      </c>
      <c r="V359" s="5" t="s">
        <v>4794</v>
      </c>
      <c r="W359" s="5" t="s">
        <v>3528</v>
      </c>
      <c r="X359" s="5" t="s">
        <v>3528</v>
      </c>
      <c r="Y359" s="4">
        <v>112</v>
      </c>
      <c r="Z359" s="4">
        <v>111</v>
      </c>
      <c r="AA359" s="4">
        <v>1639</v>
      </c>
      <c r="AB359" s="4">
        <v>1</v>
      </c>
      <c r="AC359" s="4">
        <v>21</v>
      </c>
      <c r="AD359" s="4">
        <v>1</v>
      </c>
      <c r="AE359" s="4">
        <v>12</v>
      </c>
      <c r="AF359" s="4">
        <v>1</v>
      </c>
      <c r="AG359" s="4">
        <v>6</v>
      </c>
      <c r="AH359" s="4">
        <v>1</v>
      </c>
      <c r="AI359" s="4">
        <v>1</v>
      </c>
      <c r="AJ359" s="4">
        <v>0</v>
      </c>
      <c r="AK359" s="4">
        <v>2</v>
      </c>
      <c r="AL359" s="4">
        <v>0</v>
      </c>
      <c r="AM359" s="4">
        <v>5</v>
      </c>
      <c r="AN359" s="4">
        <v>0</v>
      </c>
      <c r="AO359" s="4">
        <v>0</v>
      </c>
      <c r="AP359" s="3" t="s">
        <v>58</v>
      </c>
      <c r="AQ359" s="3" t="s">
        <v>58</v>
      </c>
      <c r="AS359" s="6" t="str">
        <f>HYPERLINK("https://creighton-primo.hosted.exlibrisgroup.com/primo-explore/search?tab=default_tab&amp;search_scope=EVERYTHING&amp;vid=01CRU&amp;lang=en_US&amp;offset=0&amp;query=any,contains,991004876259702656","Catalog Record")</f>
        <v>Catalog Record</v>
      </c>
      <c r="AT359" s="6" t="str">
        <f>HYPERLINK("http://www.worldcat.org/oclc/5793059","WorldCat Record")</f>
        <v>WorldCat Record</v>
      </c>
      <c r="AU359" s="3" t="s">
        <v>4795</v>
      </c>
      <c r="AV359" s="3" t="s">
        <v>4796</v>
      </c>
      <c r="AW359" s="3" t="s">
        <v>4797</v>
      </c>
      <c r="AX359" s="3" t="s">
        <v>4797</v>
      </c>
      <c r="AY359" s="3" t="s">
        <v>4798</v>
      </c>
      <c r="AZ359" s="3" t="s">
        <v>74</v>
      </c>
      <c r="BC359" s="3" t="s">
        <v>4799</v>
      </c>
      <c r="BD359" s="3" t="s">
        <v>4800</v>
      </c>
    </row>
    <row r="360" spans="1:56" ht="42.75" customHeight="1" x14ac:dyDescent="0.25">
      <c r="A360" s="7" t="s">
        <v>58</v>
      </c>
      <c r="B360" s="2" t="s">
        <v>4801</v>
      </c>
      <c r="C360" s="2" t="s">
        <v>4802</v>
      </c>
      <c r="D360" s="2" t="s">
        <v>4803</v>
      </c>
      <c r="F360" s="3" t="s">
        <v>58</v>
      </c>
      <c r="G360" s="3" t="s">
        <v>59</v>
      </c>
      <c r="H360" s="3" t="s">
        <v>86</v>
      </c>
      <c r="I360" s="3" t="s">
        <v>58</v>
      </c>
      <c r="J360" s="3" t="s">
        <v>60</v>
      </c>
      <c r="K360" s="2" t="s">
        <v>4804</v>
      </c>
      <c r="L360" s="2" t="s">
        <v>4805</v>
      </c>
      <c r="M360" s="3" t="s">
        <v>82</v>
      </c>
      <c r="O360" s="3" t="s">
        <v>64</v>
      </c>
      <c r="P360" s="3" t="s">
        <v>208</v>
      </c>
      <c r="R360" s="3" t="s">
        <v>67</v>
      </c>
      <c r="S360" s="4">
        <v>5</v>
      </c>
      <c r="T360" s="4">
        <v>5</v>
      </c>
      <c r="U360" s="5" t="s">
        <v>4806</v>
      </c>
      <c r="V360" s="5" t="s">
        <v>4806</v>
      </c>
      <c r="W360" s="5" t="s">
        <v>4807</v>
      </c>
      <c r="X360" s="5" t="s">
        <v>4807</v>
      </c>
      <c r="Y360" s="4">
        <v>371</v>
      </c>
      <c r="Z360" s="4">
        <v>295</v>
      </c>
      <c r="AA360" s="4">
        <v>349</v>
      </c>
      <c r="AB360" s="4">
        <v>4</v>
      </c>
      <c r="AC360" s="4">
        <v>5</v>
      </c>
      <c r="AD360" s="4">
        <v>9</v>
      </c>
      <c r="AE360" s="4">
        <v>14</v>
      </c>
      <c r="AF360" s="4">
        <v>3</v>
      </c>
      <c r="AG360" s="4">
        <v>5</v>
      </c>
      <c r="AH360" s="4">
        <v>2</v>
      </c>
      <c r="AI360" s="4">
        <v>3</v>
      </c>
      <c r="AJ360" s="4">
        <v>5</v>
      </c>
      <c r="AK360" s="4">
        <v>8</v>
      </c>
      <c r="AL360" s="4">
        <v>2</v>
      </c>
      <c r="AM360" s="4">
        <v>3</v>
      </c>
      <c r="AN360" s="4">
        <v>0</v>
      </c>
      <c r="AO360" s="4">
        <v>0</v>
      </c>
      <c r="AP360" s="3" t="s">
        <v>58</v>
      </c>
      <c r="AQ360" s="3" t="s">
        <v>86</v>
      </c>
      <c r="AR360" s="6" t="str">
        <f>HYPERLINK("http://catalog.hathitrust.org/Record/000807984","HathiTrust Record")</f>
        <v>HathiTrust Record</v>
      </c>
      <c r="AS360" s="6" t="str">
        <f>HYPERLINK("https://creighton-primo.hosted.exlibrisgroup.com/primo-explore/search?tab=default_tab&amp;search_scope=EVERYTHING&amp;vid=01CRU&amp;lang=en_US&amp;offset=0&amp;query=any,contains,991000909279702656","Catalog Record")</f>
        <v>Catalog Record</v>
      </c>
      <c r="AT360" s="6" t="str">
        <f>HYPERLINK("http://www.worldcat.org/oclc/14129862","WorldCat Record")</f>
        <v>WorldCat Record</v>
      </c>
      <c r="AU360" s="3" t="s">
        <v>4808</v>
      </c>
      <c r="AV360" s="3" t="s">
        <v>4809</v>
      </c>
      <c r="AW360" s="3" t="s">
        <v>4810</v>
      </c>
      <c r="AX360" s="3" t="s">
        <v>4810</v>
      </c>
      <c r="AY360" s="3" t="s">
        <v>4811</v>
      </c>
      <c r="AZ360" s="3" t="s">
        <v>74</v>
      </c>
      <c r="BB360" s="3" t="s">
        <v>4812</v>
      </c>
      <c r="BC360" s="3" t="s">
        <v>4813</v>
      </c>
      <c r="BD360" s="3" t="s">
        <v>4814</v>
      </c>
    </row>
    <row r="361" spans="1:56" ht="42.75" customHeight="1" x14ac:dyDescent="0.25">
      <c r="A361" s="7" t="s">
        <v>58</v>
      </c>
      <c r="B361" s="2" t="s">
        <v>4815</v>
      </c>
      <c r="C361" s="2" t="s">
        <v>4816</v>
      </c>
      <c r="D361" s="2" t="s">
        <v>4817</v>
      </c>
      <c r="F361" s="3" t="s">
        <v>58</v>
      </c>
      <c r="G361" s="3" t="s">
        <v>59</v>
      </c>
      <c r="H361" s="3" t="s">
        <v>86</v>
      </c>
      <c r="I361" s="3" t="s">
        <v>58</v>
      </c>
      <c r="J361" s="3" t="s">
        <v>60</v>
      </c>
      <c r="K361" s="2" t="s">
        <v>4818</v>
      </c>
      <c r="L361" s="2" t="s">
        <v>4819</v>
      </c>
      <c r="M361" s="3" t="s">
        <v>4820</v>
      </c>
      <c r="O361" s="3" t="s">
        <v>64</v>
      </c>
      <c r="P361" s="3" t="s">
        <v>115</v>
      </c>
      <c r="R361" s="3" t="s">
        <v>67</v>
      </c>
      <c r="S361" s="4">
        <v>1</v>
      </c>
      <c r="T361" s="4">
        <v>4</v>
      </c>
      <c r="V361" s="5" t="s">
        <v>4821</v>
      </c>
      <c r="W361" s="5" t="s">
        <v>4822</v>
      </c>
      <c r="X361" s="5" t="s">
        <v>4822</v>
      </c>
      <c r="Y361" s="4">
        <v>463</v>
      </c>
      <c r="Z361" s="4">
        <v>417</v>
      </c>
      <c r="AA361" s="4">
        <v>435</v>
      </c>
      <c r="AB361" s="4">
        <v>4</v>
      </c>
      <c r="AC361" s="4">
        <v>4</v>
      </c>
      <c r="AD361" s="4">
        <v>8</v>
      </c>
      <c r="AE361" s="4">
        <v>8</v>
      </c>
      <c r="AF361" s="4">
        <v>2</v>
      </c>
      <c r="AG361" s="4">
        <v>2</v>
      </c>
      <c r="AH361" s="4">
        <v>2</v>
      </c>
      <c r="AI361" s="4">
        <v>2</v>
      </c>
      <c r="AJ361" s="4">
        <v>3</v>
      </c>
      <c r="AK361" s="4">
        <v>3</v>
      </c>
      <c r="AL361" s="4">
        <v>2</v>
      </c>
      <c r="AM361" s="4">
        <v>2</v>
      </c>
      <c r="AN361" s="4">
        <v>0</v>
      </c>
      <c r="AO361" s="4">
        <v>0</v>
      </c>
      <c r="AP361" s="3" t="s">
        <v>58</v>
      </c>
      <c r="AQ361" s="3" t="s">
        <v>58</v>
      </c>
      <c r="AR361" s="6" t="str">
        <f>HYPERLINK("http://catalog.hathitrust.org/Record/001438382","HathiTrust Record")</f>
        <v>HathiTrust Record</v>
      </c>
      <c r="AS361" s="6" t="str">
        <f>HYPERLINK("https://creighton-primo.hosted.exlibrisgroup.com/primo-explore/search?tab=default_tab&amp;search_scope=EVERYTHING&amp;vid=01CRU&amp;lang=en_US&amp;offset=0&amp;query=any,contains,991001787259702656","Catalog Record")</f>
        <v>Catalog Record</v>
      </c>
      <c r="AT361" s="6" t="str">
        <f>HYPERLINK("http://www.worldcat.org/oclc/171447","WorldCat Record")</f>
        <v>WorldCat Record</v>
      </c>
      <c r="AU361" s="3" t="s">
        <v>4823</v>
      </c>
      <c r="AV361" s="3" t="s">
        <v>4824</v>
      </c>
      <c r="AW361" s="3" t="s">
        <v>4825</v>
      </c>
      <c r="AX361" s="3" t="s">
        <v>4825</v>
      </c>
      <c r="AY361" s="3" t="s">
        <v>4826</v>
      </c>
      <c r="AZ361" s="3" t="s">
        <v>74</v>
      </c>
      <c r="BC361" s="3" t="s">
        <v>4827</v>
      </c>
      <c r="BD361" s="3" t="s">
        <v>4828</v>
      </c>
    </row>
    <row r="362" spans="1:56" ht="42.75" customHeight="1" x14ac:dyDescent="0.25">
      <c r="A362" s="7" t="s">
        <v>58</v>
      </c>
      <c r="B362" s="2" t="s">
        <v>4829</v>
      </c>
      <c r="C362" s="2" t="s">
        <v>4830</v>
      </c>
      <c r="D362" s="2" t="s">
        <v>4831</v>
      </c>
      <c r="F362" s="3" t="s">
        <v>58</v>
      </c>
      <c r="G362" s="3" t="s">
        <v>59</v>
      </c>
      <c r="H362" s="3" t="s">
        <v>58</v>
      </c>
      <c r="I362" s="3" t="s">
        <v>58</v>
      </c>
      <c r="J362" s="3" t="s">
        <v>60</v>
      </c>
      <c r="K362" s="2" t="s">
        <v>4832</v>
      </c>
      <c r="L362" s="2" t="s">
        <v>4833</v>
      </c>
      <c r="M362" s="3" t="s">
        <v>2227</v>
      </c>
      <c r="O362" s="3" t="s">
        <v>64</v>
      </c>
      <c r="P362" s="3" t="s">
        <v>99</v>
      </c>
      <c r="R362" s="3" t="s">
        <v>67</v>
      </c>
      <c r="S362" s="4">
        <v>3</v>
      </c>
      <c r="T362" s="4">
        <v>3</v>
      </c>
      <c r="U362" s="5" t="s">
        <v>4834</v>
      </c>
      <c r="V362" s="5" t="s">
        <v>4834</v>
      </c>
      <c r="W362" s="5" t="s">
        <v>4231</v>
      </c>
      <c r="X362" s="5" t="s">
        <v>4231</v>
      </c>
      <c r="Y362" s="4">
        <v>249</v>
      </c>
      <c r="Z362" s="4">
        <v>218</v>
      </c>
      <c r="AA362" s="4">
        <v>220</v>
      </c>
      <c r="AB362" s="4">
        <v>2</v>
      </c>
      <c r="AC362" s="4">
        <v>2</v>
      </c>
      <c r="AD362" s="4">
        <v>7</v>
      </c>
      <c r="AE362" s="4">
        <v>7</v>
      </c>
      <c r="AF362" s="4">
        <v>2</v>
      </c>
      <c r="AG362" s="4">
        <v>2</v>
      </c>
      <c r="AH362" s="4">
        <v>2</v>
      </c>
      <c r="AI362" s="4">
        <v>2</v>
      </c>
      <c r="AJ362" s="4">
        <v>4</v>
      </c>
      <c r="AK362" s="4">
        <v>4</v>
      </c>
      <c r="AL362" s="4">
        <v>1</v>
      </c>
      <c r="AM362" s="4">
        <v>1</v>
      </c>
      <c r="AN362" s="4">
        <v>0</v>
      </c>
      <c r="AO362" s="4">
        <v>0</v>
      </c>
      <c r="AP362" s="3" t="s">
        <v>58</v>
      </c>
      <c r="AQ362" s="3" t="s">
        <v>86</v>
      </c>
      <c r="AR362" s="6" t="str">
        <f>HYPERLINK("http://catalog.hathitrust.org/Record/000409576","HathiTrust Record")</f>
        <v>HathiTrust Record</v>
      </c>
      <c r="AS362" s="6" t="str">
        <f>HYPERLINK("https://creighton-primo.hosted.exlibrisgroup.com/primo-explore/search?tab=default_tab&amp;search_scope=EVERYTHING&amp;vid=01CRU&amp;lang=en_US&amp;offset=0&amp;query=any,contains,991000538719702656","Catalog Record")</f>
        <v>Catalog Record</v>
      </c>
      <c r="AT362" s="6" t="str">
        <f>HYPERLINK("http://www.worldcat.org/oclc/11468727","WorldCat Record")</f>
        <v>WorldCat Record</v>
      </c>
      <c r="AU362" s="3" t="s">
        <v>4835</v>
      </c>
      <c r="AV362" s="3" t="s">
        <v>4836</v>
      </c>
      <c r="AW362" s="3" t="s">
        <v>4837</v>
      </c>
      <c r="AX362" s="3" t="s">
        <v>4837</v>
      </c>
      <c r="AY362" s="3" t="s">
        <v>4838</v>
      </c>
      <c r="AZ362" s="3" t="s">
        <v>74</v>
      </c>
      <c r="BB362" s="3" t="s">
        <v>4839</v>
      </c>
      <c r="BC362" s="3" t="s">
        <v>4840</v>
      </c>
      <c r="BD362" s="3" t="s">
        <v>4841</v>
      </c>
    </row>
    <row r="363" spans="1:56" ht="42.75" customHeight="1" x14ac:dyDescent="0.25">
      <c r="A363" s="7" t="s">
        <v>58</v>
      </c>
      <c r="B363" s="2" t="s">
        <v>4842</v>
      </c>
      <c r="C363" s="2" t="s">
        <v>4843</v>
      </c>
      <c r="D363" s="2" t="s">
        <v>4844</v>
      </c>
      <c r="F363" s="3" t="s">
        <v>58</v>
      </c>
      <c r="G363" s="3" t="s">
        <v>59</v>
      </c>
      <c r="H363" s="3" t="s">
        <v>58</v>
      </c>
      <c r="I363" s="3" t="s">
        <v>58</v>
      </c>
      <c r="J363" s="3" t="s">
        <v>60</v>
      </c>
      <c r="K363" s="2" t="s">
        <v>4845</v>
      </c>
      <c r="L363" s="2" t="s">
        <v>4846</v>
      </c>
      <c r="M363" s="3" t="s">
        <v>2853</v>
      </c>
      <c r="O363" s="3" t="s">
        <v>64</v>
      </c>
      <c r="P363" s="3" t="s">
        <v>83</v>
      </c>
      <c r="R363" s="3" t="s">
        <v>67</v>
      </c>
      <c r="S363" s="4">
        <v>3</v>
      </c>
      <c r="T363" s="4">
        <v>3</v>
      </c>
      <c r="U363" s="5" t="s">
        <v>4847</v>
      </c>
      <c r="V363" s="5" t="s">
        <v>4847</v>
      </c>
      <c r="W363" s="5" t="s">
        <v>4848</v>
      </c>
      <c r="X363" s="5" t="s">
        <v>4848</v>
      </c>
      <c r="Y363" s="4">
        <v>604</v>
      </c>
      <c r="Z363" s="4">
        <v>519</v>
      </c>
      <c r="AA363" s="4">
        <v>548</v>
      </c>
      <c r="AB363" s="4">
        <v>7</v>
      </c>
      <c r="AC363" s="4">
        <v>7</v>
      </c>
      <c r="AD363" s="4">
        <v>19</v>
      </c>
      <c r="AE363" s="4">
        <v>19</v>
      </c>
      <c r="AF363" s="4">
        <v>6</v>
      </c>
      <c r="AG363" s="4">
        <v>6</v>
      </c>
      <c r="AH363" s="4">
        <v>4</v>
      </c>
      <c r="AI363" s="4">
        <v>4</v>
      </c>
      <c r="AJ363" s="4">
        <v>10</v>
      </c>
      <c r="AK363" s="4">
        <v>10</v>
      </c>
      <c r="AL363" s="4">
        <v>4</v>
      </c>
      <c r="AM363" s="4">
        <v>4</v>
      </c>
      <c r="AN363" s="4">
        <v>0</v>
      </c>
      <c r="AO363" s="4">
        <v>0</v>
      </c>
      <c r="AP363" s="3" t="s">
        <v>58</v>
      </c>
      <c r="AQ363" s="3" t="s">
        <v>58</v>
      </c>
      <c r="AR363" s="6" t="str">
        <f>HYPERLINK("http://catalog.hathitrust.org/Record/001563373","HathiTrust Record")</f>
        <v>HathiTrust Record</v>
      </c>
      <c r="AS363" s="6" t="str">
        <f>HYPERLINK("https://creighton-primo.hosted.exlibrisgroup.com/primo-explore/search?tab=default_tab&amp;search_scope=EVERYTHING&amp;vid=01CRU&amp;lang=en_US&amp;offset=0&amp;query=any,contains,991005265849702656","Catalog Record")</f>
        <v>Catalog Record</v>
      </c>
      <c r="AT363" s="6" t="str">
        <f>HYPERLINK("http://www.worldcat.org/oclc/347246","WorldCat Record")</f>
        <v>WorldCat Record</v>
      </c>
      <c r="AU363" s="3" t="s">
        <v>4849</v>
      </c>
      <c r="AV363" s="3" t="s">
        <v>4850</v>
      </c>
      <c r="AW363" s="3" t="s">
        <v>4851</v>
      </c>
      <c r="AX363" s="3" t="s">
        <v>4851</v>
      </c>
      <c r="AY363" s="3" t="s">
        <v>4852</v>
      </c>
      <c r="AZ363" s="3" t="s">
        <v>74</v>
      </c>
      <c r="BC363" s="3" t="s">
        <v>4853</v>
      </c>
      <c r="BD363" s="3" t="s">
        <v>4854</v>
      </c>
    </row>
    <row r="364" spans="1:56" ht="42.75" customHeight="1" x14ac:dyDescent="0.25">
      <c r="A364" s="7" t="s">
        <v>58</v>
      </c>
      <c r="B364" s="2" t="s">
        <v>4855</v>
      </c>
      <c r="C364" s="2" t="s">
        <v>4856</v>
      </c>
      <c r="D364" s="2" t="s">
        <v>4857</v>
      </c>
      <c r="F364" s="3" t="s">
        <v>58</v>
      </c>
      <c r="G364" s="3" t="s">
        <v>59</v>
      </c>
      <c r="H364" s="3" t="s">
        <v>58</v>
      </c>
      <c r="I364" s="3" t="s">
        <v>58</v>
      </c>
      <c r="J364" s="3" t="s">
        <v>60</v>
      </c>
      <c r="L364" s="2" t="s">
        <v>1682</v>
      </c>
      <c r="M364" s="3" t="s">
        <v>63</v>
      </c>
      <c r="O364" s="3" t="s">
        <v>64</v>
      </c>
      <c r="P364" s="3" t="s">
        <v>115</v>
      </c>
      <c r="R364" s="3" t="s">
        <v>67</v>
      </c>
      <c r="S364" s="4">
        <v>2</v>
      </c>
      <c r="T364" s="4">
        <v>2</v>
      </c>
      <c r="U364" s="5" t="s">
        <v>4730</v>
      </c>
      <c r="V364" s="5" t="s">
        <v>4730</v>
      </c>
      <c r="W364" s="5" t="s">
        <v>4231</v>
      </c>
      <c r="X364" s="5" t="s">
        <v>4231</v>
      </c>
      <c r="Y364" s="4">
        <v>294</v>
      </c>
      <c r="Z364" s="4">
        <v>236</v>
      </c>
      <c r="AA364" s="4">
        <v>243</v>
      </c>
      <c r="AB364" s="4">
        <v>2</v>
      </c>
      <c r="AC364" s="4">
        <v>2</v>
      </c>
      <c r="AD364" s="4">
        <v>9</v>
      </c>
      <c r="AE364" s="4">
        <v>9</v>
      </c>
      <c r="AF364" s="4">
        <v>1</v>
      </c>
      <c r="AG364" s="4">
        <v>1</v>
      </c>
      <c r="AH364" s="4">
        <v>3</v>
      </c>
      <c r="AI364" s="4">
        <v>3</v>
      </c>
      <c r="AJ364" s="4">
        <v>7</v>
      </c>
      <c r="AK364" s="4">
        <v>7</v>
      </c>
      <c r="AL364" s="4">
        <v>1</v>
      </c>
      <c r="AM364" s="4">
        <v>1</v>
      </c>
      <c r="AN364" s="4">
        <v>0</v>
      </c>
      <c r="AO364" s="4">
        <v>0</v>
      </c>
      <c r="AP364" s="3" t="s">
        <v>58</v>
      </c>
      <c r="AQ364" s="3" t="s">
        <v>86</v>
      </c>
      <c r="AR364" s="6" t="str">
        <f>HYPERLINK("http://catalog.hathitrust.org/Record/000283589","HathiTrust Record")</f>
        <v>HathiTrust Record</v>
      </c>
      <c r="AS364" s="6" t="str">
        <f>HYPERLINK("https://creighton-primo.hosted.exlibrisgroup.com/primo-explore/search?tab=default_tab&amp;search_scope=EVERYTHING&amp;vid=01CRU&amp;lang=en_US&amp;offset=0&amp;query=any,contains,991000221439702656","Catalog Record")</f>
        <v>Catalog Record</v>
      </c>
      <c r="AT364" s="6" t="str">
        <f>HYPERLINK("http://www.worldcat.org/oclc/9576514","WorldCat Record")</f>
        <v>WorldCat Record</v>
      </c>
      <c r="AU364" s="3" t="s">
        <v>4858</v>
      </c>
      <c r="AV364" s="3" t="s">
        <v>4859</v>
      </c>
      <c r="AW364" s="3" t="s">
        <v>4860</v>
      </c>
      <c r="AX364" s="3" t="s">
        <v>4860</v>
      </c>
      <c r="AY364" s="3" t="s">
        <v>4861</v>
      </c>
      <c r="AZ364" s="3" t="s">
        <v>74</v>
      </c>
      <c r="BB364" s="3" t="s">
        <v>4862</v>
      </c>
      <c r="BC364" s="3" t="s">
        <v>4863</v>
      </c>
      <c r="BD364" s="3" t="s">
        <v>4864</v>
      </c>
    </row>
    <row r="365" spans="1:56" ht="42.75" customHeight="1" x14ac:dyDescent="0.25">
      <c r="A365" s="7" t="s">
        <v>58</v>
      </c>
      <c r="B365" s="2" t="s">
        <v>4865</v>
      </c>
      <c r="C365" s="2" t="s">
        <v>4866</v>
      </c>
      <c r="D365" s="2" t="s">
        <v>4867</v>
      </c>
      <c r="F365" s="3" t="s">
        <v>58</v>
      </c>
      <c r="G365" s="3" t="s">
        <v>59</v>
      </c>
      <c r="H365" s="3" t="s">
        <v>58</v>
      </c>
      <c r="I365" s="3" t="s">
        <v>58</v>
      </c>
      <c r="J365" s="3" t="s">
        <v>60</v>
      </c>
      <c r="L365" s="2" t="s">
        <v>4868</v>
      </c>
      <c r="M365" s="3" t="s">
        <v>344</v>
      </c>
      <c r="O365" s="3" t="s">
        <v>64</v>
      </c>
      <c r="P365" s="3" t="s">
        <v>1898</v>
      </c>
      <c r="R365" s="3" t="s">
        <v>67</v>
      </c>
      <c r="S365" s="4">
        <v>5</v>
      </c>
      <c r="T365" s="4">
        <v>5</v>
      </c>
      <c r="U365" s="5" t="s">
        <v>4869</v>
      </c>
      <c r="V365" s="5" t="s">
        <v>4869</v>
      </c>
      <c r="W365" s="5" t="s">
        <v>4870</v>
      </c>
      <c r="X365" s="5" t="s">
        <v>4870</v>
      </c>
      <c r="Y365" s="4">
        <v>279</v>
      </c>
      <c r="Z365" s="4">
        <v>220</v>
      </c>
      <c r="AA365" s="4">
        <v>227</v>
      </c>
      <c r="AB365" s="4">
        <v>2</v>
      </c>
      <c r="AC365" s="4">
        <v>2</v>
      </c>
      <c r="AD365" s="4">
        <v>6</v>
      </c>
      <c r="AE365" s="4">
        <v>6</v>
      </c>
      <c r="AF365" s="4">
        <v>1</v>
      </c>
      <c r="AG365" s="4">
        <v>1</v>
      </c>
      <c r="AH365" s="4">
        <v>2</v>
      </c>
      <c r="AI365" s="4">
        <v>2</v>
      </c>
      <c r="AJ365" s="4">
        <v>3</v>
      </c>
      <c r="AK365" s="4">
        <v>3</v>
      </c>
      <c r="AL365" s="4">
        <v>1</v>
      </c>
      <c r="AM365" s="4">
        <v>1</v>
      </c>
      <c r="AN365" s="4">
        <v>0</v>
      </c>
      <c r="AO365" s="4">
        <v>0</v>
      </c>
      <c r="AP365" s="3" t="s">
        <v>58</v>
      </c>
      <c r="AQ365" s="3" t="s">
        <v>86</v>
      </c>
      <c r="AR365" s="6" t="str">
        <f>HYPERLINK("http://catalog.hathitrust.org/Record/000741156","HathiTrust Record")</f>
        <v>HathiTrust Record</v>
      </c>
      <c r="AS365" s="6" t="str">
        <f>HYPERLINK("https://creighton-primo.hosted.exlibrisgroup.com/primo-explore/search?tab=default_tab&amp;search_scope=EVERYTHING&amp;vid=01CRU&amp;lang=en_US&amp;offset=0&amp;query=any,contains,991004722089702656","Catalog Record")</f>
        <v>Catalog Record</v>
      </c>
      <c r="AT365" s="6" t="str">
        <f>HYPERLINK("http://www.worldcat.org/oclc/4804718","WorldCat Record")</f>
        <v>WorldCat Record</v>
      </c>
      <c r="AU365" s="3" t="s">
        <v>4871</v>
      </c>
      <c r="AV365" s="3" t="s">
        <v>4872</v>
      </c>
      <c r="AW365" s="3" t="s">
        <v>4873</v>
      </c>
      <c r="AX365" s="3" t="s">
        <v>4873</v>
      </c>
      <c r="AY365" s="3" t="s">
        <v>4874</v>
      </c>
      <c r="AZ365" s="3" t="s">
        <v>74</v>
      </c>
      <c r="BC365" s="3" t="s">
        <v>4875</v>
      </c>
      <c r="BD365" s="3" t="s">
        <v>4876</v>
      </c>
    </row>
    <row r="366" spans="1:56" ht="42.75" customHeight="1" x14ac:dyDescent="0.25">
      <c r="A366" s="7" t="s">
        <v>58</v>
      </c>
      <c r="B366" s="2" t="s">
        <v>4877</v>
      </c>
      <c r="C366" s="2" t="s">
        <v>4878</v>
      </c>
      <c r="D366" s="2" t="s">
        <v>4879</v>
      </c>
      <c r="F366" s="3" t="s">
        <v>58</v>
      </c>
      <c r="G366" s="3" t="s">
        <v>59</v>
      </c>
      <c r="H366" s="3" t="s">
        <v>58</v>
      </c>
      <c r="I366" s="3" t="s">
        <v>58</v>
      </c>
      <c r="J366" s="3" t="s">
        <v>60</v>
      </c>
      <c r="K366" s="2" t="s">
        <v>4880</v>
      </c>
      <c r="L366" s="2" t="s">
        <v>4881</v>
      </c>
      <c r="M366" s="3" t="s">
        <v>1574</v>
      </c>
      <c r="N366" s="2" t="s">
        <v>1844</v>
      </c>
      <c r="O366" s="3" t="s">
        <v>64</v>
      </c>
      <c r="P366" s="3" t="s">
        <v>3666</v>
      </c>
      <c r="R366" s="3" t="s">
        <v>67</v>
      </c>
      <c r="S366" s="4">
        <v>5</v>
      </c>
      <c r="T366" s="4">
        <v>5</v>
      </c>
      <c r="U366" s="5" t="s">
        <v>4882</v>
      </c>
      <c r="V366" s="5" t="s">
        <v>4882</v>
      </c>
      <c r="W366" s="5" t="s">
        <v>4883</v>
      </c>
      <c r="X366" s="5" t="s">
        <v>4883</v>
      </c>
      <c r="Y366" s="4">
        <v>164</v>
      </c>
      <c r="Z366" s="4">
        <v>131</v>
      </c>
      <c r="AA366" s="4">
        <v>270</v>
      </c>
      <c r="AB366" s="4">
        <v>2</v>
      </c>
      <c r="AC366" s="4">
        <v>4</v>
      </c>
      <c r="AD366" s="4">
        <v>3</v>
      </c>
      <c r="AE366" s="4">
        <v>10</v>
      </c>
      <c r="AF366" s="4">
        <v>1</v>
      </c>
      <c r="AG366" s="4">
        <v>2</v>
      </c>
      <c r="AH366" s="4">
        <v>0</v>
      </c>
      <c r="AI366" s="4">
        <v>1</v>
      </c>
      <c r="AJ366" s="4">
        <v>2</v>
      </c>
      <c r="AK366" s="4">
        <v>7</v>
      </c>
      <c r="AL366" s="4">
        <v>1</v>
      </c>
      <c r="AM366" s="4">
        <v>3</v>
      </c>
      <c r="AN366" s="4">
        <v>0</v>
      </c>
      <c r="AO366" s="4">
        <v>0</v>
      </c>
      <c r="AP366" s="3" t="s">
        <v>58</v>
      </c>
      <c r="AQ366" s="3" t="s">
        <v>58</v>
      </c>
      <c r="AS366" s="6" t="str">
        <f>HYPERLINK("https://creighton-primo.hosted.exlibrisgroup.com/primo-explore/search?tab=default_tab&amp;search_scope=EVERYTHING&amp;vid=01CRU&amp;lang=en_US&amp;offset=0&amp;query=any,contains,991005244039702656","Catalog Record")</f>
        <v>Catalog Record</v>
      </c>
      <c r="AT366" s="6" t="str">
        <f>HYPERLINK("http://www.worldcat.org/oclc/8443074","WorldCat Record")</f>
        <v>WorldCat Record</v>
      </c>
      <c r="AU366" s="3" t="s">
        <v>4884</v>
      </c>
      <c r="AV366" s="3" t="s">
        <v>4885</v>
      </c>
      <c r="AW366" s="3" t="s">
        <v>4886</v>
      </c>
      <c r="AX366" s="3" t="s">
        <v>4886</v>
      </c>
      <c r="AY366" s="3" t="s">
        <v>4887</v>
      </c>
      <c r="AZ366" s="3" t="s">
        <v>74</v>
      </c>
      <c r="BB366" s="3" t="s">
        <v>4888</v>
      </c>
      <c r="BC366" s="3" t="s">
        <v>4889</v>
      </c>
      <c r="BD366" s="3" t="s">
        <v>4890</v>
      </c>
    </row>
    <row r="367" spans="1:56" ht="42.75" customHeight="1" x14ac:dyDescent="0.25">
      <c r="A367" s="7" t="s">
        <v>58</v>
      </c>
      <c r="B367" s="2" t="s">
        <v>4891</v>
      </c>
      <c r="C367" s="2" t="s">
        <v>4892</v>
      </c>
      <c r="D367" s="2" t="s">
        <v>4893</v>
      </c>
      <c r="F367" s="3" t="s">
        <v>58</v>
      </c>
      <c r="G367" s="3" t="s">
        <v>59</v>
      </c>
      <c r="H367" s="3" t="s">
        <v>58</v>
      </c>
      <c r="I367" s="3" t="s">
        <v>58</v>
      </c>
      <c r="J367" s="3" t="s">
        <v>60</v>
      </c>
      <c r="K367" s="2" t="s">
        <v>4894</v>
      </c>
      <c r="L367" s="2" t="s">
        <v>4895</v>
      </c>
      <c r="M367" s="3" t="s">
        <v>207</v>
      </c>
      <c r="O367" s="3" t="s">
        <v>64</v>
      </c>
      <c r="P367" s="3" t="s">
        <v>3070</v>
      </c>
      <c r="R367" s="3" t="s">
        <v>67</v>
      </c>
      <c r="S367" s="4">
        <v>2</v>
      </c>
      <c r="T367" s="4">
        <v>2</v>
      </c>
      <c r="U367" s="5" t="s">
        <v>4896</v>
      </c>
      <c r="V367" s="5" t="s">
        <v>4896</v>
      </c>
      <c r="W367" s="5" t="s">
        <v>4231</v>
      </c>
      <c r="X367" s="5" t="s">
        <v>4231</v>
      </c>
      <c r="Y367" s="4">
        <v>374</v>
      </c>
      <c r="Z367" s="4">
        <v>303</v>
      </c>
      <c r="AA367" s="4">
        <v>308</v>
      </c>
      <c r="AB367" s="4">
        <v>4</v>
      </c>
      <c r="AC367" s="4">
        <v>4</v>
      </c>
      <c r="AD367" s="4">
        <v>15</v>
      </c>
      <c r="AE367" s="4">
        <v>15</v>
      </c>
      <c r="AF367" s="4">
        <v>5</v>
      </c>
      <c r="AG367" s="4">
        <v>5</v>
      </c>
      <c r="AH367" s="4">
        <v>3</v>
      </c>
      <c r="AI367" s="4">
        <v>3</v>
      </c>
      <c r="AJ367" s="4">
        <v>8</v>
      </c>
      <c r="AK367" s="4">
        <v>8</v>
      </c>
      <c r="AL367" s="4">
        <v>3</v>
      </c>
      <c r="AM367" s="4">
        <v>3</v>
      </c>
      <c r="AN367" s="4">
        <v>0</v>
      </c>
      <c r="AO367" s="4">
        <v>0</v>
      </c>
      <c r="AP367" s="3" t="s">
        <v>58</v>
      </c>
      <c r="AQ367" s="3" t="s">
        <v>58</v>
      </c>
      <c r="AS367" s="6" t="str">
        <f>HYPERLINK("https://creighton-primo.hosted.exlibrisgroup.com/primo-explore/search?tab=default_tab&amp;search_scope=EVERYTHING&amp;vid=01CRU&amp;lang=en_US&amp;offset=0&amp;query=any,contains,991005097659702656","Catalog Record")</f>
        <v>Catalog Record</v>
      </c>
      <c r="AT367" s="6" t="str">
        <f>HYPERLINK("http://www.worldcat.org/oclc/7276543","WorldCat Record")</f>
        <v>WorldCat Record</v>
      </c>
      <c r="AU367" s="3" t="s">
        <v>4897</v>
      </c>
      <c r="AV367" s="3" t="s">
        <v>4898</v>
      </c>
      <c r="AW367" s="3" t="s">
        <v>4899</v>
      </c>
      <c r="AX367" s="3" t="s">
        <v>4899</v>
      </c>
      <c r="AY367" s="3" t="s">
        <v>4900</v>
      </c>
      <c r="AZ367" s="3" t="s">
        <v>74</v>
      </c>
      <c r="BB367" s="3" t="s">
        <v>4901</v>
      </c>
      <c r="BC367" s="3" t="s">
        <v>4902</v>
      </c>
      <c r="BD367" s="3" t="s">
        <v>4903</v>
      </c>
    </row>
    <row r="368" spans="1:56" ht="42.75" customHeight="1" x14ac:dyDescent="0.25">
      <c r="A368" s="7" t="s">
        <v>58</v>
      </c>
      <c r="B368" s="2" t="s">
        <v>4904</v>
      </c>
      <c r="C368" s="2" t="s">
        <v>4905</v>
      </c>
      <c r="D368" s="2" t="s">
        <v>4906</v>
      </c>
      <c r="F368" s="3" t="s">
        <v>58</v>
      </c>
      <c r="G368" s="3" t="s">
        <v>59</v>
      </c>
      <c r="H368" s="3" t="s">
        <v>58</v>
      </c>
      <c r="I368" s="3" t="s">
        <v>58</v>
      </c>
      <c r="J368" s="3" t="s">
        <v>60</v>
      </c>
      <c r="K368" s="2" t="s">
        <v>4907</v>
      </c>
      <c r="L368" s="2" t="s">
        <v>4908</v>
      </c>
      <c r="M368" s="3" t="s">
        <v>3215</v>
      </c>
      <c r="O368" s="3" t="s">
        <v>64</v>
      </c>
      <c r="P368" s="3" t="s">
        <v>83</v>
      </c>
      <c r="R368" s="3" t="s">
        <v>67</v>
      </c>
      <c r="S368" s="4">
        <v>4</v>
      </c>
      <c r="T368" s="4">
        <v>4</v>
      </c>
      <c r="U368" s="5" t="s">
        <v>4882</v>
      </c>
      <c r="V368" s="5" t="s">
        <v>4882</v>
      </c>
      <c r="W368" s="5" t="s">
        <v>3917</v>
      </c>
      <c r="X368" s="5" t="s">
        <v>3917</v>
      </c>
      <c r="Y368" s="4">
        <v>293</v>
      </c>
      <c r="Z368" s="4">
        <v>261</v>
      </c>
      <c r="AA368" s="4">
        <v>263</v>
      </c>
      <c r="AB368" s="4">
        <v>3</v>
      </c>
      <c r="AC368" s="4">
        <v>3</v>
      </c>
      <c r="AD368" s="4">
        <v>9</v>
      </c>
      <c r="AE368" s="4">
        <v>9</v>
      </c>
      <c r="AF368" s="4">
        <v>2</v>
      </c>
      <c r="AG368" s="4">
        <v>2</v>
      </c>
      <c r="AH368" s="4">
        <v>3</v>
      </c>
      <c r="AI368" s="4">
        <v>3</v>
      </c>
      <c r="AJ368" s="4">
        <v>4</v>
      </c>
      <c r="AK368" s="4">
        <v>4</v>
      </c>
      <c r="AL368" s="4">
        <v>2</v>
      </c>
      <c r="AM368" s="4">
        <v>2</v>
      </c>
      <c r="AN368" s="4">
        <v>0</v>
      </c>
      <c r="AO368" s="4">
        <v>0</v>
      </c>
      <c r="AP368" s="3" t="s">
        <v>58</v>
      </c>
      <c r="AQ368" s="3" t="s">
        <v>86</v>
      </c>
      <c r="AR368" s="6" t="str">
        <f>HYPERLINK("http://catalog.hathitrust.org/Record/001563409","HathiTrust Record")</f>
        <v>HathiTrust Record</v>
      </c>
      <c r="AS368" s="6" t="str">
        <f>HYPERLINK("https://creighton-primo.hosted.exlibrisgroup.com/primo-explore/search?tab=default_tab&amp;search_scope=EVERYTHING&amp;vid=01CRU&amp;lang=en_US&amp;offset=0&amp;query=any,contains,991002001789702656","Catalog Record")</f>
        <v>Catalog Record</v>
      </c>
      <c r="AT368" s="6" t="str">
        <f>HYPERLINK("http://www.worldcat.org/oclc/256642","WorldCat Record")</f>
        <v>WorldCat Record</v>
      </c>
      <c r="AU368" s="3" t="s">
        <v>4909</v>
      </c>
      <c r="AV368" s="3" t="s">
        <v>4910</v>
      </c>
      <c r="AW368" s="3" t="s">
        <v>4911</v>
      </c>
      <c r="AX368" s="3" t="s">
        <v>4911</v>
      </c>
      <c r="AY368" s="3" t="s">
        <v>4912</v>
      </c>
      <c r="AZ368" s="3" t="s">
        <v>74</v>
      </c>
      <c r="BC368" s="3" t="s">
        <v>4913</v>
      </c>
      <c r="BD368" s="3" t="s">
        <v>4914</v>
      </c>
    </row>
    <row r="369" spans="1:56" ht="42.75" customHeight="1" x14ac:dyDescent="0.25">
      <c r="A369" s="7" t="s">
        <v>58</v>
      </c>
      <c r="B369" s="2" t="s">
        <v>4915</v>
      </c>
      <c r="C369" s="2" t="s">
        <v>4916</v>
      </c>
      <c r="D369" s="2" t="s">
        <v>4917</v>
      </c>
      <c r="F369" s="3" t="s">
        <v>58</v>
      </c>
      <c r="G369" s="3" t="s">
        <v>59</v>
      </c>
      <c r="H369" s="3" t="s">
        <v>58</v>
      </c>
      <c r="I369" s="3" t="s">
        <v>58</v>
      </c>
      <c r="J369" s="3" t="s">
        <v>60</v>
      </c>
      <c r="K369" s="2" t="s">
        <v>4918</v>
      </c>
      <c r="L369" s="2" t="s">
        <v>4919</v>
      </c>
      <c r="M369" s="3" t="s">
        <v>2770</v>
      </c>
      <c r="O369" s="3" t="s">
        <v>64</v>
      </c>
      <c r="P369" s="3" t="s">
        <v>2609</v>
      </c>
      <c r="R369" s="3" t="s">
        <v>67</v>
      </c>
      <c r="S369" s="4">
        <v>2</v>
      </c>
      <c r="T369" s="4">
        <v>2</v>
      </c>
      <c r="U369" s="5" t="s">
        <v>4920</v>
      </c>
      <c r="V369" s="5" t="s">
        <v>4920</v>
      </c>
      <c r="W369" s="5" t="s">
        <v>4921</v>
      </c>
      <c r="X369" s="5" t="s">
        <v>4921</v>
      </c>
      <c r="Y369" s="4">
        <v>262</v>
      </c>
      <c r="Z369" s="4">
        <v>205</v>
      </c>
      <c r="AA369" s="4">
        <v>343</v>
      </c>
      <c r="AB369" s="4">
        <v>5</v>
      </c>
      <c r="AC369" s="4">
        <v>5</v>
      </c>
      <c r="AD369" s="4">
        <v>10</v>
      </c>
      <c r="AE369" s="4">
        <v>15</v>
      </c>
      <c r="AF369" s="4">
        <v>2</v>
      </c>
      <c r="AG369" s="4">
        <v>5</v>
      </c>
      <c r="AH369" s="4">
        <v>2</v>
      </c>
      <c r="AI369" s="4">
        <v>3</v>
      </c>
      <c r="AJ369" s="4">
        <v>5</v>
      </c>
      <c r="AK369" s="4">
        <v>7</v>
      </c>
      <c r="AL369" s="4">
        <v>4</v>
      </c>
      <c r="AM369" s="4">
        <v>4</v>
      </c>
      <c r="AN369" s="4">
        <v>0</v>
      </c>
      <c r="AO369" s="4">
        <v>0</v>
      </c>
      <c r="AP369" s="3" t="s">
        <v>58</v>
      </c>
      <c r="AQ369" s="3" t="s">
        <v>58</v>
      </c>
      <c r="AS369" s="6" t="str">
        <f>HYPERLINK("https://creighton-primo.hosted.exlibrisgroup.com/primo-explore/search?tab=default_tab&amp;search_scope=EVERYTHING&amp;vid=01CRU&amp;lang=en_US&amp;offset=0&amp;query=any,contains,991005265869702656","Catalog Record")</f>
        <v>Catalog Record</v>
      </c>
      <c r="AT369" s="6" t="str">
        <f>HYPERLINK("http://www.worldcat.org/oclc/2388191","WorldCat Record")</f>
        <v>WorldCat Record</v>
      </c>
      <c r="AU369" s="3" t="s">
        <v>4922</v>
      </c>
      <c r="AV369" s="3" t="s">
        <v>4923</v>
      </c>
      <c r="AW369" s="3" t="s">
        <v>4924</v>
      </c>
      <c r="AX369" s="3" t="s">
        <v>4924</v>
      </c>
      <c r="AY369" s="3" t="s">
        <v>4925</v>
      </c>
      <c r="AZ369" s="3" t="s">
        <v>74</v>
      </c>
      <c r="BB369" s="3" t="s">
        <v>4926</v>
      </c>
      <c r="BC369" s="3" t="s">
        <v>4927</v>
      </c>
      <c r="BD369" s="3" t="s">
        <v>4928</v>
      </c>
    </row>
    <row r="370" spans="1:56" ht="42.75" customHeight="1" x14ac:dyDescent="0.25">
      <c r="A370" s="7" t="s">
        <v>58</v>
      </c>
      <c r="B370" s="2" t="s">
        <v>4929</v>
      </c>
      <c r="C370" s="2" t="s">
        <v>4930</v>
      </c>
      <c r="D370" s="2" t="s">
        <v>4931</v>
      </c>
      <c r="F370" s="3" t="s">
        <v>58</v>
      </c>
      <c r="G370" s="3" t="s">
        <v>59</v>
      </c>
      <c r="H370" s="3" t="s">
        <v>58</v>
      </c>
      <c r="I370" s="3" t="s">
        <v>58</v>
      </c>
      <c r="J370" s="3" t="s">
        <v>60</v>
      </c>
      <c r="K370" s="2" t="s">
        <v>4932</v>
      </c>
      <c r="L370" s="2" t="s">
        <v>4933</v>
      </c>
      <c r="M370" s="3" t="s">
        <v>2770</v>
      </c>
      <c r="N370" s="2" t="s">
        <v>4027</v>
      </c>
      <c r="O370" s="3" t="s">
        <v>64</v>
      </c>
      <c r="P370" s="3" t="s">
        <v>2609</v>
      </c>
      <c r="R370" s="3" t="s">
        <v>67</v>
      </c>
      <c r="S370" s="4">
        <v>4</v>
      </c>
      <c r="T370" s="4">
        <v>4</v>
      </c>
      <c r="U370" s="5" t="s">
        <v>4934</v>
      </c>
      <c r="V370" s="5" t="s">
        <v>4934</v>
      </c>
      <c r="W370" s="5" t="s">
        <v>4883</v>
      </c>
      <c r="X370" s="5" t="s">
        <v>4883</v>
      </c>
      <c r="Y370" s="4">
        <v>274</v>
      </c>
      <c r="Z370" s="4">
        <v>217</v>
      </c>
      <c r="AA370" s="4">
        <v>409</v>
      </c>
      <c r="AB370" s="4">
        <v>3</v>
      </c>
      <c r="AC370" s="4">
        <v>5</v>
      </c>
      <c r="AD370" s="4">
        <v>8</v>
      </c>
      <c r="AE370" s="4">
        <v>19</v>
      </c>
      <c r="AF370" s="4">
        <v>1</v>
      </c>
      <c r="AG370" s="4">
        <v>6</v>
      </c>
      <c r="AH370" s="4">
        <v>3</v>
      </c>
      <c r="AI370" s="4">
        <v>4</v>
      </c>
      <c r="AJ370" s="4">
        <v>4</v>
      </c>
      <c r="AK370" s="4">
        <v>8</v>
      </c>
      <c r="AL370" s="4">
        <v>2</v>
      </c>
      <c r="AM370" s="4">
        <v>4</v>
      </c>
      <c r="AN370" s="4">
        <v>0</v>
      </c>
      <c r="AO370" s="4">
        <v>0</v>
      </c>
      <c r="AP370" s="3" t="s">
        <v>58</v>
      </c>
      <c r="AQ370" s="3" t="s">
        <v>86</v>
      </c>
      <c r="AR370" s="6" t="str">
        <f>HYPERLINK("http://catalog.hathitrust.org/Record/000727652","HathiTrust Record")</f>
        <v>HathiTrust Record</v>
      </c>
      <c r="AS370" s="6" t="str">
        <f>HYPERLINK("https://creighton-primo.hosted.exlibrisgroup.com/primo-explore/search?tab=default_tab&amp;search_scope=EVERYTHING&amp;vid=01CRU&amp;lang=en_US&amp;offset=0&amp;query=any,contains,991004092959702656","Catalog Record")</f>
        <v>Catalog Record</v>
      </c>
      <c r="AT370" s="6" t="str">
        <f>HYPERLINK("http://www.worldcat.org/oclc/2347006","WorldCat Record")</f>
        <v>WorldCat Record</v>
      </c>
      <c r="AU370" s="3" t="s">
        <v>4935</v>
      </c>
      <c r="AV370" s="3" t="s">
        <v>4936</v>
      </c>
      <c r="AW370" s="3" t="s">
        <v>4937</v>
      </c>
      <c r="AX370" s="3" t="s">
        <v>4937</v>
      </c>
      <c r="AY370" s="3" t="s">
        <v>4938</v>
      </c>
      <c r="AZ370" s="3" t="s">
        <v>74</v>
      </c>
      <c r="BB370" s="3" t="s">
        <v>4939</v>
      </c>
      <c r="BC370" s="3" t="s">
        <v>4940</v>
      </c>
      <c r="BD370" s="3" t="s">
        <v>4941</v>
      </c>
    </row>
    <row r="371" spans="1:56" ht="42.75" customHeight="1" x14ac:dyDescent="0.25">
      <c r="A371" s="7" t="s">
        <v>58</v>
      </c>
      <c r="B371" s="2" t="s">
        <v>4942</v>
      </c>
      <c r="C371" s="2" t="s">
        <v>4943</v>
      </c>
      <c r="D371" s="2" t="s">
        <v>4944</v>
      </c>
      <c r="F371" s="3" t="s">
        <v>58</v>
      </c>
      <c r="G371" s="3" t="s">
        <v>59</v>
      </c>
      <c r="H371" s="3" t="s">
        <v>58</v>
      </c>
      <c r="I371" s="3" t="s">
        <v>58</v>
      </c>
      <c r="J371" s="3" t="s">
        <v>60</v>
      </c>
      <c r="K371" s="2" t="s">
        <v>4945</v>
      </c>
      <c r="L371" s="2" t="s">
        <v>4946</v>
      </c>
      <c r="M371" s="3" t="s">
        <v>207</v>
      </c>
      <c r="O371" s="3" t="s">
        <v>64</v>
      </c>
      <c r="P371" s="3" t="s">
        <v>1898</v>
      </c>
      <c r="R371" s="3" t="s">
        <v>67</v>
      </c>
      <c r="S371" s="4">
        <v>5</v>
      </c>
      <c r="T371" s="4">
        <v>5</v>
      </c>
      <c r="U371" s="5" t="s">
        <v>4920</v>
      </c>
      <c r="V371" s="5" t="s">
        <v>4920</v>
      </c>
      <c r="W371" s="5" t="s">
        <v>4947</v>
      </c>
      <c r="X371" s="5" t="s">
        <v>4947</v>
      </c>
      <c r="Y371" s="4">
        <v>304</v>
      </c>
      <c r="Z371" s="4">
        <v>253</v>
      </c>
      <c r="AA371" s="4">
        <v>414</v>
      </c>
      <c r="AB371" s="4">
        <v>3</v>
      </c>
      <c r="AC371" s="4">
        <v>4</v>
      </c>
      <c r="AD371" s="4">
        <v>12</v>
      </c>
      <c r="AE371" s="4">
        <v>14</v>
      </c>
      <c r="AF371" s="4">
        <v>6</v>
      </c>
      <c r="AG371" s="4">
        <v>7</v>
      </c>
      <c r="AH371" s="4">
        <v>1</v>
      </c>
      <c r="AI371" s="4">
        <v>1</v>
      </c>
      <c r="AJ371" s="4">
        <v>5</v>
      </c>
      <c r="AK371" s="4">
        <v>6</v>
      </c>
      <c r="AL371" s="4">
        <v>2</v>
      </c>
      <c r="AM371" s="4">
        <v>3</v>
      </c>
      <c r="AN371" s="4">
        <v>0</v>
      </c>
      <c r="AO371" s="4">
        <v>0</v>
      </c>
      <c r="AP371" s="3" t="s">
        <v>58</v>
      </c>
      <c r="AQ371" s="3" t="s">
        <v>86</v>
      </c>
      <c r="AR371" s="6" t="str">
        <f>HYPERLINK("http://catalog.hathitrust.org/Record/000144031","HathiTrust Record")</f>
        <v>HathiTrust Record</v>
      </c>
      <c r="AS371" s="6" t="str">
        <f>HYPERLINK("https://creighton-primo.hosted.exlibrisgroup.com/primo-explore/search?tab=default_tab&amp;search_scope=EVERYTHING&amp;vid=01CRU&amp;lang=en_US&amp;offset=0&amp;query=any,contains,991004974609702656","Catalog Record")</f>
        <v>Catalog Record</v>
      </c>
      <c r="AT371" s="6" t="str">
        <f>HYPERLINK("http://www.worldcat.org/oclc/6379058","WorldCat Record")</f>
        <v>WorldCat Record</v>
      </c>
      <c r="AU371" s="3" t="s">
        <v>4948</v>
      </c>
      <c r="AV371" s="3" t="s">
        <v>4949</v>
      </c>
      <c r="AW371" s="3" t="s">
        <v>4950</v>
      </c>
      <c r="AX371" s="3" t="s">
        <v>4950</v>
      </c>
      <c r="AY371" s="3" t="s">
        <v>4951</v>
      </c>
      <c r="AZ371" s="3" t="s">
        <v>74</v>
      </c>
      <c r="BB371" s="3" t="s">
        <v>4952</v>
      </c>
      <c r="BC371" s="3" t="s">
        <v>4953</v>
      </c>
      <c r="BD371" s="3" t="s">
        <v>4954</v>
      </c>
    </row>
    <row r="372" spans="1:56" ht="42.75" customHeight="1" x14ac:dyDescent="0.25">
      <c r="A372" s="7" t="s">
        <v>58</v>
      </c>
      <c r="B372" s="2" t="s">
        <v>4955</v>
      </c>
      <c r="C372" s="2" t="s">
        <v>4956</v>
      </c>
      <c r="D372" s="2" t="s">
        <v>4957</v>
      </c>
      <c r="F372" s="3" t="s">
        <v>58</v>
      </c>
      <c r="G372" s="3" t="s">
        <v>59</v>
      </c>
      <c r="H372" s="3" t="s">
        <v>58</v>
      </c>
      <c r="I372" s="3" t="s">
        <v>58</v>
      </c>
      <c r="J372" s="3" t="s">
        <v>60</v>
      </c>
      <c r="L372" s="2" t="s">
        <v>1883</v>
      </c>
      <c r="M372" s="3" t="s">
        <v>238</v>
      </c>
      <c r="O372" s="3" t="s">
        <v>64</v>
      </c>
      <c r="P372" s="3" t="s">
        <v>83</v>
      </c>
      <c r="Q372" s="2" t="s">
        <v>4958</v>
      </c>
      <c r="R372" s="3" t="s">
        <v>67</v>
      </c>
      <c r="S372" s="4">
        <v>1</v>
      </c>
      <c r="T372" s="4">
        <v>1</v>
      </c>
      <c r="U372" s="5" t="s">
        <v>4847</v>
      </c>
      <c r="V372" s="5" t="s">
        <v>4847</v>
      </c>
      <c r="W372" s="5" t="s">
        <v>4459</v>
      </c>
      <c r="X372" s="5" t="s">
        <v>4459</v>
      </c>
      <c r="Y372" s="4">
        <v>200</v>
      </c>
      <c r="Z372" s="4">
        <v>172</v>
      </c>
      <c r="AA372" s="4">
        <v>174</v>
      </c>
      <c r="AB372" s="4">
        <v>4</v>
      </c>
      <c r="AC372" s="4">
        <v>4</v>
      </c>
      <c r="AD372" s="4">
        <v>8</v>
      </c>
      <c r="AE372" s="4">
        <v>8</v>
      </c>
      <c r="AF372" s="4">
        <v>1</v>
      </c>
      <c r="AG372" s="4">
        <v>1</v>
      </c>
      <c r="AH372" s="4">
        <v>1</v>
      </c>
      <c r="AI372" s="4">
        <v>1</v>
      </c>
      <c r="AJ372" s="4">
        <v>5</v>
      </c>
      <c r="AK372" s="4">
        <v>5</v>
      </c>
      <c r="AL372" s="4">
        <v>3</v>
      </c>
      <c r="AM372" s="4">
        <v>3</v>
      </c>
      <c r="AN372" s="4">
        <v>0</v>
      </c>
      <c r="AO372" s="4">
        <v>0</v>
      </c>
      <c r="AP372" s="3" t="s">
        <v>58</v>
      </c>
      <c r="AQ372" s="3" t="s">
        <v>86</v>
      </c>
      <c r="AR372" s="6" t="str">
        <f>HYPERLINK("http://catalog.hathitrust.org/Record/000700048","HathiTrust Record")</f>
        <v>HathiTrust Record</v>
      </c>
      <c r="AS372" s="6" t="str">
        <f>HYPERLINK("https://creighton-primo.hosted.exlibrisgroup.com/primo-explore/search?tab=default_tab&amp;search_scope=EVERYTHING&amp;vid=01CRU&amp;lang=en_US&amp;offset=0&amp;query=any,contains,991004487589702656","Catalog Record")</f>
        <v>Catalog Record</v>
      </c>
      <c r="AT372" s="6" t="str">
        <f>HYPERLINK("http://www.worldcat.org/oclc/3649910","WorldCat Record")</f>
        <v>WorldCat Record</v>
      </c>
      <c r="AU372" s="3" t="s">
        <v>4959</v>
      </c>
      <c r="AV372" s="3" t="s">
        <v>4960</v>
      </c>
      <c r="AW372" s="3" t="s">
        <v>4961</v>
      </c>
      <c r="AX372" s="3" t="s">
        <v>4961</v>
      </c>
      <c r="AY372" s="3" t="s">
        <v>4962</v>
      </c>
      <c r="AZ372" s="3" t="s">
        <v>74</v>
      </c>
      <c r="BB372" s="3" t="s">
        <v>4963</v>
      </c>
      <c r="BC372" s="3" t="s">
        <v>4964</v>
      </c>
      <c r="BD372" s="3" t="s">
        <v>4965</v>
      </c>
    </row>
    <row r="373" spans="1:56" ht="42.75" customHeight="1" x14ac:dyDescent="0.25">
      <c r="A373" s="7" t="s">
        <v>58</v>
      </c>
      <c r="B373" s="2" t="s">
        <v>4966</v>
      </c>
      <c r="C373" s="2" t="s">
        <v>4967</v>
      </c>
      <c r="D373" s="2" t="s">
        <v>4968</v>
      </c>
      <c r="F373" s="3" t="s">
        <v>58</v>
      </c>
      <c r="G373" s="3" t="s">
        <v>59</v>
      </c>
      <c r="H373" s="3" t="s">
        <v>58</v>
      </c>
      <c r="I373" s="3" t="s">
        <v>58</v>
      </c>
      <c r="J373" s="3" t="s">
        <v>60</v>
      </c>
      <c r="K373" s="2" t="s">
        <v>4969</v>
      </c>
      <c r="L373" s="2" t="s">
        <v>4970</v>
      </c>
      <c r="M373" s="3" t="s">
        <v>3215</v>
      </c>
      <c r="O373" s="3" t="s">
        <v>64</v>
      </c>
      <c r="P373" s="3" t="s">
        <v>83</v>
      </c>
      <c r="R373" s="3" t="s">
        <v>67</v>
      </c>
      <c r="S373" s="4">
        <v>1</v>
      </c>
      <c r="T373" s="4">
        <v>1</v>
      </c>
      <c r="U373" s="5" t="s">
        <v>4971</v>
      </c>
      <c r="V373" s="5" t="s">
        <v>4971</v>
      </c>
      <c r="W373" s="5" t="s">
        <v>3917</v>
      </c>
      <c r="X373" s="5" t="s">
        <v>3917</v>
      </c>
      <c r="Y373" s="4">
        <v>270</v>
      </c>
      <c r="Z373" s="4">
        <v>253</v>
      </c>
      <c r="AA373" s="4">
        <v>255</v>
      </c>
      <c r="AB373" s="4">
        <v>5</v>
      </c>
      <c r="AC373" s="4">
        <v>5</v>
      </c>
      <c r="AD373" s="4">
        <v>13</v>
      </c>
      <c r="AE373" s="4">
        <v>13</v>
      </c>
      <c r="AF373" s="4">
        <v>5</v>
      </c>
      <c r="AG373" s="4">
        <v>5</v>
      </c>
      <c r="AH373" s="4">
        <v>2</v>
      </c>
      <c r="AI373" s="4">
        <v>2</v>
      </c>
      <c r="AJ373" s="4">
        <v>4</v>
      </c>
      <c r="AK373" s="4">
        <v>4</v>
      </c>
      <c r="AL373" s="4">
        <v>4</v>
      </c>
      <c r="AM373" s="4">
        <v>4</v>
      </c>
      <c r="AN373" s="4">
        <v>0</v>
      </c>
      <c r="AO373" s="4">
        <v>0</v>
      </c>
      <c r="AP373" s="3" t="s">
        <v>58</v>
      </c>
      <c r="AQ373" s="3" t="s">
        <v>86</v>
      </c>
      <c r="AR373" s="6" t="str">
        <f>HYPERLINK("http://catalog.hathitrust.org/Record/002066118","HathiTrust Record")</f>
        <v>HathiTrust Record</v>
      </c>
      <c r="AS373" s="6" t="str">
        <f>HYPERLINK("https://creighton-primo.hosted.exlibrisgroup.com/primo-explore/search?tab=default_tab&amp;search_scope=EVERYTHING&amp;vid=01CRU&amp;lang=en_US&amp;offset=0&amp;query=any,contains,991003048069702656","Catalog Record")</f>
        <v>Catalog Record</v>
      </c>
      <c r="AT373" s="6" t="str">
        <f>HYPERLINK("http://www.worldcat.org/oclc/608765","WorldCat Record")</f>
        <v>WorldCat Record</v>
      </c>
      <c r="AU373" s="3" t="s">
        <v>4972</v>
      </c>
      <c r="AV373" s="3" t="s">
        <v>4973</v>
      </c>
      <c r="AW373" s="3" t="s">
        <v>4974</v>
      </c>
      <c r="AX373" s="3" t="s">
        <v>4974</v>
      </c>
      <c r="AY373" s="3" t="s">
        <v>4975</v>
      </c>
      <c r="AZ373" s="3" t="s">
        <v>74</v>
      </c>
      <c r="BC373" s="3" t="s">
        <v>4976</v>
      </c>
      <c r="BD373" s="3" t="s">
        <v>4977</v>
      </c>
    </row>
    <row r="374" spans="1:56" ht="42.75" customHeight="1" x14ac:dyDescent="0.25">
      <c r="A374" s="7" t="s">
        <v>58</v>
      </c>
      <c r="B374" s="2" t="s">
        <v>4978</v>
      </c>
      <c r="C374" s="2" t="s">
        <v>4979</v>
      </c>
      <c r="D374" s="2" t="s">
        <v>4980</v>
      </c>
      <c r="F374" s="3" t="s">
        <v>58</v>
      </c>
      <c r="G374" s="3" t="s">
        <v>59</v>
      </c>
      <c r="H374" s="3" t="s">
        <v>58</v>
      </c>
      <c r="I374" s="3" t="s">
        <v>58</v>
      </c>
      <c r="J374" s="3" t="s">
        <v>60</v>
      </c>
      <c r="K374" s="2" t="s">
        <v>4981</v>
      </c>
      <c r="L374" s="2" t="s">
        <v>4982</v>
      </c>
      <c r="M374" s="3" t="s">
        <v>269</v>
      </c>
      <c r="O374" s="3" t="s">
        <v>64</v>
      </c>
      <c r="P374" s="3" t="s">
        <v>83</v>
      </c>
      <c r="R374" s="3" t="s">
        <v>67</v>
      </c>
      <c r="S374" s="4">
        <v>8</v>
      </c>
      <c r="T374" s="4">
        <v>8</v>
      </c>
      <c r="U374" s="5" t="s">
        <v>4983</v>
      </c>
      <c r="V374" s="5" t="s">
        <v>4983</v>
      </c>
      <c r="W374" s="5" t="s">
        <v>4984</v>
      </c>
      <c r="X374" s="5" t="s">
        <v>4984</v>
      </c>
      <c r="Y374" s="4">
        <v>349</v>
      </c>
      <c r="Z374" s="4">
        <v>309</v>
      </c>
      <c r="AA374" s="4">
        <v>312</v>
      </c>
      <c r="AB374" s="4">
        <v>5</v>
      </c>
      <c r="AC374" s="4">
        <v>5</v>
      </c>
      <c r="AD374" s="4">
        <v>13</v>
      </c>
      <c r="AE374" s="4">
        <v>13</v>
      </c>
      <c r="AF374" s="4">
        <v>6</v>
      </c>
      <c r="AG374" s="4">
        <v>6</v>
      </c>
      <c r="AH374" s="4">
        <v>3</v>
      </c>
      <c r="AI374" s="4">
        <v>3</v>
      </c>
      <c r="AJ374" s="4">
        <v>4</v>
      </c>
      <c r="AK374" s="4">
        <v>4</v>
      </c>
      <c r="AL374" s="4">
        <v>3</v>
      </c>
      <c r="AM374" s="4">
        <v>3</v>
      </c>
      <c r="AN374" s="4">
        <v>0</v>
      </c>
      <c r="AO374" s="4">
        <v>0</v>
      </c>
      <c r="AP374" s="3" t="s">
        <v>58</v>
      </c>
      <c r="AQ374" s="3" t="s">
        <v>86</v>
      </c>
      <c r="AR374" s="6" t="str">
        <f>HYPERLINK("http://catalog.hathitrust.org/Record/001563456","HathiTrust Record")</f>
        <v>HathiTrust Record</v>
      </c>
      <c r="AS374" s="6" t="str">
        <f>HYPERLINK("https://creighton-primo.hosted.exlibrisgroup.com/primo-explore/search?tab=default_tab&amp;search_scope=EVERYTHING&amp;vid=01CRU&amp;lang=en_US&amp;offset=0&amp;query=any,contains,991005434749702656","Catalog Record")</f>
        <v>Catalog Record</v>
      </c>
      <c r="AT374" s="6" t="str">
        <f>HYPERLINK("http://www.worldcat.org/oclc/2546","WorldCat Record")</f>
        <v>WorldCat Record</v>
      </c>
      <c r="AU374" s="3" t="s">
        <v>4985</v>
      </c>
      <c r="AV374" s="3" t="s">
        <v>4986</v>
      </c>
      <c r="AW374" s="3" t="s">
        <v>4987</v>
      </c>
      <c r="AX374" s="3" t="s">
        <v>4987</v>
      </c>
      <c r="AY374" s="3" t="s">
        <v>4988</v>
      </c>
      <c r="AZ374" s="3" t="s">
        <v>74</v>
      </c>
      <c r="BC374" s="3" t="s">
        <v>4989</v>
      </c>
      <c r="BD374" s="3" t="s">
        <v>4990</v>
      </c>
    </row>
    <row r="375" spans="1:56" ht="42.75" customHeight="1" x14ac:dyDescent="0.25">
      <c r="A375" s="7" t="s">
        <v>58</v>
      </c>
      <c r="B375" s="2" t="s">
        <v>4991</v>
      </c>
      <c r="C375" s="2" t="s">
        <v>4992</v>
      </c>
      <c r="D375" s="2" t="s">
        <v>4993</v>
      </c>
      <c r="F375" s="3" t="s">
        <v>58</v>
      </c>
      <c r="G375" s="3" t="s">
        <v>59</v>
      </c>
      <c r="H375" s="3" t="s">
        <v>58</v>
      </c>
      <c r="I375" s="3" t="s">
        <v>58</v>
      </c>
      <c r="J375" s="3" t="s">
        <v>60</v>
      </c>
      <c r="K375" s="2" t="s">
        <v>4994</v>
      </c>
      <c r="L375" s="2" t="s">
        <v>4995</v>
      </c>
      <c r="M375" s="3" t="s">
        <v>114</v>
      </c>
      <c r="N375" s="2" t="s">
        <v>4996</v>
      </c>
      <c r="O375" s="3" t="s">
        <v>64</v>
      </c>
      <c r="P375" s="3" t="s">
        <v>3163</v>
      </c>
      <c r="Q375" s="2" t="s">
        <v>4997</v>
      </c>
      <c r="R375" s="3" t="s">
        <v>67</v>
      </c>
      <c r="S375" s="4">
        <v>10</v>
      </c>
      <c r="T375" s="4">
        <v>10</v>
      </c>
      <c r="U375" s="5" t="s">
        <v>4998</v>
      </c>
      <c r="V375" s="5" t="s">
        <v>4998</v>
      </c>
      <c r="W375" s="5" t="s">
        <v>4999</v>
      </c>
      <c r="X375" s="5" t="s">
        <v>4999</v>
      </c>
      <c r="Y375" s="4">
        <v>1119</v>
      </c>
      <c r="Z375" s="4">
        <v>1116</v>
      </c>
      <c r="AA375" s="4">
        <v>2946</v>
      </c>
      <c r="AB375" s="4">
        <v>14</v>
      </c>
      <c r="AC375" s="4">
        <v>43</v>
      </c>
      <c r="AD375" s="4">
        <v>32</v>
      </c>
      <c r="AE375" s="4">
        <v>42</v>
      </c>
      <c r="AF375" s="4">
        <v>14</v>
      </c>
      <c r="AG375" s="4">
        <v>18</v>
      </c>
      <c r="AH375" s="4">
        <v>4</v>
      </c>
      <c r="AI375" s="4">
        <v>5</v>
      </c>
      <c r="AJ375" s="4">
        <v>17</v>
      </c>
      <c r="AK375" s="4">
        <v>23</v>
      </c>
      <c r="AL375" s="4">
        <v>6</v>
      </c>
      <c r="AM375" s="4">
        <v>7</v>
      </c>
      <c r="AN375" s="4">
        <v>0</v>
      </c>
      <c r="AO375" s="4">
        <v>0</v>
      </c>
      <c r="AP375" s="3" t="s">
        <v>58</v>
      </c>
      <c r="AQ375" s="3" t="s">
        <v>58</v>
      </c>
      <c r="AS375" s="6" t="str">
        <f>HYPERLINK("https://creighton-primo.hosted.exlibrisgroup.com/primo-explore/search?tab=default_tab&amp;search_scope=EVERYTHING&amp;vid=01CRU&amp;lang=en_US&amp;offset=0&amp;query=any,contains,991000665879702656","Catalog Record")</f>
        <v>Catalog Record</v>
      </c>
      <c r="AT375" s="6" t="str">
        <f>HYPERLINK("http://www.worldcat.org/oclc/12278454","WorldCat Record")</f>
        <v>WorldCat Record</v>
      </c>
      <c r="AU375" s="3" t="s">
        <v>5000</v>
      </c>
      <c r="AV375" s="3" t="s">
        <v>5001</v>
      </c>
      <c r="AW375" s="3" t="s">
        <v>5002</v>
      </c>
      <c r="AX375" s="3" t="s">
        <v>5002</v>
      </c>
      <c r="AY375" s="3" t="s">
        <v>5003</v>
      </c>
      <c r="AZ375" s="3" t="s">
        <v>74</v>
      </c>
      <c r="BB375" s="3" t="s">
        <v>5004</v>
      </c>
      <c r="BC375" s="3" t="s">
        <v>5005</v>
      </c>
      <c r="BD375" s="3" t="s">
        <v>5006</v>
      </c>
    </row>
    <row r="376" spans="1:56" ht="42.75" customHeight="1" x14ac:dyDescent="0.25">
      <c r="A376" s="7" t="s">
        <v>58</v>
      </c>
      <c r="B376" s="2" t="s">
        <v>5007</v>
      </c>
      <c r="C376" s="2" t="s">
        <v>5008</v>
      </c>
      <c r="D376" s="2" t="s">
        <v>5009</v>
      </c>
      <c r="F376" s="3" t="s">
        <v>58</v>
      </c>
      <c r="G376" s="3" t="s">
        <v>59</v>
      </c>
      <c r="H376" s="3" t="s">
        <v>58</v>
      </c>
      <c r="I376" s="3" t="s">
        <v>58</v>
      </c>
      <c r="J376" s="3" t="s">
        <v>60</v>
      </c>
      <c r="K376" s="2" t="s">
        <v>5010</v>
      </c>
      <c r="L376" s="2" t="s">
        <v>5011</v>
      </c>
      <c r="M376" s="3" t="s">
        <v>3215</v>
      </c>
      <c r="O376" s="3" t="s">
        <v>64</v>
      </c>
      <c r="P376" s="3" t="s">
        <v>83</v>
      </c>
      <c r="Q376" s="2" t="s">
        <v>5012</v>
      </c>
      <c r="R376" s="3" t="s">
        <v>67</v>
      </c>
      <c r="S376" s="4">
        <v>4</v>
      </c>
      <c r="T376" s="4">
        <v>4</v>
      </c>
      <c r="U376" s="5" t="s">
        <v>4983</v>
      </c>
      <c r="V376" s="5" t="s">
        <v>4983</v>
      </c>
      <c r="W376" s="5" t="s">
        <v>3917</v>
      </c>
      <c r="X376" s="5" t="s">
        <v>3917</v>
      </c>
      <c r="Y376" s="4">
        <v>321</v>
      </c>
      <c r="Z376" s="4">
        <v>269</v>
      </c>
      <c r="AA376" s="4">
        <v>272</v>
      </c>
      <c r="AB376" s="4">
        <v>3</v>
      </c>
      <c r="AC376" s="4">
        <v>3</v>
      </c>
      <c r="AD376" s="4">
        <v>11</v>
      </c>
      <c r="AE376" s="4">
        <v>11</v>
      </c>
      <c r="AF376" s="4">
        <v>4</v>
      </c>
      <c r="AG376" s="4">
        <v>4</v>
      </c>
      <c r="AH376" s="4">
        <v>2</v>
      </c>
      <c r="AI376" s="4">
        <v>2</v>
      </c>
      <c r="AJ376" s="4">
        <v>5</v>
      </c>
      <c r="AK376" s="4">
        <v>5</v>
      </c>
      <c r="AL376" s="4">
        <v>2</v>
      </c>
      <c r="AM376" s="4">
        <v>2</v>
      </c>
      <c r="AN376" s="4">
        <v>0</v>
      </c>
      <c r="AO376" s="4">
        <v>0</v>
      </c>
      <c r="AP376" s="3" t="s">
        <v>58</v>
      </c>
      <c r="AQ376" s="3" t="s">
        <v>86</v>
      </c>
      <c r="AR376" s="6" t="str">
        <f>HYPERLINK("http://catalog.hathitrust.org/Record/000879705","HathiTrust Record")</f>
        <v>HathiTrust Record</v>
      </c>
      <c r="AS376" s="6" t="str">
        <f>HYPERLINK("https://creighton-primo.hosted.exlibrisgroup.com/primo-explore/search?tab=default_tab&amp;search_scope=EVERYTHING&amp;vid=01CRU&amp;lang=en_US&amp;offset=0&amp;query=any,contains,991003050889702656","Catalog Record")</f>
        <v>Catalog Record</v>
      </c>
      <c r="AT376" s="6" t="str">
        <f>HYPERLINK("http://www.worldcat.org/oclc/610702","WorldCat Record")</f>
        <v>WorldCat Record</v>
      </c>
      <c r="AU376" s="3" t="s">
        <v>5013</v>
      </c>
      <c r="AV376" s="3" t="s">
        <v>5014</v>
      </c>
      <c r="AW376" s="3" t="s">
        <v>5015</v>
      </c>
      <c r="AX376" s="3" t="s">
        <v>5015</v>
      </c>
      <c r="AY376" s="3" t="s">
        <v>5016</v>
      </c>
      <c r="AZ376" s="3" t="s">
        <v>74</v>
      </c>
      <c r="BC376" s="3" t="s">
        <v>5017</v>
      </c>
      <c r="BD376" s="3" t="s">
        <v>5018</v>
      </c>
    </row>
    <row r="377" spans="1:56" ht="42.75" customHeight="1" x14ac:dyDescent="0.25">
      <c r="A377" s="7" t="s">
        <v>58</v>
      </c>
      <c r="B377" s="2" t="s">
        <v>5019</v>
      </c>
      <c r="C377" s="2" t="s">
        <v>5020</v>
      </c>
      <c r="D377" s="2" t="s">
        <v>5021</v>
      </c>
      <c r="F377" s="3" t="s">
        <v>58</v>
      </c>
      <c r="G377" s="3" t="s">
        <v>59</v>
      </c>
      <c r="H377" s="3" t="s">
        <v>58</v>
      </c>
      <c r="I377" s="3" t="s">
        <v>58</v>
      </c>
      <c r="J377" s="3" t="s">
        <v>60</v>
      </c>
      <c r="K377" s="2" t="s">
        <v>5022</v>
      </c>
      <c r="L377" s="2" t="s">
        <v>5023</v>
      </c>
      <c r="M377" s="3" t="s">
        <v>114</v>
      </c>
      <c r="O377" s="3" t="s">
        <v>64</v>
      </c>
      <c r="P377" s="3" t="s">
        <v>99</v>
      </c>
      <c r="R377" s="3" t="s">
        <v>67</v>
      </c>
      <c r="S377" s="4">
        <v>6</v>
      </c>
      <c r="T377" s="4">
        <v>6</v>
      </c>
      <c r="U377" s="5" t="s">
        <v>5024</v>
      </c>
      <c r="V377" s="5" t="s">
        <v>5024</v>
      </c>
      <c r="W377" s="5" t="s">
        <v>4999</v>
      </c>
      <c r="X377" s="5" t="s">
        <v>4999</v>
      </c>
      <c r="Y377" s="4">
        <v>287</v>
      </c>
      <c r="Z377" s="4">
        <v>247</v>
      </c>
      <c r="AA377" s="4">
        <v>255</v>
      </c>
      <c r="AB377" s="4">
        <v>3</v>
      </c>
      <c r="AC377" s="4">
        <v>3</v>
      </c>
      <c r="AD377" s="4">
        <v>14</v>
      </c>
      <c r="AE377" s="4">
        <v>14</v>
      </c>
      <c r="AF377" s="4">
        <v>7</v>
      </c>
      <c r="AG377" s="4">
        <v>7</v>
      </c>
      <c r="AH377" s="4">
        <v>2</v>
      </c>
      <c r="AI377" s="4">
        <v>2</v>
      </c>
      <c r="AJ377" s="4">
        <v>6</v>
      </c>
      <c r="AK377" s="4">
        <v>6</v>
      </c>
      <c r="AL377" s="4">
        <v>2</v>
      </c>
      <c r="AM377" s="4">
        <v>2</v>
      </c>
      <c r="AN377" s="4">
        <v>0</v>
      </c>
      <c r="AO377" s="4">
        <v>0</v>
      </c>
      <c r="AP377" s="3" t="s">
        <v>58</v>
      </c>
      <c r="AQ377" s="3" t="s">
        <v>86</v>
      </c>
      <c r="AR377" s="6" t="str">
        <f>HYPERLINK("http://catalog.hathitrust.org/Record/000285369","HathiTrust Record")</f>
        <v>HathiTrust Record</v>
      </c>
      <c r="AS377" s="6" t="str">
        <f>HYPERLINK("https://creighton-primo.hosted.exlibrisgroup.com/primo-explore/search?tab=default_tab&amp;search_scope=EVERYTHING&amp;vid=01CRU&amp;lang=en_US&amp;offset=0&amp;query=any,contains,991000225769702656","Catalog Record")</f>
        <v>Catalog Record</v>
      </c>
      <c r="AT377" s="6" t="str">
        <f>HYPERLINK("http://www.worldcat.org/oclc/9619751","WorldCat Record")</f>
        <v>WorldCat Record</v>
      </c>
      <c r="AU377" s="3" t="s">
        <v>5025</v>
      </c>
      <c r="AV377" s="3" t="s">
        <v>5026</v>
      </c>
      <c r="AW377" s="3" t="s">
        <v>5027</v>
      </c>
      <c r="AX377" s="3" t="s">
        <v>5027</v>
      </c>
      <c r="AY377" s="3" t="s">
        <v>5028</v>
      </c>
      <c r="AZ377" s="3" t="s">
        <v>74</v>
      </c>
      <c r="BB377" s="3" t="s">
        <v>5029</v>
      </c>
      <c r="BC377" s="3" t="s">
        <v>5030</v>
      </c>
      <c r="BD377" s="3" t="s">
        <v>5031</v>
      </c>
    </row>
    <row r="378" spans="1:56" ht="42.75" customHeight="1" x14ac:dyDescent="0.25">
      <c r="A378" s="7" t="s">
        <v>58</v>
      </c>
      <c r="B378" s="2" t="s">
        <v>5032</v>
      </c>
      <c r="C378" s="2" t="s">
        <v>5033</v>
      </c>
      <c r="D378" s="2" t="s">
        <v>5034</v>
      </c>
      <c r="F378" s="3" t="s">
        <v>58</v>
      </c>
      <c r="G378" s="3" t="s">
        <v>59</v>
      </c>
      <c r="H378" s="3" t="s">
        <v>58</v>
      </c>
      <c r="I378" s="3" t="s">
        <v>58</v>
      </c>
      <c r="J378" s="3" t="s">
        <v>60</v>
      </c>
      <c r="K378" s="2" t="s">
        <v>5035</v>
      </c>
      <c r="L378" s="2" t="s">
        <v>5036</v>
      </c>
      <c r="M378" s="3" t="s">
        <v>344</v>
      </c>
      <c r="O378" s="3" t="s">
        <v>64</v>
      </c>
      <c r="P378" s="3" t="s">
        <v>115</v>
      </c>
      <c r="R378" s="3" t="s">
        <v>67</v>
      </c>
      <c r="S378" s="4">
        <v>13</v>
      </c>
      <c r="T378" s="4">
        <v>13</v>
      </c>
      <c r="U378" s="5" t="s">
        <v>5037</v>
      </c>
      <c r="V378" s="5" t="s">
        <v>5037</v>
      </c>
      <c r="W378" s="5" t="s">
        <v>4999</v>
      </c>
      <c r="X378" s="5" t="s">
        <v>4999</v>
      </c>
      <c r="Y378" s="4">
        <v>320</v>
      </c>
      <c r="Z378" s="4">
        <v>299</v>
      </c>
      <c r="AA378" s="4">
        <v>304</v>
      </c>
      <c r="AB378" s="4">
        <v>3</v>
      </c>
      <c r="AC378" s="4">
        <v>3</v>
      </c>
      <c r="AD378" s="4">
        <v>4</v>
      </c>
      <c r="AE378" s="4">
        <v>4</v>
      </c>
      <c r="AF378" s="4">
        <v>1</v>
      </c>
      <c r="AG378" s="4">
        <v>1</v>
      </c>
      <c r="AH378" s="4">
        <v>1</v>
      </c>
      <c r="AI378" s="4">
        <v>1</v>
      </c>
      <c r="AJ378" s="4">
        <v>1</v>
      </c>
      <c r="AK378" s="4">
        <v>1</v>
      </c>
      <c r="AL378" s="4">
        <v>2</v>
      </c>
      <c r="AM378" s="4">
        <v>2</v>
      </c>
      <c r="AN378" s="4">
        <v>0</v>
      </c>
      <c r="AO378" s="4">
        <v>0</v>
      </c>
      <c r="AP378" s="3" t="s">
        <v>58</v>
      </c>
      <c r="AQ378" s="3" t="s">
        <v>58</v>
      </c>
      <c r="AS378" s="6" t="str">
        <f>HYPERLINK("https://creighton-primo.hosted.exlibrisgroup.com/primo-explore/search?tab=default_tab&amp;search_scope=EVERYTHING&amp;vid=01CRU&amp;lang=en_US&amp;offset=0&amp;query=any,contains,991005082029702656","Catalog Record")</f>
        <v>Catalog Record</v>
      </c>
      <c r="AT378" s="6" t="str">
        <f>HYPERLINK("http://www.worldcat.org/oclc/7173508","WorldCat Record")</f>
        <v>WorldCat Record</v>
      </c>
      <c r="AU378" s="3" t="s">
        <v>5038</v>
      </c>
      <c r="AV378" s="3" t="s">
        <v>5039</v>
      </c>
      <c r="AW378" s="3" t="s">
        <v>5040</v>
      </c>
      <c r="AX378" s="3" t="s">
        <v>5040</v>
      </c>
      <c r="AY378" s="3" t="s">
        <v>5041</v>
      </c>
      <c r="AZ378" s="3" t="s">
        <v>74</v>
      </c>
      <c r="BB378" s="3" t="s">
        <v>5042</v>
      </c>
      <c r="BC378" s="3" t="s">
        <v>5043</v>
      </c>
      <c r="BD378" s="3" t="s">
        <v>5044</v>
      </c>
    </row>
    <row r="379" spans="1:56" ht="42.75" customHeight="1" x14ac:dyDescent="0.25">
      <c r="A379" s="7" t="s">
        <v>58</v>
      </c>
      <c r="B379" s="2" t="s">
        <v>5045</v>
      </c>
      <c r="C379" s="2" t="s">
        <v>5046</v>
      </c>
      <c r="D379" s="2" t="s">
        <v>5047</v>
      </c>
      <c r="F379" s="3" t="s">
        <v>58</v>
      </c>
      <c r="G379" s="3" t="s">
        <v>59</v>
      </c>
      <c r="H379" s="3" t="s">
        <v>58</v>
      </c>
      <c r="I379" s="3" t="s">
        <v>58</v>
      </c>
      <c r="J379" s="3" t="s">
        <v>60</v>
      </c>
      <c r="K379" s="2" t="s">
        <v>5048</v>
      </c>
      <c r="L379" s="2" t="s">
        <v>5049</v>
      </c>
      <c r="M379" s="3" t="s">
        <v>4820</v>
      </c>
      <c r="O379" s="3" t="s">
        <v>64</v>
      </c>
      <c r="P379" s="3" t="s">
        <v>224</v>
      </c>
      <c r="R379" s="3" t="s">
        <v>67</v>
      </c>
      <c r="S379" s="4">
        <v>5</v>
      </c>
      <c r="T379" s="4">
        <v>5</v>
      </c>
      <c r="U379" s="5" t="s">
        <v>4983</v>
      </c>
      <c r="V379" s="5" t="s">
        <v>4983</v>
      </c>
      <c r="W379" s="5" t="s">
        <v>5050</v>
      </c>
      <c r="X379" s="5" t="s">
        <v>5050</v>
      </c>
      <c r="Y379" s="4">
        <v>186</v>
      </c>
      <c r="Z379" s="4">
        <v>184</v>
      </c>
      <c r="AA379" s="4">
        <v>553</v>
      </c>
      <c r="AB379" s="4">
        <v>1</v>
      </c>
      <c r="AC379" s="4">
        <v>3</v>
      </c>
      <c r="AD379" s="4">
        <v>7</v>
      </c>
      <c r="AE379" s="4">
        <v>24</v>
      </c>
      <c r="AF379" s="4">
        <v>3</v>
      </c>
      <c r="AG379" s="4">
        <v>10</v>
      </c>
      <c r="AH379" s="4">
        <v>1</v>
      </c>
      <c r="AI379" s="4">
        <v>7</v>
      </c>
      <c r="AJ379" s="4">
        <v>4</v>
      </c>
      <c r="AK379" s="4">
        <v>12</v>
      </c>
      <c r="AL379" s="4">
        <v>0</v>
      </c>
      <c r="AM379" s="4">
        <v>2</v>
      </c>
      <c r="AN379" s="4">
        <v>0</v>
      </c>
      <c r="AO379" s="4">
        <v>0</v>
      </c>
      <c r="AP379" s="3" t="s">
        <v>58</v>
      </c>
      <c r="AQ379" s="3" t="s">
        <v>58</v>
      </c>
      <c r="AS379" s="6" t="str">
        <f>HYPERLINK("https://creighton-primo.hosted.exlibrisgroup.com/primo-explore/search?tab=default_tab&amp;search_scope=EVERYTHING&amp;vid=01CRU&amp;lang=en_US&amp;offset=0&amp;query=any,contains,991002219269702656","Catalog Record")</f>
        <v>Catalog Record</v>
      </c>
      <c r="AT379" s="6" t="str">
        <f>HYPERLINK("http://www.worldcat.org/oclc/289629","WorldCat Record")</f>
        <v>WorldCat Record</v>
      </c>
      <c r="AU379" s="3" t="s">
        <v>5051</v>
      </c>
      <c r="AV379" s="3" t="s">
        <v>5052</v>
      </c>
      <c r="AW379" s="3" t="s">
        <v>5053</v>
      </c>
      <c r="AX379" s="3" t="s">
        <v>5053</v>
      </c>
      <c r="AY379" s="3" t="s">
        <v>5054</v>
      </c>
      <c r="AZ379" s="3" t="s">
        <v>74</v>
      </c>
      <c r="BC379" s="3" t="s">
        <v>5055</v>
      </c>
      <c r="BD379" s="3" t="s">
        <v>5056</v>
      </c>
    </row>
    <row r="380" spans="1:56" ht="42.75" customHeight="1" x14ac:dyDescent="0.25">
      <c r="A380" s="7" t="s">
        <v>58</v>
      </c>
      <c r="B380" s="2" t="s">
        <v>5057</v>
      </c>
      <c r="C380" s="2" t="s">
        <v>5058</v>
      </c>
      <c r="D380" s="2" t="s">
        <v>5059</v>
      </c>
      <c r="F380" s="3" t="s">
        <v>58</v>
      </c>
      <c r="G380" s="3" t="s">
        <v>59</v>
      </c>
      <c r="H380" s="3" t="s">
        <v>58</v>
      </c>
      <c r="I380" s="3" t="s">
        <v>58</v>
      </c>
      <c r="J380" s="3" t="s">
        <v>60</v>
      </c>
      <c r="K380" s="2" t="s">
        <v>5060</v>
      </c>
      <c r="L380" s="2" t="s">
        <v>5061</v>
      </c>
      <c r="M380" s="3" t="s">
        <v>4218</v>
      </c>
      <c r="O380" s="3" t="s">
        <v>64</v>
      </c>
      <c r="P380" s="3" t="s">
        <v>1898</v>
      </c>
      <c r="R380" s="3" t="s">
        <v>67</v>
      </c>
      <c r="S380" s="4">
        <v>1</v>
      </c>
      <c r="T380" s="4">
        <v>1</v>
      </c>
      <c r="U380" s="5" t="s">
        <v>5024</v>
      </c>
      <c r="V380" s="5" t="s">
        <v>5024</v>
      </c>
      <c r="W380" s="5" t="s">
        <v>3917</v>
      </c>
      <c r="X380" s="5" t="s">
        <v>3917</v>
      </c>
      <c r="Y380" s="4">
        <v>452</v>
      </c>
      <c r="Z380" s="4">
        <v>394</v>
      </c>
      <c r="AA380" s="4">
        <v>407</v>
      </c>
      <c r="AB380" s="4">
        <v>7</v>
      </c>
      <c r="AC380" s="4">
        <v>7</v>
      </c>
      <c r="AD380" s="4">
        <v>22</v>
      </c>
      <c r="AE380" s="4">
        <v>24</v>
      </c>
      <c r="AF380" s="4">
        <v>7</v>
      </c>
      <c r="AG380" s="4">
        <v>8</v>
      </c>
      <c r="AH380" s="4">
        <v>3</v>
      </c>
      <c r="AI380" s="4">
        <v>4</v>
      </c>
      <c r="AJ380" s="4">
        <v>10</v>
      </c>
      <c r="AK380" s="4">
        <v>10</v>
      </c>
      <c r="AL380" s="4">
        <v>6</v>
      </c>
      <c r="AM380" s="4">
        <v>6</v>
      </c>
      <c r="AN380" s="4">
        <v>0</v>
      </c>
      <c r="AO380" s="4">
        <v>0</v>
      </c>
      <c r="AP380" s="3" t="s">
        <v>58</v>
      </c>
      <c r="AQ380" s="3" t="s">
        <v>86</v>
      </c>
      <c r="AR380" s="6" t="str">
        <f>HYPERLINK("http://catalog.hathitrust.org/Record/001563474","HathiTrust Record")</f>
        <v>HathiTrust Record</v>
      </c>
      <c r="AS380" s="6" t="str">
        <f>HYPERLINK("https://creighton-primo.hosted.exlibrisgroup.com/primo-explore/search?tab=default_tab&amp;search_scope=EVERYTHING&amp;vid=01CRU&amp;lang=en_US&amp;offset=0&amp;query=any,contains,991005265859702656","Catalog Record")</f>
        <v>Catalog Record</v>
      </c>
      <c r="AT380" s="6" t="str">
        <f>HYPERLINK("http://www.worldcat.org/oclc/645419","WorldCat Record")</f>
        <v>WorldCat Record</v>
      </c>
      <c r="AU380" s="3" t="s">
        <v>5062</v>
      </c>
      <c r="AV380" s="3" t="s">
        <v>5063</v>
      </c>
      <c r="AW380" s="3" t="s">
        <v>5064</v>
      </c>
      <c r="AX380" s="3" t="s">
        <v>5064</v>
      </c>
      <c r="AY380" s="3" t="s">
        <v>5065</v>
      </c>
      <c r="AZ380" s="3" t="s">
        <v>74</v>
      </c>
      <c r="BC380" s="3" t="s">
        <v>5066</v>
      </c>
      <c r="BD380" s="3" t="s">
        <v>5067</v>
      </c>
    </row>
    <row r="381" spans="1:56" ht="42.75" customHeight="1" x14ac:dyDescent="0.25">
      <c r="A381" s="7" t="s">
        <v>58</v>
      </c>
      <c r="B381" s="2" t="s">
        <v>5068</v>
      </c>
      <c r="C381" s="2" t="s">
        <v>5069</v>
      </c>
      <c r="D381" s="2" t="s">
        <v>5070</v>
      </c>
      <c r="F381" s="3" t="s">
        <v>58</v>
      </c>
      <c r="G381" s="3" t="s">
        <v>59</v>
      </c>
      <c r="H381" s="3" t="s">
        <v>58</v>
      </c>
      <c r="I381" s="3" t="s">
        <v>58</v>
      </c>
      <c r="J381" s="3" t="s">
        <v>60</v>
      </c>
      <c r="K381" s="2" t="s">
        <v>5071</v>
      </c>
      <c r="L381" s="2" t="s">
        <v>5072</v>
      </c>
      <c r="M381" s="3" t="s">
        <v>314</v>
      </c>
      <c r="O381" s="3" t="s">
        <v>64</v>
      </c>
      <c r="P381" s="3" t="s">
        <v>83</v>
      </c>
      <c r="R381" s="3" t="s">
        <v>67</v>
      </c>
      <c r="S381" s="4">
        <v>2</v>
      </c>
      <c r="T381" s="4">
        <v>2</v>
      </c>
      <c r="U381" s="5" t="s">
        <v>5073</v>
      </c>
      <c r="V381" s="5" t="s">
        <v>5073</v>
      </c>
      <c r="W381" s="5" t="s">
        <v>5050</v>
      </c>
      <c r="X381" s="5" t="s">
        <v>5050</v>
      </c>
      <c r="Y381" s="4">
        <v>242</v>
      </c>
      <c r="Z381" s="4">
        <v>225</v>
      </c>
      <c r="AA381" s="4">
        <v>227</v>
      </c>
      <c r="AB381" s="4">
        <v>4</v>
      </c>
      <c r="AC381" s="4">
        <v>4</v>
      </c>
      <c r="AD381" s="4">
        <v>8</v>
      </c>
      <c r="AE381" s="4">
        <v>8</v>
      </c>
      <c r="AF381" s="4">
        <v>1</v>
      </c>
      <c r="AG381" s="4">
        <v>1</v>
      </c>
      <c r="AH381" s="4">
        <v>1</v>
      </c>
      <c r="AI381" s="4">
        <v>1</v>
      </c>
      <c r="AJ381" s="4">
        <v>4</v>
      </c>
      <c r="AK381" s="4">
        <v>4</v>
      </c>
      <c r="AL381" s="4">
        <v>3</v>
      </c>
      <c r="AM381" s="4">
        <v>3</v>
      </c>
      <c r="AN381" s="4">
        <v>0</v>
      </c>
      <c r="AO381" s="4">
        <v>0</v>
      </c>
      <c r="AP381" s="3" t="s">
        <v>58</v>
      </c>
      <c r="AQ381" s="3" t="s">
        <v>86</v>
      </c>
      <c r="AR381" s="6" t="str">
        <f>HYPERLINK("http://catalog.hathitrust.org/Record/001563478","HathiTrust Record")</f>
        <v>HathiTrust Record</v>
      </c>
      <c r="AS381" s="6" t="str">
        <f>HYPERLINK("https://creighton-primo.hosted.exlibrisgroup.com/primo-explore/search?tab=default_tab&amp;search_scope=EVERYTHING&amp;vid=01CRU&amp;lang=en_US&amp;offset=0&amp;query=any,contains,991003898379702656","Catalog Record")</f>
        <v>Catalog Record</v>
      </c>
      <c r="AT381" s="6" t="str">
        <f>HYPERLINK("http://www.worldcat.org/oclc/1818009","WorldCat Record")</f>
        <v>WorldCat Record</v>
      </c>
      <c r="AU381" s="3" t="s">
        <v>5074</v>
      </c>
      <c r="AV381" s="3" t="s">
        <v>5075</v>
      </c>
      <c r="AW381" s="3" t="s">
        <v>5076</v>
      </c>
      <c r="AX381" s="3" t="s">
        <v>5076</v>
      </c>
      <c r="AY381" s="3" t="s">
        <v>5077</v>
      </c>
      <c r="AZ381" s="3" t="s">
        <v>74</v>
      </c>
      <c r="BC381" s="3" t="s">
        <v>5078</v>
      </c>
      <c r="BD381" s="3" t="s">
        <v>5079</v>
      </c>
    </row>
    <row r="382" spans="1:56" ht="42.75" customHeight="1" x14ac:dyDescent="0.25">
      <c r="A382" s="7" t="s">
        <v>58</v>
      </c>
      <c r="B382" s="2" t="s">
        <v>5080</v>
      </c>
      <c r="C382" s="2" t="s">
        <v>5081</v>
      </c>
      <c r="D382" s="2" t="s">
        <v>5082</v>
      </c>
      <c r="F382" s="3" t="s">
        <v>58</v>
      </c>
      <c r="G382" s="3" t="s">
        <v>59</v>
      </c>
      <c r="H382" s="3" t="s">
        <v>58</v>
      </c>
      <c r="I382" s="3" t="s">
        <v>58</v>
      </c>
      <c r="J382" s="3" t="s">
        <v>60</v>
      </c>
      <c r="K382" s="2" t="s">
        <v>5083</v>
      </c>
      <c r="L382" s="2" t="s">
        <v>5084</v>
      </c>
      <c r="M382" s="3" t="s">
        <v>5085</v>
      </c>
      <c r="O382" s="3" t="s">
        <v>64</v>
      </c>
      <c r="P382" s="3" t="s">
        <v>2854</v>
      </c>
      <c r="R382" s="3" t="s">
        <v>67</v>
      </c>
      <c r="S382" s="4">
        <v>1</v>
      </c>
      <c r="T382" s="4">
        <v>1</v>
      </c>
      <c r="U382" s="5" t="s">
        <v>4983</v>
      </c>
      <c r="V382" s="5" t="s">
        <v>4983</v>
      </c>
      <c r="W382" s="5" t="s">
        <v>3917</v>
      </c>
      <c r="X382" s="5" t="s">
        <v>3917</v>
      </c>
      <c r="Y382" s="4">
        <v>347</v>
      </c>
      <c r="Z382" s="4">
        <v>310</v>
      </c>
      <c r="AA382" s="4">
        <v>328</v>
      </c>
      <c r="AB382" s="4">
        <v>3</v>
      </c>
      <c r="AC382" s="4">
        <v>3</v>
      </c>
      <c r="AD382" s="4">
        <v>16</v>
      </c>
      <c r="AE382" s="4">
        <v>16</v>
      </c>
      <c r="AF382" s="4">
        <v>5</v>
      </c>
      <c r="AG382" s="4">
        <v>5</v>
      </c>
      <c r="AH382" s="4">
        <v>3</v>
      </c>
      <c r="AI382" s="4">
        <v>3</v>
      </c>
      <c r="AJ382" s="4">
        <v>8</v>
      </c>
      <c r="AK382" s="4">
        <v>8</v>
      </c>
      <c r="AL382" s="4">
        <v>2</v>
      </c>
      <c r="AM382" s="4">
        <v>2</v>
      </c>
      <c r="AN382" s="4">
        <v>0</v>
      </c>
      <c r="AO382" s="4">
        <v>0</v>
      </c>
      <c r="AP382" s="3" t="s">
        <v>58</v>
      </c>
      <c r="AQ382" s="3" t="s">
        <v>86</v>
      </c>
      <c r="AR382" s="6" t="str">
        <f>HYPERLINK("http://catalog.hathitrust.org/Record/001563479","HathiTrust Record")</f>
        <v>HathiTrust Record</v>
      </c>
      <c r="AS382" s="6" t="str">
        <f>HYPERLINK("https://creighton-primo.hosted.exlibrisgroup.com/primo-explore/search?tab=default_tab&amp;search_scope=EVERYTHING&amp;vid=01CRU&amp;lang=en_US&amp;offset=0&amp;query=any,contains,991000949389702656","Catalog Record")</f>
        <v>Catalog Record</v>
      </c>
      <c r="AT382" s="6" t="str">
        <f>HYPERLINK("http://www.worldcat.org/oclc/14618350","WorldCat Record")</f>
        <v>WorldCat Record</v>
      </c>
      <c r="AU382" s="3" t="s">
        <v>5086</v>
      </c>
      <c r="AV382" s="3" t="s">
        <v>5087</v>
      </c>
      <c r="AW382" s="3" t="s">
        <v>5088</v>
      </c>
      <c r="AX382" s="3" t="s">
        <v>5088</v>
      </c>
      <c r="AY382" s="3" t="s">
        <v>5089</v>
      </c>
      <c r="AZ382" s="3" t="s">
        <v>74</v>
      </c>
      <c r="BC382" s="3" t="s">
        <v>5090</v>
      </c>
      <c r="BD382" s="3" t="s">
        <v>5091</v>
      </c>
    </row>
    <row r="383" spans="1:56" ht="42.75" customHeight="1" x14ac:dyDescent="0.25">
      <c r="A383" s="7" t="s">
        <v>58</v>
      </c>
      <c r="B383" s="2" t="s">
        <v>5092</v>
      </c>
      <c r="C383" s="2" t="s">
        <v>5093</v>
      </c>
      <c r="D383" s="2" t="s">
        <v>5094</v>
      </c>
      <c r="F383" s="3" t="s">
        <v>58</v>
      </c>
      <c r="G383" s="3" t="s">
        <v>59</v>
      </c>
      <c r="H383" s="3" t="s">
        <v>58</v>
      </c>
      <c r="I383" s="3" t="s">
        <v>58</v>
      </c>
      <c r="J383" s="3" t="s">
        <v>60</v>
      </c>
      <c r="K383" s="2" t="s">
        <v>5095</v>
      </c>
      <c r="L383" s="2" t="s">
        <v>5096</v>
      </c>
      <c r="M383" s="3" t="s">
        <v>4218</v>
      </c>
      <c r="O383" s="3" t="s">
        <v>64</v>
      </c>
      <c r="P383" s="3" t="s">
        <v>1898</v>
      </c>
      <c r="Q383" s="2" t="s">
        <v>5097</v>
      </c>
      <c r="R383" s="3" t="s">
        <v>67</v>
      </c>
      <c r="S383" s="4">
        <v>4</v>
      </c>
      <c r="T383" s="4">
        <v>4</v>
      </c>
      <c r="U383" s="5" t="s">
        <v>4971</v>
      </c>
      <c r="V383" s="5" t="s">
        <v>4971</v>
      </c>
      <c r="W383" s="5" t="s">
        <v>5098</v>
      </c>
      <c r="X383" s="5" t="s">
        <v>5098</v>
      </c>
      <c r="Y383" s="4">
        <v>471</v>
      </c>
      <c r="Z383" s="4">
        <v>425</v>
      </c>
      <c r="AA383" s="4">
        <v>427</v>
      </c>
      <c r="AB383" s="4">
        <v>6</v>
      </c>
      <c r="AC383" s="4">
        <v>6</v>
      </c>
      <c r="AD383" s="4">
        <v>22</v>
      </c>
      <c r="AE383" s="4">
        <v>22</v>
      </c>
      <c r="AF383" s="4">
        <v>11</v>
      </c>
      <c r="AG383" s="4">
        <v>11</v>
      </c>
      <c r="AH383" s="4">
        <v>2</v>
      </c>
      <c r="AI383" s="4">
        <v>2</v>
      </c>
      <c r="AJ383" s="4">
        <v>10</v>
      </c>
      <c r="AK383" s="4">
        <v>10</v>
      </c>
      <c r="AL383" s="4">
        <v>4</v>
      </c>
      <c r="AM383" s="4">
        <v>4</v>
      </c>
      <c r="AN383" s="4">
        <v>0</v>
      </c>
      <c r="AO383" s="4">
        <v>0</v>
      </c>
      <c r="AP383" s="3" t="s">
        <v>58</v>
      </c>
      <c r="AQ383" s="3" t="s">
        <v>86</v>
      </c>
      <c r="AR383" s="6" t="str">
        <f>HYPERLINK("http://catalog.hathitrust.org/Record/001563480","HathiTrust Record")</f>
        <v>HathiTrust Record</v>
      </c>
      <c r="AS383" s="6" t="str">
        <f>HYPERLINK("https://creighton-primo.hosted.exlibrisgroup.com/primo-explore/search?tab=default_tab&amp;search_scope=EVERYTHING&amp;vid=01CRU&amp;lang=en_US&amp;offset=0&amp;query=any,contains,991005265879702656","Catalog Record")</f>
        <v>Catalog Record</v>
      </c>
      <c r="AT383" s="6" t="str">
        <f>HYPERLINK("http://www.worldcat.org/oclc/610690","WorldCat Record")</f>
        <v>WorldCat Record</v>
      </c>
      <c r="AU383" s="3" t="s">
        <v>5099</v>
      </c>
      <c r="AV383" s="3" t="s">
        <v>5100</v>
      </c>
      <c r="AW383" s="3" t="s">
        <v>5101</v>
      </c>
      <c r="AX383" s="3" t="s">
        <v>5101</v>
      </c>
      <c r="AY383" s="3" t="s">
        <v>5102</v>
      </c>
      <c r="AZ383" s="3" t="s">
        <v>74</v>
      </c>
      <c r="BC383" s="3" t="s">
        <v>5103</v>
      </c>
      <c r="BD383" s="3" t="s">
        <v>5104</v>
      </c>
    </row>
    <row r="384" spans="1:56" ht="42.75" customHeight="1" x14ac:dyDescent="0.25">
      <c r="A384" s="7" t="s">
        <v>58</v>
      </c>
      <c r="B384" s="2" t="s">
        <v>5105</v>
      </c>
      <c r="C384" s="2" t="s">
        <v>5106</v>
      </c>
      <c r="D384" s="2" t="s">
        <v>5107</v>
      </c>
      <c r="F384" s="3" t="s">
        <v>58</v>
      </c>
      <c r="G384" s="3" t="s">
        <v>59</v>
      </c>
      <c r="H384" s="3" t="s">
        <v>58</v>
      </c>
      <c r="I384" s="3" t="s">
        <v>58</v>
      </c>
      <c r="J384" s="3" t="s">
        <v>60</v>
      </c>
      <c r="K384" s="2" t="s">
        <v>5108</v>
      </c>
      <c r="L384" s="2" t="s">
        <v>5109</v>
      </c>
      <c r="M384" s="3" t="s">
        <v>3914</v>
      </c>
      <c r="O384" s="3" t="s">
        <v>64</v>
      </c>
      <c r="P384" s="3" t="s">
        <v>1898</v>
      </c>
      <c r="R384" s="3" t="s">
        <v>67</v>
      </c>
      <c r="S384" s="4">
        <v>2</v>
      </c>
      <c r="T384" s="4">
        <v>2</v>
      </c>
      <c r="U384" s="5" t="s">
        <v>5110</v>
      </c>
      <c r="V384" s="5" t="s">
        <v>5110</v>
      </c>
      <c r="W384" s="5" t="s">
        <v>5098</v>
      </c>
      <c r="X384" s="5" t="s">
        <v>5098</v>
      </c>
      <c r="Y384" s="4">
        <v>288</v>
      </c>
      <c r="Z384" s="4">
        <v>236</v>
      </c>
      <c r="AA384" s="4">
        <v>243</v>
      </c>
      <c r="AB384" s="4">
        <v>3</v>
      </c>
      <c r="AC384" s="4">
        <v>3</v>
      </c>
      <c r="AD384" s="4">
        <v>10</v>
      </c>
      <c r="AE384" s="4">
        <v>10</v>
      </c>
      <c r="AF384" s="4">
        <v>6</v>
      </c>
      <c r="AG384" s="4">
        <v>6</v>
      </c>
      <c r="AH384" s="4">
        <v>1</v>
      </c>
      <c r="AI384" s="4">
        <v>1</v>
      </c>
      <c r="AJ384" s="4">
        <v>4</v>
      </c>
      <c r="AK384" s="4">
        <v>4</v>
      </c>
      <c r="AL384" s="4">
        <v>2</v>
      </c>
      <c r="AM384" s="4">
        <v>2</v>
      </c>
      <c r="AN384" s="4">
        <v>0</v>
      </c>
      <c r="AO384" s="4">
        <v>0</v>
      </c>
      <c r="AP384" s="3" t="s">
        <v>58</v>
      </c>
      <c r="AQ384" s="3" t="s">
        <v>86</v>
      </c>
      <c r="AR384" s="6" t="str">
        <f>HYPERLINK("http://catalog.hathitrust.org/Record/000042784","HathiTrust Record")</f>
        <v>HathiTrust Record</v>
      </c>
      <c r="AS384" s="6" t="str">
        <f>HYPERLINK("https://creighton-primo.hosted.exlibrisgroup.com/primo-explore/search?tab=default_tab&amp;search_scope=EVERYTHING&amp;vid=01CRU&amp;lang=en_US&amp;offset=0&amp;query=any,contains,991003718479702656","Catalog Record")</f>
        <v>Catalog Record</v>
      </c>
      <c r="AT384" s="6" t="str">
        <f>HYPERLINK("http://www.worldcat.org/oclc/1364101","WorldCat Record")</f>
        <v>WorldCat Record</v>
      </c>
      <c r="AU384" s="3" t="s">
        <v>5111</v>
      </c>
      <c r="AV384" s="3" t="s">
        <v>5112</v>
      </c>
      <c r="AW384" s="3" t="s">
        <v>5113</v>
      </c>
      <c r="AX384" s="3" t="s">
        <v>5113</v>
      </c>
      <c r="AY384" s="3" t="s">
        <v>5114</v>
      </c>
      <c r="AZ384" s="3" t="s">
        <v>74</v>
      </c>
      <c r="BB384" s="3" t="s">
        <v>5115</v>
      </c>
      <c r="BC384" s="3" t="s">
        <v>5116</v>
      </c>
      <c r="BD384" s="3" t="s">
        <v>5117</v>
      </c>
    </row>
    <row r="385" spans="1:56" ht="42.75" customHeight="1" x14ac:dyDescent="0.25">
      <c r="A385" s="7" t="s">
        <v>58</v>
      </c>
      <c r="B385" s="2" t="s">
        <v>5118</v>
      </c>
      <c r="C385" s="2" t="s">
        <v>5119</v>
      </c>
      <c r="D385" s="2" t="s">
        <v>5120</v>
      </c>
      <c r="F385" s="3" t="s">
        <v>58</v>
      </c>
      <c r="G385" s="3" t="s">
        <v>59</v>
      </c>
      <c r="H385" s="3" t="s">
        <v>58</v>
      </c>
      <c r="I385" s="3" t="s">
        <v>58</v>
      </c>
      <c r="J385" s="3" t="s">
        <v>60</v>
      </c>
      <c r="K385" s="2" t="s">
        <v>5121</v>
      </c>
      <c r="L385" s="2" t="s">
        <v>5122</v>
      </c>
      <c r="M385" s="3" t="s">
        <v>1235</v>
      </c>
      <c r="O385" s="3" t="s">
        <v>64</v>
      </c>
      <c r="P385" s="3" t="s">
        <v>208</v>
      </c>
      <c r="R385" s="3" t="s">
        <v>67</v>
      </c>
      <c r="S385" s="4">
        <v>1</v>
      </c>
      <c r="T385" s="4">
        <v>1</v>
      </c>
      <c r="U385" s="5" t="s">
        <v>5123</v>
      </c>
      <c r="V385" s="5" t="s">
        <v>5123</v>
      </c>
      <c r="W385" s="5" t="s">
        <v>5123</v>
      </c>
      <c r="X385" s="5" t="s">
        <v>5123</v>
      </c>
      <c r="Y385" s="4">
        <v>709</v>
      </c>
      <c r="Z385" s="4">
        <v>629</v>
      </c>
      <c r="AA385" s="4">
        <v>928</v>
      </c>
      <c r="AB385" s="4">
        <v>4</v>
      </c>
      <c r="AC385" s="4">
        <v>6</v>
      </c>
      <c r="AD385" s="4">
        <v>23</v>
      </c>
      <c r="AE385" s="4">
        <v>28</v>
      </c>
      <c r="AF385" s="4">
        <v>9</v>
      </c>
      <c r="AG385" s="4">
        <v>11</v>
      </c>
      <c r="AH385" s="4">
        <v>6</v>
      </c>
      <c r="AI385" s="4">
        <v>7</v>
      </c>
      <c r="AJ385" s="4">
        <v>11</v>
      </c>
      <c r="AK385" s="4">
        <v>11</v>
      </c>
      <c r="AL385" s="4">
        <v>3</v>
      </c>
      <c r="AM385" s="4">
        <v>5</v>
      </c>
      <c r="AN385" s="4">
        <v>0</v>
      </c>
      <c r="AO385" s="4">
        <v>0</v>
      </c>
      <c r="AP385" s="3" t="s">
        <v>58</v>
      </c>
      <c r="AQ385" s="3" t="s">
        <v>58</v>
      </c>
      <c r="AS385" s="6" t="str">
        <f>HYPERLINK("https://creighton-primo.hosted.exlibrisgroup.com/primo-explore/search?tab=default_tab&amp;search_scope=EVERYTHING&amp;vid=01CRU&amp;lang=en_US&amp;offset=0&amp;query=any,contains,991004834179702656","Catalog Record")</f>
        <v>Catalog Record</v>
      </c>
      <c r="AT385" s="6" t="str">
        <f>HYPERLINK("http://www.worldcat.org/oclc/60791768","WorldCat Record")</f>
        <v>WorldCat Record</v>
      </c>
      <c r="AU385" s="3" t="s">
        <v>5124</v>
      </c>
      <c r="AV385" s="3" t="s">
        <v>5125</v>
      </c>
      <c r="AW385" s="3" t="s">
        <v>5126</v>
      </c>
      <c r="AX385" s="3" t="s">
        <v>5126</v>
      </c>
      <c r="AY385" s="3" t="s">
        <v>5127</v>
      </c>
      <c r="AZ385" s="3" t="s">
        <v>74</v>
      </c>
      <c r="BB385" s="3" t="s">
        <v>5128</v>
      </c>
      <c r="BC385" s="3" t="s">
        <v>5129</v>
      </c>
      <c r="BD385" s="3" t="s">
        <v>5130</v>
      </c>
    </row>
    <row r="386" spans="1:56" ht="42.75" customHeight="1" x14ac:dyDescent="0.25">
      <c r="A386" s="7" t="s">
        <v>58</v>
      </c>
      <c r="B386" s="2" t="s">
        <v>5131</v>
      </c>
      <c r="C386" s="2" t="s">
        <v>5132</v>
      </c>
      <c r="D386" s="2" t="s">
        <v>5133</v>
      </c>
      <c r="F386" s="3" t="s">
        <v>58</v>
      </c>
      <c r="G386" s="3" t="s">
        <v>59</v>
      </c>
      <c r="H386" s="3" t="s">
        <v>58</v>
      </c>
      <c r="I386" s="3" t="s">
        <v>58</v>
      </c>
      <c r="J386" s="3" t="s">
        <v>60</v>
      </c>
      <c r="K386" s="2" t="s">
        <v>5134</v>
      </c>
      <c r="L386" s="2" t="s">
        <v>5135</v>
      </c>
      <c r="M386" s="3" t="s">
        <v>3914</v>
      </c>
      <c r="O386" s="3" t="s">
        <v>64</v>
      </c>
      <c r="P386" s="3" t="s">
        <v>115</v>
      </c>
      <c r="Q386" s="2" t="s">
        <v>5136</v>
      </c>
      <c r="R386" s="3" t="s">
        <v>67</v>
      </c>
      <c r="S386" s="4">
        <v>2</v>
      </c>
      <c r="T386" s="4">
        <v>2</v>
      </c>
      <c r="U386" s="5" t="s">
        <v>5037</v>
      </c>
      <c r="V386" s="5" t="s">
        <v>5037</v>
      </c>
      <c r="W386" s="5" t="s">
        <v>5050</v>
      </c>
      <c r="X386" s="5" t="s">
        <v>5050</v>
      </c>
      <c r="Y386" s="4">
        <v>481</v>
      </c>
      <c r="Z386" s="4">
        <v>413</v>
      </c>
      <c r="AA386" s="4">
        <v>414</v>
      </c>
      <c r="AB386" s="4">
        <v>5</v>
      </c>
      <c r="AC386" s="4">
        <v>5</v>
      </c>
      <c r="AD386" s="4">
        <v>16</v>
      </c>
      <c r="AE386" s="4">
        <v>16</v>
      </c>
      <c r="AF386" s="4">
        <v>6</v>
      </c>
      <c r="AG386" s="4">
        <v>6</v>
      </c>
      <c r="AH386" s="4">
        <v>4</v>
      </c>
      <c r="AI386" s="4">
        <v>4</v>
      </c>
      <c r="AJ386" s="4">
        <v>10</v>
      </c>
      <c r="AK386" s="4">
        <v>10</v>
      </c>
      <c r="AL386" s="4">
        <v>2</v>
      </c>
      <c r="AM386" s="4">
        <v>2</v>
      </c>
      <c r="AN386" s="4">
        <v>0</v>
      </c>
      <c r="AO386" s="4">
        <v>0</v>
      </c>
      <c r="AP386" s="3" t="s">
        <v>58</v>
      </c>
      <c r="AQ386" s="3" t="s">
        <v>86</v>
      </c>
      <c r="AR386" s="6" t="str">
        <f>HYPERLINK("http://catalog.hathitrust.org/Record/010092946","HathiTrust Record")</f>
        <v>HathiTrust Record</v>
      </c>
      <c r="AS386" s="6" t="str">
        <f>HYPERLINK("https://creighton-primo.hosted.exlibrisgroup.com/primo-explore/search?tab=default_tab&amp;search_scope=EVERYTHING&amp;vid=01CRU&amp;lang=en_US&amp;offset=0&amp;query=any,contains,991004076209702656","Catalog Record")</f>
        <v>Catalog Record</v>
      </c>
      <c r="AT386" s="6" t="str">
        <f>HYPERLINK("http://www.worldcat.org/oclc/2318112","WorldCat Record")</f>
        <v>WorldCat Record</v>
      </c>
      <c r="AU386" s="3" t="s">
        <v>5137</v>
      </c>
      <c r="AV386" s="3" t="s">
        <v>5138</v>
      </c>
      <c r="AW386" s="3" t="s">
        <v>5139</v>
      </c>
      <c r="AX386" s="3" t="s">
        <v>5139</v>
      </c>
      <c r="AY386" s="3" t="s">
        <v>5140</v>
      </c>
      <c r="AZ386" s="3" t="s">
        <v>74</v>
      </c>
      <c r="BB386" s="3" t="s">
        <v>5141</v>
      </c>
      <c r="BC386" s="3" t="s">
        <v>5142</v>
      </c>
      <c r="BD386" s="3" t="s">
        <v>5143</v>
      </c>
    </row>
    <row r="387" spans="1:56" ht="42.75" customHeight="1" x14ac:dyDescent="0.25">
      <c r="A387" s="7" t="s">
        <v>58</v>
      </c>
      <c r="B387" s="2" t="s">
        <v>5144</v>
      </c>
      <c r="C387" s="2" t="s">
        <v>5145</v>
      </c>
      <c r="D387" s="2" t="s">
        <v>5146</v>
      </c>
      <c r="F387" s="3" t="s">
        <v>58</v>
      </c>
      <c r="G387" s="3" t="s">
        <v>59</v>
      </c>
      <c r="H387" s="3" t="s">
        <v>86</v>
      </c>
      <c r="I387" s="3" t="s">
        <v>58</v>
      </c>
      <c r="J387" s="3" t="s">
        <v>60</v>
      </c>
      <c r="K387" s="2" t="s">
        <v>5147</v>
      </c>
      <c r="L387" s="2" t="s">
        <v>5148</v>
      </c>
      <c r="M387" s="3" t="s">
        <v>2227</v>
      </c>
      <c r="O387" s="3" t="s">
        <v>64</v>
      </c>
      <c r="P387" s="3" t="s">
        <v>115</v>
      </c>
      <c r="Q387" s="2" t="s">
        <v>5149</v>
      </c>
      <c r="R387" s="3" t="s">
        <v>67</v>
      </c>
      <c r="S387" s="4">
        <v>5</v>
      </c>
      <c r="T387" s="4">
        <v>12</v>
      </c>
      <c r="U387" s="5" t="s">
        <v>5150</v>
      </c>
      <c r="V387" s="5" t="s">
        <v>5151</v>
      </c>
      <c r="W387" s="5" t="s">
        <v>3457</v>
      </c>
      <c r="X387" s="5" t="s">
        <v>3457</v>
      </c>
      <c r="Y387" s="4">
        <v>277</v>
      </c>
      <c r="Z387" s="4">
        <v>202</v>
      </c>
      <c r="AA387" s="4">
        <v>223</v>
      </c>
      <c r="AB387" s="4">
        <v>3</v>
      </c>
      <c r="AC387" s="4">
        <v>3</v>
      </c>
      <c r="AD387" s="4">
        <v>5</v>
      </c>
      <c r="AE387" s="4">
        <v>7</v>
      </c>
      <c r="AF387" s="4">
        <v>2</v>
      </c>
      <c r="AG387" s="4">
        <v>4</v>
      </c>
      <c r="AH387" s="4">
        <v>1</v>
      </c>
      <c r="AI387" s="4">
        <v>1</v>
      </c>
      <c r="AJ387" s="4">
        <v>3</v>
      </c>
      <c r="AK387" s="4">
        <v>4</v>
      </c>
      <c r="AL387" s="4">
        <v>1</v>
      </c>
      <c r="AM387" s="4">
        <v>1</v>
      </c>
      <c r="AN387" s="4">
        <v>0</v>
      </c>
      <c r="AO387" s="4">
        <v>0</v>
      </c>
      <c r="AP387" s="3" t="s">
        <v>58</v>
      </c>
      <c r="AQ387" s="3" t="s">
        <v>58</v>
      </c>
      <c r="AS387" s="6" t="str">
        <f>HYPERLINK("https://creighton-primo.hosted.exlibrisgroup.com/primo-explore/search?tab=default_tab&amp;search_scope=EVERYTHING&amp;vid=01CRU&amp;lang=en_US&amp;offset=0&amp;query=any,contains,991001772999702656","Catalog Record")</f>
        <v>Catalog Record</v>
      </c>
      <c r="AT387" s="6" t="str">
        <f>HYPERLINK("http://www.worldcat.org/oclc/12104387","WorldCat Record")</f>
        <v>WorldCat Record</v>
      </c>
      <c r="AU387" s="3" t="s">
        <v>5152</v>
      </c>
      <c r="AV387" s="3" t="s">
        <v>5153</v>
      </c>
      <c r="AW387" s="3" t="s">
        <v>5154</v>
      </c>
      <c r="AX387" s="3" t="s">
        <v>5154</v>
      </c>
      <c r="AY387" s="3" t="s">
        <v>5155</v>
      </c>
      <c r="AZ387" s="3" t="s">
        <v>74</v>
      </c>
      <c r="BB387" s="3" t="s">
        <v>5156</v>
      </c>
      <c r="BC387" s="3" t="s">
        <v>5157</v>
      </c>
      <c r="BD387" s="3" t="s">
        <v>5158</v>
      </c>
    </row>
    <row r="388" spans="1:56" ht="42.75" customHeight="1" x14ac:dyDescent="0.25">
      <c r="A388" s="7" t="s">
        <v>58</v>
      </c>
      <c r="B388" s="2" t="s">
        <v>5159</v>
      </c>
      <c r="C388" s="2" t="s">
        <v>5160</v>
      </c>
      <c r="D388" s="2" t="s">
        <v>5161</v>
      </c>
      <c r="F388" s="3" t="s">
        <v>58</v>
      </c>
      <c r="G388" s="3" t="s">
        <v>59</v>
      </c>
      <c r="H388" s="3" t="s">
        <v>58</v>
      </c>
      <c r="I388" s="3" t="s">
        <v>58</v>
      </c>
      <c r="J388" s="3" t="s">
        <v>60</v>
      </c>
      <c r="L388" s="2" t="s">
        <v>5162</v>
      </c>
      <c r="M388" s="3" t="s">
        <v>207</v>
      </c>
      <c r="O388" s="3" t="s">
        <v>64</v>
      </c>
      <c r="P388" s="3" t="s">
        <v>115</v>
      </c>
      <c r="R388" s="3" t="s">
        <v>67</v>
      </c>
      <c r="S388" s="4">
        <v>6</v>
      </c>
      <c r="T388" s="4">
        <v>6</v>
      </c>
      <c r="U388" s="5" t="s">
        <v>5150</v>
      </c>
      <c r="V388" s="5" t="s">
        <v>5150</v>
      </c>
      <c r="W388" s="5" t="s">
        <v>4999</v>
      </c>
      <c r="X388" s="5" t="s">
        <v>4999</v>
      </c>
      <c r="Y388" s="4">
        <v>337</v>
      </c>
      <c r="Z388" s="4">
        <v>249</v>
      </c>
      <c r="AA388" s="4">
        <v>489</v>
      </c>
      <c r="AB388" s="4">
        <v>2</v>
      </c>
      <c r="AC388" s="4">
        <v>3</v>
      </c>
      <c r="AD388" s="4">
        <v>10</v>
      </c>
      <c r="AE388" s="4">
        <v>17</v>
      </c>
      <c r="AF388" s="4">
        <v>2</v>
      </c>
      <c r="AG388" s="4">
        <v>5</v>
      </c>
      <c r="AH388" s="4">
        <v>5</v>
      </c>
      <c r="AI388" s="4">
        <v>6</v>
      </c>
      <c r="AJ388" s="4">
        <v>4</v>
      </c>
      <c r="AK388" s="4">
        <v>8</v>
      </c>
      <c r="AL388" s="4">
        <v>1</v>
      </c>
      <c r="AM388" s="4">
        <v>2</v>
      </c>
      <c r="AN388" s="4">
        <v>0</v>
      </c>
      <c r="AO388" s="4">
        <v>0</v>
      </c>
      <c r="AP388" s="3" t="s">
        <v>58</v>
      </c>
      <c r="AQ388" s="3" t="s">
        <v>86</v>
      </c>
      <c r="AR388" s="6" t="str">
        <f>HYPERLINK("http://catalog.hathitrust.org/Record/000106007","HathiTrust Record")</f>
        <v>HathiTrust Record</v>
      </c>
      <c r="AS388" s="6" t="str">
        <f>HYPERLINK("https://creighton-primo.hosted.exlibrisgroup.com/primo-explore/search?tab=default_tab&amp;search_scope=EVERYTHING&amp;vid=01CRU&amp;lang=en_US&amp;offset=0&amp;query=any,contains,991005155399702656","Catalog Record")</f>
        <v>Catalog Record</v>
      </c>
      <c r="AT388" s="6" t="str">
        <f>HYPERLINK("http://www.worldcat.org/oclc/7739081","WorldCat Record")</f>
        <v>WorldCat Record</v>
      </c>
      <c r="AU388" s="3" t="s">
        <v>5163</v>
      </c>
      <c r="AV388" s="3" t="s">
        <v>5164</v>
      </c>
      <c r="AW388" s="3" t="s">
        <v>5165</v>
      </c>
      <c r="AX388" s="3" t="s">
        <v>5165</v>
      </c>
      <c r="AY388" s="3" t="s">
        <v>5166</v>
      </c>
      <c r="AZ388" s="3" t="s">
        <v>74</v>
      </c>
      <c r="BB388" s="3" t="s">
        <v>5167</v>
      </c>
      <c r="BC388" s="3" t="s">
        <v>5168</v>
      </c>
      <c r="BD388" s="3" t="s">
        <v>5169</v>
      </c>
    </row>
    <row r="389" spans="1:56" ht="42.75" customHeight="1" x14ac:dyDescent="0.25">
      <c r="A389" s="7" t="s">
        <v>58</v>
      </c>
      <c r="B389" s="2" t="s">
        <v>5170</v>
      </c>
      <c r="C389" s="2" t="s">
        <v>5171</v>
      </c>
      <c r="D389" s="2" t="s">
        <v>5172</v>
      </c>
      <c r="F389" s="3" t="s">
        <v>58</v>
      </c>
      <c r="G389" s="3" t="s">
        <v>59</v>
      </c>
      <c r="H389" s="3" t="s">
        <v>58</v>
      </c>
      <c r="I389" s="3" t="s">
        <v>58</v>
      </c>
      <c r="J389" s="3" t="s">
        <v>60</v>
      </c>
      <c r="K389" s="2" t="s">
        <v>5173</v>
      </c>
      <c r="L389" s="2" t="s">
        <v>5174</v>
      </c>
      <c r="M389" s="3" t="s">
        <v>4218</v>
      </c>
      <c r="O389" s="3" t="s">
        <v>64</v>
      </c>
      <c r="P389" s="3" t="s">
        <v>83</v>
      </c>
      <c r="R389" s="3" t="s">
        <v>67</v>
      </c>
      <c r="S389" s="4">
        <v>3</v>
      </c>
      <c r="T389" s="4">
        <v>3</v>
      </c>
      <c r="U389" s="5" t="s">
        <v>5175</v>
      </c>
      <c r="V389" s="5" t="s">
        <v>5175</v>
      </c>
      <c r="W389" s="5" t="s">
        <v>5176</v>
      </c>
      <c r="X389" s="5" t="s">
        <v>5176</v>
      </c>
      <c r="Y389" s="4">
        <v>511</v>
      </c>
      <c r="Z389" s="4">
        <v>446</v>
      </c>
      <c r="AA389" s="4">
        <v>452</v>
      </c>
      <c r="AB389" s="4">
        <v>5</v>
      </c>
      <c r="AC389" s="4">
        <v>5</v>
      </c>
      <c r="AD389" s="4">
        <v>21</v>
      </c>
      <c r="AE389" s="4">
        <v>21</v>
      </c>
      <c r="AF389" s="4">
        <v>8</v>
      </c>
      <c r="AG389" s="4">
        <v>8</v>
      </c>
      <c r="AH389" s="4">
        <v>6</v>
      </c>
      <c r="AI389" s="4">
        <v>6</v>
      </c>
      <c r="AJ389" s="4">
        <v>11</v>
      </c>
      <c r="AK389" s="4">
        <v>11</v>
      </c>
      <c r="AL389" s="4">
        <v>3</v>
      </c>
      <c r="AM389" s="4">
        <v>3</v>
      </c>
      <c r="AN389" s="4">
        <v>0</v>
      </c>
      <c r="AO389" s="4">
        <v>0</v>
      </c>
      <c r="AP389" s="3" t="s">
        <v>58</v>
      </c>
      <c r="AQ389" s="3" t="s">
        <v>86</v>
      </c>
      <c r="AR389" s="6" t="str">
        <f>HYPERLINK("http://catalog.hathitrust.org/Record/001563489","HathiTrust Record")</f>
        <v>HathiTrust Record</v>
      </c>
      <c r="AS389" s="6" t="str">
        <f>HYPERLINK("https://creighton-primo.hosted.exlibrisgroup.com/primo-explore/search?tab=default_tab&amp;search_scope=EVERYTHING&amp;vid=01CRU&amp;lang=en_US&amp;offset=0&amp;query=any,contains,991005266179702656","Catalog Record")</f>
        <v>Catalog Record</v>
      </c>
      <c r="AT389" s="6" t="str">
        <f>HYPERLINK("http://www.worldcat.org/oclc/400306","WorldCat Record")</f>
        <v>WorldCat Record</v>
      </c>
      <c r="AU389" s="3" t="s">
        <v>5177</v>
      </c>
      <c r="AV389" s="3" t="s">
        <v>5178</v>
      </c>
      <c r="AW389" s="3" t="s">
        <v>5179</v>
      </c>
      <c r="AX389" s="3" t="s">
        <v>5179</v>
      </c>
      <c r="AY389" s="3" t="s">
        <v>5180</v>
      </c>
      <c r="AZ389" s="3" t="s">
        <v>74</v>
      </c>
      <c r="BC389" s="3" t="s">
        <v>5181</v>
      </c>
      <c r="BD389" s="3" t="s">
        <v>5182</v>
      </c>
    </row>
    <row r="390" spans="1:56" ht="42.75" customHeight="1" x14ac:dyDescent="0.25">
      <c r="A390" s="7" t="s">
        <v>58</v>
      </c>
      <c r="B390" s="2" t="s">
        <v>5183</v>
      </c>
      <c r="C390" s="2" t="s">
        <v>5184</v>
      </c>
      <c r="D390" s="2" t="s">
        <v>5185</v>
      </c>
      <c r="F390" s="3" t="s">
        <v>58</v>
      </c>
      <c r="G390" s="3" t="s">
        <v>59</v>
      </c>
      <c r="H390" s="3" t="s">
        <v>58</v>
      </c>
      <c r="I390" s="3" t="s">
        <v>58</v>
      </c>
      <c r="J390" s="3" t="s">
        <v>60</v>
      </c>
      <c r="K390" s="2" t="s">
        <v>5186</v>
      </c>
      <c r="L390" s="2" t="s">
        <v>5187</v>
      </c>
      <c r="M390" s="3" t="s">
        <v>3914</v>
      </c>
      <c r="O390" s="3" t="s">
        <v>64</v>
      </c>
      <c r="P390" s="3" t="s">
        <v>83</v>
      </c>
      <c r="R390" s="3" t="s">
        <v>67</v>
      </c>
      <c r="S390" s="4">
        <v>1</v>
      </c>
      <c r="T390" s="4">
        <v>1</v>
      </c>
      <c r="U390" s="5" t="s">
        <v>5188</v>
      </c>
      <c r="V390" s="5" t="s">
        <v>5188</v>
      </c>
      <c r="W390" s="5" t="s">
        <v>3917</v>
      </c>
      <c r="X390" s="5" t="s">
        <v>3917</v>
      </c>
      <c r="Y390" s="4">
        <v>124</v>
      </c>
      <c r="Z390" s="4">
        <v>102</v>
      </c>
      <c r="AA390" s="4">
        <v>127</v>
      </c>
      <c r="AB390" s="4">
        <v>1</v>
      </c>
      <c r="AC390" s="4">
        <v>1</v>
      </c>
      <c r="AD390" s="4">
        <v>4</v>
      </c>
      <c r="AE390" s="4">
        <v>4</v>
      </c>
      <c r="AF390" s="4">
        <v>3</v>
      </c>
      <c r="AG390" s="4">
        <v>3</v>
      </c>
      <c r="AH390" s="4">
        <v>1</v>
      </c>
      <c r="AI390" s="4">
        <v>1</v>
      </c>
      <c r="AJ390" s="4">
        <v>4</v>
      </c>
      <c r="AK390" s="4">
        <v>4</v>
      </c>
      <c r="AL390" s="4">
        <v>0</v>
      </c>
      <c r="AM390" s="4">
        <v>0</v>
      </c>
      <c r="AN390" s="4">
        <v>0</v>
      </c>
      <c r="AO390" s="4">
        <v>0</v>
      </c>
      <c r="AP390" s="3" t="s">
        <v>58</v>
      </c>
      <c r="AQ390" s="3" t="s">
        <v>58</v>
      </c>
      <c r="AS390" s="6" t="str">
        <f>HYPERLINK("https://creighton-primo.hosted.exlibrisgroup.com/primo-explore/search?tab=default_tab&amp;search_scope=EVERYTHING&amp;vid=01CRU&amp;lang=en_US&amp;offset=0&amp;query=any,contains,991004066039702656","Catalog Record")</f>
        <v>Catalog Record</v>
      </c>
      <c r="AT390" s="6" t="str">
        <f>HYPERLINK("http://www.worldcat.org/oclc/2284072","WorldCat Record")</f>
        <v>WorldCat Record</v>
      </c>
      <c r="AU390" s="3" t="s">
        <v>5189</v>
      </c>
      <c r="AV390" s="3" t="s">
        <v>5190</v>
      </c>
      <c r="AW390" s="3" t="s">
        <v>5191</v>
      </c>
      <c r="AX390" s="3" t="s">
        <v>5191</v>
      </c>
      <c r="AY390" s="3" t="s">
        <v>5192</v>
      </c>
      <c r="AZ390" s="3" t="s">
        <v>74</v>
      </c>
      <c r="BB390" s="3" t="s">
        <v>5193</v>
      </c>
      <c r="BC390" s="3" t="s">
        <v>5194</v>
      </c>
      <c r="BD390" s="3" t="s">
        <v>5195</v>
      </c>
    </row>
    <row r="391" spans="1:56" ht="42.75" customHeight="1" x14ac:dyDescent="0.25">
      <c r="A391" s="7" t="s">
        <v>58</v>
      </c>
      <c r="B391" s="2" t="s">
        <v>5196</v>
      </c>
      <c r="C391" s="2" t="s">
        <v>5197</v>
      </c>
      <c r="D391" s="2" t="s">
        <v>5198</v>
      </c>
      <c r="F391" s="3" t="s">
        <v>58</v>
      </c>
      <c r="G391" s="3" t="s">
        <v>59</v>
      </c>
      <c r="H391" s="3" t="s">
        <v>58</v>
      </c>
      <c r="I391" s="3" t="s">
        <v>58</v>
      </c>
      <c r="J391" s="3" t="s">
        <v>60</v>
      </c>
      <c r="K391" s="2" t="s">
        <v>4078</v>
      </c>
      <c r="L391" s="2" t="s">
        <v>5199</v>
      </c>
      <c r="M391" s="3" t="s">
        <v>5200</v>
      </c>
      <c r="O391" s="3" t="s">
        <v>64</v>
      </c>
      <c r="P391" s="3" t="s">
        <v>83</v>
      </c>
      <c r="R391" s="3" t="s">
        <v>67</v>
      </c>
      <c r="S391" s="4">
        <v>4</v>
      </c>
      <c r="T391" s="4">
        <v>4</v>
      </c>
      <c r="U391" s="5" t="s">
        <v>5201</v>
      </c>
      <c r="V391" s="5" t="s">
        <v>5201</v>
      </c>
      <c r="W391" s="5" t="s">
        <v>3457</v>
      </c>
      <c r="X391" s="5" t="s">
        <v>3457</v>
      </c>
      <c r="Y391" s="4">
        <v>460</v>
      </c>
      <c r="Z391" s="4">
        <v>394</v>
      </c>
      <c r="AA391" s="4">
        <v>407</v>
      </c>
      <c r="AB391" s="4">
        <v>3</v>
      </c>
      <c r="AC391" s="4">
        <v>3</v>
      </c>
      <c r="AD391" s="4">
        <v>11</v>
      </c>
      <c r="AE391" s="4">
        <v>11</v>
      </c>
      <c r="AF391" s="4">
        <v>4</v>
      </c>
      <c r="AG391" s="4">
        <v>4</v>
      </c>
      <c r="AH391" s="4">
        <v>2</v>
      </c>
      <c r="AI391" s="4">
        <v>2</v>
      </c>
      <c r="AJ391" s="4">
        <v>8</v>
      </c>
      <c r="AK391" s="4">
        <v>8</v>
      </c>
      <c r="AL391" s="4">
        <v>1</v>
      </c>
      <c r="AM391" s="4">
        <v>1</v>
      </c>
      <c r="AN391" s="4">
        <v>0</v>
      </c>
      <c r="AO391" s="4">
        <v>0</v>
      </c>
      <c r="AP391" s="3" t="s">
        <v>58</v>
      </c>
      <c r="AQ391" s="3" t="s">
        <v>86</v>
      </c>
      <c r="AR391" s="6" t="str">
        <f>HYPERLINK("http://catalog.hathitrust.org/Record/001563492","HathiTrust Record")</f>
        <v>HathiTrust Record</v>
      </c>
      <c r="AS391" s="6" t="str">
        <f>HYPERLINK("https://creighton-primo.hosted.exlibrisgroup.com/primo-explore/search?tab=default_tab&amp;search_scope=EVERYTHING&amp;vid=01CRU&amp;lang=en_US&amp;offset=0&amp;query=any,contains,991002412359702656","Catalog Record")</f>
        <v>Catalog Record</v>
      </c>
      <c r="AT391" s="6" t="str">
        <f>HYPERLINK("http://www.worldcat.org/oclc/340253","WorldCat Record")</f>
        <v>WorldCat Record</v>
      </c>
      <c r="AU391" s="3" t="s">
        <v>5202</v>
      </c>
      <c r="AV391" s="3" t="s">
        <v>5203</v>
      </c>
      <c r="AW391" s="3" t="s">
        <v>5204</v>
      </c>
      <c r="AX391" s="3" t="s">
        <v>5204</v>
      </c>
      <c r="AY391" s="3" t="s">
        <v>5205</v>
      </c>
      <c r="AZ391" s="3" t="s">
        <v>74</v>
      </c>
      <c r="BB391" s="3" t="s">
        <v>5206</v>
      </c>
      <c r="BC391" s="3" t="s">
        <v>5207</v>
      </c>
      <c r="BD391" s="3" t="s">
        <v>5208</v>
      </c>
    </row>
    <row r="392" spans="1:56" ht="42.75" customHeight="1" x14ac:dyDescent="0.25">
      <c r="A392" s="7" t="s">
        <v>58</v>
      </c>
      <c r="B392" s="2" t="s">
        <v>5209</v>
      </c>
      <c r="C392" s="2" t="s">
        <v>5210</v>
      </c>
      <c r="D392" s="2" t="s">
        <v>5211</v>
      </c>
      <c r="F392" s="3" t="s">
        <v>58</v>
      </c>
      <c r="G392" s="3" t="s">
        <v>59</v>
      </c>
      <c r="H392" s="3" t="s">
        <v>58</v>
      </c>
      <c r="I392" s="3" t="s">
        <v>58</v>
      </c>
      <c r="J392" s="3" t="s">
        <v>60</v>
      </c>
      <c r="K392" s="2" t="s">
        <v>5212</v>
      </c>
      <c r="L392" s="2" t="s">
        <v>5213</v>
      </c>
      <c r="M392" s="3" t="s">
        <v>82</v>
      </c>
      <c r="O392" s="3" t="s">
        <v>64</v>
      </c>
      <c r="P392" s="3" t="s">
        <v>65</v>
      </c>
      <c r="R392" s="3" t="s">
        <v>67</v>
      </c>
      <c r="S392" s="4">
        <v>6</v>
      </c>
      <c r="T392" s="4">
        <v>6</v>
      </c>
      <c r="U392" s="5" t="s">
        <v>5214</v>
      </c>
      <c r="V392" s="5" t="s">
        <v>5214</v>
      </c>
      <c r="W392" s="5" t="s">
        <v>3457</v>
      </c>
      <c r="X392" s="5" t="s">
        <v>3457</v>
      </c>
      <c r="Y392" s="4">
        <v>327</v>
      </c>
      <c r="Z392" s="4">
        <v>219</v>
      </c>
      <c r="AA392" s="4">
        <v>227</v>
      </c>
      <c r="AB392" s="4">
        <v>2</v>
      </c>
      <c r="AC392" s="4">
        <v>2</v>
      </c>
      <c r="AD392" s="4">
        <v>9</v>
      </c>
      <c r="AE392" s="4">
        <v>9</v>
      </c>
      <c r="AF392" s="4">
        <v>2</v>
      </c>
      <c r="AG392" s="4">
        <v>2</v>
      </c>
      <c r="AH392" s="4">
        <v>3</v>
      </c>
      <c r="AI392" s="4">
        <v>3</v>
      </c>
      <c r="AJ392" s="4">
        <v>6</v>
      </c>
      <c r="AK392" s="4">
        <v>6</v>
      </c>
      <c r="AL392" s="4">
        <v>1</v>
      </c>
      <c r="AM392" s="4">
        <v>1</v>
      </c>
      <c r="AN392" s="4">
        <v>0</v>
      </c>
      <c r="AO392" s="4">
        <v>0</v>
      </c>
      <c r="AP392" s="3" t="s">
        <v>58</v>
      </c>
      <c r="AQ392" s="3" t="s">
        <v>86</v>
      </c>
      <c r="AR392" s="6" t="str">
        <f>HYPERLINK("http://catalog.hathitrust.org/Record/000807986","HathiTrust Record")</f>
        <v>HathiTrust Record</v>
      </c>
      <c r="AS392" s="6" t="str">
        <f>HYPERLINK("https://creighton-primo.hosted.exlibrisgroup.com/primo-explore/search?tab=default_tab&amp;search_scope=EVERYTHING&amp;vid=01CRU&amp;lang=en_US&amp;offset=0&amp;query=any,contains,991000879279702656","Catalog Record")</f>
        <v>Catalog Record</v>
      </c>
      <c r="AT392" s="6" t="str">
        <f>HYPERLINK("http://www.worldcat.org/oclc/13822607","WorldCat Record")</f>
        <v>WorldCat Record</v>
      </c>
      <c r="AU392" s="3" t="s">
        <v>5215</v>
      </c>
      <c r="AV392" s="3" t="s">
        <v>5216</v>
      </c>
      <c r="AW392" s="3" t="s">
        <v>5217</v>
      </c>
      <c r="AX392" s="3" t="s">
        <v>5217</v>
      </c>
      <c r="AY392" s="3" t="s">
        <v>5218</v>
      </c>
      <c r="AZ392" s="3" t="s">
        <v>74</v>
      </c>
      <c r="BB392" s="3" t="s">
        <v>5219</v>
      </c>
      <c r="BC392" s="3" t="s">
        <v>5220</v>
      </c>
      <c r="BD392" s="3" t="s">
        <v>5221</v>
      </c>
    </row>
    <row r="393" spans="1:56" ht="42.75" customHeight="1" x14ac:dyDescent="0.25">
      <c r="A393" s="7" t="s">
        <v>58</v>
      </c>
      <c r="B393" s="2" t="s">
        <v>5222</v>
      </c>
      <c r="C393" s="2" t="s">
        <v>5223</v>
      </c>
      <c r="D393" s="2" t="s">
        <v>5224</v>
      </c>
      <c r="F393" s="3" t="s">
        <v>58</v>
      </c>
      <c r="G393" s="3" t="s">
        <v>59</v>
      </c>
      <c r="H393" s="3" t="s">
        <v>58</v>
      </c>
      <c r="I393" s="3" t="s">
        <v>58</v>
      </c>
      <c r="J393" s="3" t="s">
        <v>60</v>
      </c>
      <c r="K393" s="2" t="s">
        <v>5225</v>
      </c>
      <c r="L393" s="2" t="s">
        <v>5226</v>
      </c>
      <c r="M393" s="3" t="s">
        <v>238</v>
      </c>
      <c r="O393" s="3" t="s">
        <v>64</v>
      </c>
      <c r="P393" s="3" t="s">
        <v>115</v>
      </c>
      <c r="R393" s="3" t="s">
        <v>67</v>
      </c>
      <c r="S393" s="4">
        <v>4</v>
      </c>
      <c r="T393" s="4">
        <v>4</v>
      </c>
      <c r="U393" s="5" t="s">
        <v>5201</v>
      </c>
      <c r="V393" s="5" t="s">
        <v>5201</v>
      </c>
      <c r="W393" s="5" t="s">
        <v>4999</v>
      </c>
      <c r="X393" s="5" t="s">
        <v>4999</v>
      </c>
      <c r="Y393" s="4">
        <v>329</v>
      </c>
      <c r="Z393" s="4">
        <v>257</v>
      </c>
      <c r="AA393" s="4">
        <v>265</v>
      </c>
      <c r="AB393" s="4">
        <v>2</v>
      </c>
      <c r="AC393" s="4">
        <v>2</v>
      </c>
      <c r="AD393" s="4">
        <v>10</v>
      </c>
      <c r="AE393" s="4">
        <v>10</v>
      </c>
      <c r="AF393" s="4">
        <v>3</v>
      </c>
      <c r="AG393" s="4">
        <v>3</v>
      </c>
      <c r="AH393" s="4">
        <v>3</v>
      </c>
      <c r="AI393" s="4">
        <v>3</v>
      </c>
      <c r="AJ393" s="4">
        <v>5</v>
      </c>
      <c r="AK393" s="4">
        <v>5</v>
      </c>
      <c r="AL393" s="4">
        <v>1</v>
      </c>
      <c r="AM393" s="4">
        <v>1</v>
      </c>
      <c r="AN393" s="4">
        <v>0</v>
      </c>
      <c r="AO393" s="4">
        <v>0</v>
      </c>
      <c r="AP393" s="3" t="s">
        <v>58</v>
      </c>
      <c r="AQ393" s="3" t="s">
        <v>86</v>
      </c>
      <c r="AR393" s="6" t="str">
        <f>HYPERLINK("http://catalog.hathitrust.org/Record/000754597","HathiTrust Record")</f>
        <v>HathiTrust Record</v>
      </c>
      <c r="AS393" s="6" t="str">
        <f>HYPERLINK("https://creighton-primo.hosted.exlibrisgroup.com/primo-explore/search?tab=default_tab&amp;search_scope=EVERYTHING&amp;vid=01CRU&amp;lang=en_US&amp;offset=0&amp;query=any,contains,991004790559702656","Catalog Record")</f>
        <v>Catalog Record</v>
      </c>
      <c r="AT393" s="6" t="str">
        <f>HYPERLINK("http://www.worldcat.org/oclc/5170970","WorldCat Record")</f>
        <v>WorldCat Record</v>
      </c>
      <c r="AU393" s="3" t="s">
        <v>5227</v>
      </c>
      <c r="AV393" s="3" t="s">
        <v>5228</v>
      </c>
      <c r="AW393" s="3" t="s">
        <v>5229</v>
      </c>
      <c r="AX393" s="3" t="s">
        <v>5229</v>
      </c>
      <c r="AY393" s="3" t="s">
        <v>5230</v>
      </c>
      <c r="AZ393" s="3" t="s">
        <v>74</v>
      </c>
      <c r="BB393" s="3" t="s">
        <v>5231</v>
      </c>
      <c r="BC393" s="3" t="s">
        <v>5232</v>
      </c>
      <c r="BD393" s="3" t="s">
        <v>5233</v>
      </c>
    </row>
    <row r="394" spans="1:56" ht="42.75" customHeight="1" x14ac:dyDescent="0.25">
      <c r="A394" s="7" t="s">
        <v>58</v>
      </c>
      <c r="B394" s="2" t="s">
        <v>5234</v>
      </c>
      <c r="C394" s="2" t="s">
        <v>5235</v>
      </c>
      <c r="D394" s="2" t="s">
        <v>5236</v>
      </c>
      <c r="F394" s="3" t="s">
        <v>58</v>
      </c>
      <c r="G394" s="3" t="s">
        <v>59</v>
      </c>
      <c r="H394" s="3" t="s">
        <v>58</v>
      </c>
      <c r="I394" s="3" t="s">
        <v>58</v>
      </c>
      <c r="J394" s="3" t="s">
        <v>60</v>
      </c>
      <c r="K394" s="2" t="s">
        <v>5237</v>
      </c>
      <c r="L394" s="2" t="s">
        <v>5238</v>
      </c>
      <c r="M394" s="3" t="s">
        <v>82</v>
      </c>
      <c r="N394" s="2" t="s">
        <v>1736</v>
      </c>
      <c r="O394" s="3" t="s">
        <v>64</v>
      </c>
      <c r="P394" s="3" t="s">
        <v>5239</v>
      </c>
      <c r="R394" s="3" t="s">
        <v>67</v>
      </c>
      <c r="S394" s="4">
        <v>4</v>
      </c>
      <c r="T394" s="4">
        <v>4</v>
      </c>
      <c r="U394" s="5" t="s">
        <v>4767</v>
      </c>
      <c r="V394" s="5" t="s">
        <v>4767</v>
      </c>
      <c r="W394" s="5" t="s">
        <v>4999</v>
      </c>
      <c r="X394" s="5" t="s">
        <v>4999</v>
      </c>
      <c r="Y394" s="4">
        <v>4</v>
      </c>
      <c r="Z394" s="4">
        <v>4</v>
      </c>
      <c r="AA394" s="4">
        <v>4</v>
      </c>
      <c r="AB394" s="4">
        <v>2</v>
      </c>
      <c r="AC394" s="4">
        <v>2</v>
      </c>
      <c r="AD394" s="4">
        <v>0</v>
      </c>
      <c r="AE394" s="4">
        <v>0</v>
      </c>
      <c r="AF394" s="4">
        <v>0</v>
      </c>
      <c r="AG394" s="4">
        <v>0</v>
      </c>
      <c r="AH394" s="4">
        <v>0</v>
      </c>
      <c r="AI394" s="4">
        <v>0</v>
      </c>
      <c r="AJ394" s="4">
        <v>0</v>
      </c>
      <c r="AK394" s="4">
        <v>0</v>
      </c>
      <c r="AL394" s="4">
        <v>0</v>
      </c>
      <c r="AM394" s="4">
        <v>0</v>
      </c>
      <c r="AN394" s="4">
        <v>0</v>
      </c>
      <c r="AO394" s="4">
        <v>0</v>
      </c>
      <c r="AP394" s="3" t="s">
        <v>58</v>
      </c>
      <c r="AQ394" s="3" t="s">
        <v>58</v>
      </c>
      <c r="AS394" s="6" t="str">
        <f>HYPERLINK("https://creighton-primo.hosted.exlibrisgroup.com/primo-explore/search?tab=default_tab&amp;search_scope=EVERYTHING&amp;vid=01CRU&amp;lang=en_US&amp;offset=0&amp;query=any,contains,991001127689702656","Catalog Record")</f>
        <v>Catalog Record</v>
      </c>
      <c r="AT394" s="6" t="str">
        <f>HYPERLINK("http://www.worldcat.org/oclc/16663099","WorldCat Record")</f>
        <v>WorldCat Record</v>
      </c>
      <c r="AU394" s="3" t="s">
        <v>5240</v>
      </c>
      <c r="AV394" s="3" t="s">
        <v>5241</v>
      </c>
      <c r="AW394" s="3" t="s">
        <v>5242</v>
      </c>
      <c r="AX394" s="3" t="s">
        <v>5242</v>
      </c>
      <c r="AY394" s="3" t="s">
        <v>5243</v>
      </c>
      <c r="AZ394" s="3" t="s">
        <v>74</v>
      </c>
      <c r="BC394" s="3" t="s">
        <v>5244</v>
      </c>
      <c r="BD394" s="3" t="s">
        <v>5245</v>
      </c>
    </row>
    <row r="395" spans="1:56" ht="42.75" customHeight="1" x14ac:dyDescent="0.25">
      <c r="A395" s="7" t="s">
        <v>58</v>
      </c>
      <c r="B395" s="2" t="s">
        <v>5246</v>
      </c>
      <c r="C395" s="2" t="s">
        <v>5247</v>
      </c>
      <c r="D395" s="2" t="s">
        <v>5248</v>
      </c>
      <c r="F395" s="3" t="s">
        <v>58</v>
      </c>
      <c r="G395" s="3" t="s">
        <v>59</v>
      </c>
      <c r="H395" s="3" t="s">
        <v>58</v>
      </c>
      <c r="I395" s="3" t="s">
        <v>58</v>
      </c>
      <c r="J395" s="3" t="s">
        <v>60</v>
      </c>
      <c r="K395" s="2" t="s">
        <v>5249</v>
      </c>
      <c r="L395" s="2" t="s">
        <v>5250</v>
      </c>
      <c r="M395" s="3" t="s">
        <v>3914</v>
      </c>
      <c r="N395" s="2" t="s">
        <v>3823</v>
      </c>
      <c r="O395" s="3" t="s">
        <v>64</v>
      </c>
      <c r="P395" s="3" t="s">
        <v>145</v>
      </c>
      <c r="Q395" s="2" t="s">
        <v>5251</v>
      </c>
      <c r="R395" s="3" t="s">
        <v>67</v>
      </c>
      <c r="S395" s="4">
        <v>1</v>
      </c>
      <c r="T395" s="4">
        <v>1</v>
      </c>
      <c r="U395" s="5" t="s">
        <v>5252</v>
      </c>
      <c r="V395" s="5" t="s">
        <v>5252</v>
      </c>
      <c r="W395" s="5" t="s">
        <v>3917</v>
      </c>
      <c r="X395" s="5" t="s">
        <v>3917</v>
      </c>
      <c r="Y395" s="4">
        <v>35</v>
      </c>
      <c r="Z395" s="4">
        <v>33</v>
      </c>
      <c r="AA395" s="4">
        <v>35</v>
      </c>
      <c r="AB395" s="4">
        <v>4</v>
      </c>
      <c r="AC395" s="4">
        <v>4</v>
      </c>
      <c r="AD395" s="4">
        <v>3</v>
      </c>
      <c r="AE395" s="4">
        <v>3</v>
      </c>
      <c r="AF395" s="4">
        <v>0</v>
      </c>
      <c r="AG395" s="4">
        <v>0</v>
      </c>
      <c r="AH395" s="4">
        <v>0</v>
      </c>
      <c r="AI395" s="4">
        <v>0</v>
      </c>
      <c r="AJ395" s="4">
        <v>0</v>
      </c>
      <c r="AK395" s="4">
        <v>0</v>
      </c>
      <c r="AL395" s="4">
        <v>3</v>
      </c>
      <c r="AM395" s="4">
        <v>3</v>
      </c>
      <c r="AN395" s="4">
        <v>0</v>
      </c>
      <c r="AO395" s="4">
        <v>0</v>
      </c>
      <c r="AP395" s="3" t="s">
        <v>58</v>
      </c>
      <c r="AQ395" s="3" t="s">
        <v>86</v>
      </c>
      <c r="AR395" s="6" t="str">
        <f>HYPERLINK("http://catalog.hathitrust.org/Record/010377481","HathiTrust Record")</f>
        <v>HathiTrust Record</v>
      </c>
      <c r="AS395" s="6" t="str">
        <f>HYPERLINK("https://creighton-primo.hosted.exlibrisgroup.com/primo-explore/search?tab=default_tab&amp;search_scope=EVERYTHING&amp;vid=01CRU&amp;lang=en_US&amp;offset=0&amp;query=any,contains,991004196149702656","Catalog Record")</f>
        <v>Catalog Record</v>
      </c>
      <c r="AT395" s="6" t="str">
        <f>HYPERLINK("http://www.worldcat.org/oclc/2644622","WorldCat Record")</f>
        <v>WorldCat Record</v>
      </c>
      <c r="AU395" s="3" t="s">
        <v>5253</v>
      </c>
      <c r="AV395" s="3" t="s">
        <v>5254</v>
      </c>
      <c r="AW395" s="3" t="s">
        <v>5255</v>
      </c>
      <c r="AX395" s="3" t="s">
        <v>5255</v>
      </c>
      <c r="AY395" s="3" t="s">
        <v>5256</v>
      </c>
      <c r="AZ395" s="3" t="s">
        <v>74</v>
      </c>
      <c r="BC395" s="3" t="s">
        <v>5257</v>
      </c>
      <c r="BD395" s="3" t="s">
        <v>5258</v>
      </c>
    </row>
    <row r="396" spans="1:56" ht="42.75" customHeight="1" x14ac:dyDescent="0.25">
      <c r="A396" s="7" t="s">
        <v>58</v>
      </c>
      <c r="B396" s="2" t="s">
        <v>5259</v>
      </c>
      <c r="C396" s="2" t="s">
        <v>5260</v>
      </c>
      <c r="D396" s="2" t="s">
        <v>5261</v>
      </c>
      <c r="F396" s="3" t="s">
        <v>58</v>
      </c>
      <c r="G396" s="3" t="s">
        <v>59</v>
      </c>
      <c r="H396" s="3" t="s">
        <v>58</v>
      </c>
      <c r="I396" s="3" t="s">
        <v>58</v>
      </c>
      <c r="J396" s="3" t="s">
        <v>60</v>
      </c>
      <c r="K396" s="2" t="s">
        <v>5262</v>
      </c>
      <c r="L396" s="2" t="s">
        <v>5263</v>
      </c>
      <c r="M396" s="3" t="s">
        <v>1574</v>
      </c>
      <c r="N396" s="2" t="s">
        <v>1844</v>
      </c>
      <c r="O396" s="3" t="s">
        <v>64</v>
      </c>
      <c r="P396" s="3" t="s">
        <v>145</v>
      </c>
      <c r="R396" s="3" t="s">
        <v>67</v>
      </c>
      <c r="S396" s="4">
        <v>6</v>
      </c>
      <c r="T396" s="4">
        <v>6</v>
      </c>
      <c r="U396" s="5" t="s">
        <v>5175</v>
      </c>
      <c r="V396" s="5" t="s">
        <v>5175</v>
      </c>
      <c r="W396" s="5" t="s">
        <v>4999</v>
      </c>
      <c r="X396" s="5" t="s">
        <v>4999</v>
      </c>
      <c r="Y396" s="4">
        <v>109</v>
      </c>
      <c r="Z396" s="4">
        <v>101</v>
      </c>
      <c r="AA396" s="4">
        <v>467</v>
      </c>
      <c r="AB396" s="4">
        <v>1</v>
      </c>
      <c r="AC396" s="4">
        <v>4</v>
      </c>
      <c r="AD396" s="4">
        <v>6</v>
      </c>
      <c r="AE396" s="4">
        <v>20</v>
      </c>
      <c r="AF396" s="4">
        <v>3</v>
      </c>
      <c r="AG396" s="4">
        <v>7</v>
      </c>
      <c r="AH396" s="4">
        <v>1</v>
      </c>
      <c r="AI396" s="4">
        <v>5</v>
      </c>
      <c r="AJ396" s="4">
        <v>3</v>
      </c>
      <c r="AK396" s="4">
        <v>10</v>
      </c>
      <c r="AL396" s="4">
        <v>0</v>
      </c>
      <c r="AM396" s="4">
        <v>3</v>
      </c>
      <c r="AN396" s="4">
        <v>0</v>
      </c>
      <c r="AO396" s="4">
        <v>0</v>
      </c>
      <c r="AP396" s="3" t="s">
        <v>58</v>
      </c>
      <c r="AQ396" s="3" t="s">
        <v>58</v>
      </c>
      <c r="AS396" s="6" t="str">
        <f>HYPERLINK("https://creighton-primo.hosted.exlibrisgroup.com/primo-explore/search?tab=default_tab&amp;search_scope=EVERYTHING&amp;vid=01CRU&amp;lang=en_US&amp;offset=0&amp;query=any,contains,991000095459702656","Catalog Record")</f>
        <v>Catalog Record</v>
      </c>
      <c r="AT396" s="6" t="str">
        <f>HYPERLINK("http://www.worldcat.org/oclc/8928506","WorldCat Record")</f>
        <v>WorldCat Record</v>
      </c>
      <c r="AU396" s="3" t="s">
        <v>5264</v>
      </c>
      <c r="AV396" s="3" t="s">
        <v>5265</v>
      </c>
      <c r="AW396" s="3" t="s">
        <v>5266</v>
      </c>
      <c r="AX396" s="3" t="s">
        <v>5266</v>
      </c>
      <c r="AY396" s="3" t="s">
        <v>5267</v>
      </c>
      <c r="AZ396" s="3" t="s">
        <v>74</v>
      </c>
      <c r="BB396" s="3" t="s">
        <v>5268</v>
      </c>
      <c r="BC396" s="3" t="s">
        <v>5269</v>
      </c>
      <c r="BD396" s="3" t="s">
        <v>5270</v>
      </c>
    </row>
    <row r="397" spans="1:56" ht="42.75" customHeight="1" x14ac:dyDescent="0.25">
      <c r="A397" s="7" t="s">
        <v>58</v>
      </c>
      <c r="B397" s="2" t="s">
        <v>5271</v>
      </c>
      <c r="C397" s="2" t="s">
        <v>5272</v>
      </c>
      <c r="D397" s="2" t="s">
        <v>5273</v>
      </c>
      <c r="F397" s="3" t="s">
        <v>58</v>
      </c>
      <c r="G397" s="3" t="s">
        <v>59</v>
      </c>
      <c r="H397" s="3" t="s">
        <v>58</v>
      </c>
      <c r="I397" s="3" t="s">
        <v>58</v>
      </c>
      <c r="J397" s="3" t="s">
        <v>60</v>
      </c>
      <c r="K397" s="2" t="s">
        <v>5274</v>
      </c>
      <c r="L397" s="2" t="s">
        <v>5275</v>
      </c>
      <c r="M397" s="3" t="s">
        <v>3124</v>
      </c>
      <c r="N397" s="2" t="s">
        <v>5276</v>
      </c>
      <c r="O397" s="3" t="s">
        <v>64</v>
      </c>
      <c r="P397" s="3" t="s">
        <v>178</v>
      </c>
      <c r="Q397" s="2" t="s">
        <v>5277</v>
      </c>
      <c r="R397" s="3" t="s">
        <v>67</v>
      </c>
      <c r="S397" s="4">
        <v>1</v>
      </c>
      <c r="T397" s="4">
        <v>1</v>
      </c>
      <c r="U397" s="5" t="s">
        <v>5037</v>
      </c>
      <c r="V397" s="5" t="s">
        <v>5037</v>
      </c>
      <c r="W397" s="5" t="s">
        <v>3917</v>
      </c>
      <c r="X397" s="5" t="s">
        <v>3917</v>
      </c>
      <c r="Y397" s="4">
        <v>278</v>
      </c>
      <c r="Z397" s="4">
        <v>256</v>
      </c>
      <c r="AA397" s="4">
        <v>264</v>
      </c>
      <c r="AB397" s="4">
        <v>2</v>
      </c>
      <c r="AC397" s="4">
        <v>2</v>
      </c>
      <c r="AD397" s="4">
        <v>9</v>
      </c>
      <c r="AE397" s="4">
        <v>9</v>
      </c>
      <c r="AF397" s="4">
        <v>3</v>
      </c>
      <c r="AG397" s="4">
        <v>3</v>
      </c>
      <c r="AH397" s="4">
        <v>3</v>
      </c>
      <c r="AI397" s="4">
        <v>3</v>
      </c>
      <c r="AJ397" s="4">
        <v>4</v>
      </c>
      <c r="AK397" s="4">
        <v>4</v>
      </c>
      <c r="AL397" s="4">
        <v>1</v>
      </c>
      <c r="AM397" s="4">
        <v>1</v>
      </c>
      <c r="AN397" s="4">
        <v>0</v>
      </c>
      <c r="AO397" s="4">
        <v>0</v>
      </c>
      <c r="AP397" s="3" t="s">
        <v>58</v>
      </c>
      <c r="AQ397" s="3" t="s">
        <v>86</v>
      </c>
      <c r="AR397" s="6" t="str">
        <f>HYPERLINK("http://catalog.hathitrust.org/Record/001563446","HathiTrust Record")</f>
        <v>HathiTrust Record</v>
      </c>
      <c r="AS397" s="6" t="str">
        <f>HYPERLINK("https://creighton-primo.hosted.exlibrisgroup.com/primo-explore/search?tab=default_tab&amp;search_scope=EVERYTHING&amp;vid=01CRU&amp;lang=en_US&amp;offset=0&amp;query=any,contains,991000523629702656","Catalog Record")</f>
        <v>Catalog Record</v>
      </c>
      <c r="AT397" s="6" t="str">
        <f>HYPERLINK("http://www.worldcat.org/oclc/88776","WorldCat Record")</f>
        <v>WorldCat Record</v>
      </c>
      <c r="AU397" s="3" t="s">
        <v>5278</v>
      </c>
      <c r="AV397" s="3" t="s">
        <v>5279</v>
      </c>
      <c r="AW397" s="3" t="s">
        <v>5280</v>
      </c>
      <c r="AX397" s="3" t="s">
        <v>5280</v>
      </c>
      <c r="AY397" s="3" t="s">
        <v>5281</v>
      </c>
      <c r="AZ397" s="3" t="s">
        <v>74</v>
      </c>
      <c r="BC397" s="3" t="s">
        <v>5282</v>
      </c>
      <c r="BD397" s="3" t="s">
        <v>5283</v>
      </c>
    </row>
    <row r="398" spans="1:56" ht="42.75" customHeight="1" x14ac:dyDescent="0.25">
      <c r="A398" s="7" t="s">
        <v>58</v>
      </c>
      <c r="B398" s="2" t="s">
        <v>5284</v>
      </c>
      <c r="C398" s="2" t="s">
        <v>5285</v>
      </c>
      <c r="D398" s="2" t="s">
        <v>5286</v>
      </c>
      <c r="F398" s="3" t="s">
        <v>58</v>
      </c>
      <c r="G398" s="3" t="s">
        <v>59</v>
      </c>
      <c r="H398" s="3" t="s">
        <v>58</v>
      </c>
      <c r="I398" s="3" t="s">
        <v>58</v>
      </c>
      <c r="J398" s="3" t="s">
        <v>60</v>
      </c>
      <c r="K398" s="2" t="s">
        <v>5287</v>
      </c>
      <c r="L398" s="2" t="s">
        <v>5288</v>
      </c>
      <c r="M398" s="3" t="s">
        <v>177</v>
      </c>
      <c r="O398" s="3" t="s">
        <v>64</v>
      </c>
      <c r="P398" s="3" t="s">
        <v>83</v>
      </c>
      <c r="Q398" s="2" t="s">
        <v>5289</v>
      </c>
      <c r="R398" s="3" t="s">
        <v>67</v>
      </c>
      <c r="S398" s="4">
        <v>4</v>
      </c>
      <c r="T398" s="4">
        <v>4</v>
      </c>
      <c r="U398" s="5" t="s">
        <v>5290</v>
      </c>
      <c r="V398" s="5" t="s">
        <v>5290</v>
      </c>
      <c r="W398" s="5" t="s">
        <v>3917</v>
      </c>
      <c r="X398" s="5" t="s">
        <v>3917</v>
      </c>
      <c r="Y398" s="4">
        <v>421</v>
      </c>
      <c r="Z398" s="4">
        <v>378</v>
      </c>
      <c r="AA398" s="4">
        <v>387</v>
      </c>
      <c r="AB398" s="4">
        <v>3</v>
      </c>
      <c r="AC398" s="4">
        <v>3</v>
      </c>
      <c r="AD398" s="4">
        <v>10</v>
      </c>
      <c r="AE398" s="4">
        <v>10</v>
      </c>
      <c r="AF398" s="4">
        <v>4</v>
      </c>
      <c r="AG398" s="4">
        <v>4</v>
      </c>
      <c r="AH398" s="4">
        <v>3</v>
      </c>
      <c r="AI398" s="4">
        <v>3</v>
      </c>
      <c r="AJ398" s="4">
        <v>4</v>
      </c>
      <c r="AK398" s="4">
        <v>4</v>
      </c>
      <c r="AL398" s="4">
        <v>2</v>
      </c>
      <c r="AM398" s="4">
        <v>2</v>
      </c>
      <c r="AN398" s="4">
        <v>0</v>
      </c>
      <c r="AO398" s="4">
        <v>0</v>
      </c>
      <c r="AP398" s="3" t="s">
        <v>58</v>
      </c>
      <c r="AQ398" s="3" t="s">
        <v>86</v>
      </c>
      <c r="AR398" s="6" t="str">
        <f>HYPERLINK("http://catalog.hathitrust.org/Record/000879448","HathiTrust Record")</f>
        <v>HathiTrust Record</v>
      </c>
      <c r="AS398" s="6" t="str">
        <f>HYPERLINK("https://creighton-primo.hosted.exlibrisgroup.com/primo-explore/search?tab=default_tab&amp;search_scope=EVERYTHING&amp;vid=01CRU&amp;lang=en_US&amp;offset=0&amp;query=any,contains,991003065419702656","Catalog Record")</f>
        <v>Catalog Record</v>
      </c>
      <c r="AT398" s="6" t="str">
        <f>HYPERLINK("http://www.worldcat.org/oclc/621957","WorldCat Record")</f>
        <v>WorldCat Record</v>
      </c>
      <c r="AU398" s="3" t="s">
        <v>5291</v>
      </c>
      <c r="AV398" s="3" t="s">
        <v>5292</v>
      </c>
      <c r="AW398" s="3" t="s">
        <v>5293</v>
      </c>
      <c r="AX398" s="3" t="s">
        <v>5293</v>
      </c>
      <c r="AY398" s="3" t="s">
        <v>5294</v>
      </c>
      <c r="AZ398" s="3" t="s">
        <v>74</v>
      </c>
      <c r="BB398" s="3" t="s">
        <v>5295</v>
      </c>
      <c r="BC398" s="3" t="s">
        <v>5296</v>
      </c>
      <c r="BD398" s="3" t="s">
        <v>5297</v>
      </c>
    </row>
    <row r="399" spans="1:56" ht="42.75" customHeight="1" x14ac:dyDescent="0.25">
      <c r="A399" s="7" t="s">
        <v>58</v>
      </c>
      <c r="B399" s="2" t="s">
        <v>5298</v>
      </c>
      <c r="C399" s="2" t="s">
        <v>5299</v>
      </c>
      <c r="D399" s="2" t="s">
        <v>5300</v>
      </c>
      <c r="F399" s="3" t="s">
        <v>58</v>
      </c>
      <c r="G399" s="3" t="s">
        <v>59</v>
      </c>
      <c r="H399" s="3" t="s">
        <v>86</v>
      </c>
      <c r="I399" s="3" t="s">
        <v>58</v>
      </c>
      <c r="J399" s="3" t="s">
        <v>60</v>
      </c>
      <c r="K399" s="2" t="s">
        <v>5301</v>
      </c>
      <c r="L399" s="2" t="s">
        <v>5302</v>
      </c>
      <c r="M399" s="3" t="s">
        <v>223</v>
      </c>
      <c r="N399" s="2" t="s">
        <v>4027</v>
      </c>
      <c r="O399" s="3" t="s">
        <v>64</v>
      </c>
      <c r="P399" s="3" t="s">
        <v>2609</v>
      </c>
      <c r="R399" s="3" t="s">
        <v>67</v>
      </c>
      <c r="S399" s="4">
        <v>0</v>
      </c>
      <c r="T399" s="4">
        <v>5</v>
      </c>
      <c r="V399" s="5" t="s">
        <v>5303</v>
      </c>
      <c r="W399" s="5" t="s">
        <v>4999</v>
      </c>
      <c r="X399" s="5" t="s">
        <v>4999</v>
      </c>
      <c r="Y399" s="4">
        <v>175</v>
      </c>
      <c r="Z399" s="4">
        <v>127</v>
      </c>
      <c r="AA399" s="4">
        <v>237</v>
      </c>
      <c r="AB399" s="4">
        <v>2</v>
      </c>
      <c r="AC399" s="4">
        <v>4</v>
      </c>
      <c r="AD399" s="4">
        <v>3</v>
      </c>
      <c r="AE399" s="4">
        <v>7</v>
      </c>
      <c r="AF399" s="4">
        <v>1</v>
      </c>
      <c r="AG399" s="4">
        <v>3</v>
      </c>
      <c r="AH399" s="4">
        <v>1</v>
      </c>
      <c r="AI399" s="4">
        <v>1</v>
      </c>
      <c r="AJ399" s="4">
        <v>3</v>
      </c>
      <c r="AK399" s="4">
        <v>4</v>
      </c>
      <c r="AL399" s="4">
        <v>0</v>
      </c>
      <c r="AM399" s="4">
        <v>2</v>
      </c>
      <c r="AN399" s="4">
        <v>0</v>
      </c>
      <c r="AO399" s="4">
        <v>0</v>
      </c>
      <c r="AP399" s="3" t="s">
        <v>58</v>
      </c>
      <c r="AQ399" s="3" t="s">
        <v>86</v>
      </c>
      <c r="AR399" s="6" t="str">
        <f>HYPERLINK("http://catalog.hathitrust.org/Record/000135220","HathiTrust Record")</f>
        <v>HathiTrust Record</v>
      </c>
      <c r="AS399" s="6" t="str">
        <f>HYPERLINK("https://creighton-primo.hosted.exlibrisgroup.com/primo-explore/search?tab=default_tab&amp;search_scope=EVERYTHING&amp;vid=01CRU&amp;lang=en_US&amp;offset=0&amp;query=any,contains,991001792829702656","Catalog Record")</f>
        <v>Catalog Record</v>
      </c>
      <c r="AT399" s="6" t="str">
        <f>HYPERLINK("http://www.worldcat.org/oclc/3843372","WorldCat Record")</f>
        <v>WorldCat Record</v>
      </c>
      <c r="AU399" s="3" t="s">
        <v>5304</v>
      </c>
      <c r="AV399" s="3" t="s">
        <v>5305</v>
      </c>
      <c r="AW399" s="3" t="s">
        <v>5306</v>
      </c>
      <c r="AX399" s="3" t="s">
        <v>5306</v>
      </c>
      <c r="AY399" s="3" t="s">
        <v>5307</v>
      </c>
      <c r="AZ399" s="3" t="s">
        <v>74</v>
      </c>
      <c r="BB399" s="3" t="s">
        <v>5308</v>
      </c>
      <c r="BC399" s="3" t="s">
        <v>5309</v>
      </c>
      <c r="BD399" s="3" t="s">
        <v>5310</v>
      </c>
    </row>
    <row r="400" spans="1:56" ht="42.75" customHeight="1" x14ac:dyDescent="0.25">
      <c r="A400" s="7" t="s">
        <v>58</v>
      </c>
      <c r="B400" s="2" t="s">
        <v>5311</v>
      </c>
      <c r="C400" s="2" t="s">
        <v>5312</v>
      </c>
      <c r="D400" s="2" t="s">
        <v>5313</v>
      </c>
      <c r="F400" s="3" t="s">
        <v>58</v>
      </c>
      <c r="G400" s="3" t="s">
        <v>59</v>
      </c>
      <c r="H400" s="3" t="s">
        <v>58</v>
      </c>
      <c r="I400" s="3" t="s">
        <v>58</v>
      </c>
      <c r="J400" s="3" t="s">
        <v>60</v>
      </c>
      <c r="L400" s="2" t="s">
        <v>5314</v>
      </c>
      <c r="M400" s="3" t="s">
        <v>765</v>
      </c>
      <c r="O400" s="3" t="s">
        <v>64</v>
      </c>
      <c r="P400" s="3" t="s">
        <v>99</v>
      </c>
      <c r="Q400" s="2" t="s">
        <v>5315</v>
      </c>
      <c r="R400" s="3" t="s">
        <v>67</v>
      </c>
      <c r="S400" s="4">
        <v>4</v>
      </c>
      <c r="T400" s="4">
        <v>4</v>
      </c>
      <c r="U400" s="5" t="s">
        <v>5316</v>
      </c>
      <c r="V400" s="5" t="s">
        <v>5316</v>
      </c>
      <c r="W400" s="5" t="s">
        <v>5317</v>
      </c>
      <c r="X400" s="5" t="s">
        <v>5317</v>
      </c>
      <c r="Y400" s="4">
        <v>210</v>
      </c>
      <c r="Z400" s="4">
        <v>196</v>
      </c>
      <c r="AA400" s="4">
        <v>198</v>
      </c>
      <c r="AB400" s="4">
        <v>4</v>
      </c>
      <c r="AC400" s="4">
        <v>4</v>
      </c>
      <c r="AD400" s="4">
        <v>11</v>
      </c>
      <c r="AE400" s="4">
        <v>11</v>
      </c>
      <c r="AF400" s="4">
        <v>4</v>
      </c>
      <c r="AG400" s="4">
        <v>4</v>
      </c>
      <c r="AH400" s="4">
        <v>3</v>
      </c>
      <c r="AI400" s="4">
        <v>3</v>
      </c>
      <c r="AJ400" s="4">
        <v>3</v>
      </c>
      <c r="AK400" s="4">
        <v>3</v>
      </c>
      <c r="AL400" s="4">
        <v>3</v>
      </c>
      <c r="AM400" s="4">
        <v>3</v>
      </c>
      <c r="AN400" s="4">
        <v>0</v>
      </c>
      <c r="AO400" s="4">
        <v>0</v>
      </c>
      <c r="AP400" s="3" t="s">
        <v>58</v>
      </c>
      <c r="AQ400" s="3" t="s">
        <v>86</v>
      </c>
      <c r="AR400" s="6" t="str">
        <f>HYPERLINK("http://catalog.hathitrust.org/Record/101576595","HathiTrust Record")</f>
        <v>HathiTrust Record</v>
      </c>
      <c r="AS400" s="6" t="str">
        <f>HYPERLINK("https://creighton-primo.hosted.exlibrisgroup.com/primo-explore/search?tab=default_tab&amp;search_scope=EVERYTHING&amp;vid=01CRU&amp;lang=en_US&amp;offset=0&amp;query=any,contains,991002466159702656","Catalog Record")</f>
        <v>Catalog Record</v>
      </c>
      <c r="AT400" s="6" t="str">
        <f>HYPERLINK("http://www.worldcat.org/oclc/32131945","WorldCat Record")</f>
        <v>WorldCat Record</v>
      </c>
      <c r="AU400" s="3" t="s">
        <v>5318</v>
      </c>
      <c r="AV400" s="3" t="s">
        <v>5319</v>
      </c>
      <c r="AW400" s="3" t="s">
        <v>5320</v>
      </c>
      <c r="AX400" s="3" t="s">
        <v>5320</v>
      </c>
      <c r="AY400" s="3" t="s">
        <v>5321</v>
      </c>
      <c r="AZ400" s="3" t="s">
        <v>74</v>
      </c>
      <c r="BB400" s="3" t="s">
        <v>5322</v>
      </c>
      <c r="BC400" s="3" t="s">
        <v>5323</v>
      </c>
      <c r="BD400" s="3" t="s">
        <v>5324</v>
      </c>
    </row>
    <row r="401" spans="1:56" ht="42.75" customHeight="1" x14ac:dyDescent="0.25">
      <c r="A401" s="7" t="s">
        <v>58</v>
      </c>
      <c r="B401" s="2" t="s">
        <v>5325</v>
      </c>
      <c r="C401" s="2" t="s">
        <v>5326</v>
      </c>
      <c r="D401" s="2" t="s">
        <v>5327</v>
      </c>
      <c r="F401" s="3" t="s">
        <v>58</v>
      </c>
      <c r="G401" s="3" t="s">
        <v>59</v>
      </c>
      <c r="H401" s="3" t="s">
        <v>58</v>
      </c>
      <c r="I401" s="3" t="s">
        <v>58</v>
      </c>
      <c r="J401" s="3" t="s">
        <v>60</v>
      </c>
      <c r="L401" s="2" t="s">
        <v>5263</v>
      </c>
      <c r="M401" s="3" t="s">
        <v>1574</v>
      </c>
      <c r="O401" s="3" t="s">
        <v>64</v>
      </c>
      <c r="P401" s="3" t="s">
        <v>145</v>
      </c>
      <c r="R401" s="3" t="s">
        <v>67</v>
      </c>
      <c r="S401" s="4">
        <v>8</v>
      </c>
      <c r="T401" s="4">
        <v>8</v>
      </c>
      <c r="U401" s="5" t="s">
        <v>5328</v>
      </c>
      <c r="V401" s="5" t="s">
        <v>5328</v>
      </c>
      <c r="W401" s="5" t="s">
        <v>4999</v>
      </c>
      <c r="X401" s="5" t="s">
        <v>4999</v>
      </c>
      <c r="Y401" s="4">
        <v>179</v>
      </c>
      <c r="Z401" s="4">
        <v>154</v>
      </c>
      <c r="AA401" s="4">
        <v>154</v>
      </c>
      <c r="AB401" s="4">
        <v>2</v>
      </c>
      <c r="AC401" s="4">
        <v>2</v>
      </c>
      <c r="AD401" s="4">
        <v>9</v>
      </c>
      <c r="AE401" s="4">
        <v>9</v>
      </c>
      <c r="AF401" s="4">
        <v>3</v>
      </c>
      <c r="AG401" s="4">
        <v>3</v>
      </c>
      <c r="AH401" s="4">
        <v>1</v>
      </c>
      <c r="AI401" s="4">
        <v>1</v>
      </c>
      <c r="AJ401" s="4">
        <v>4</v>
      </c>
      <c r="AK401" s="4">
        <v>4</v>
      </c>
      <c r="AL401" s="4">
        <v>1</v>
      </c>
      <c r="AM401" s="4">
        <v>1</v>
      </c>
      <c r="AN401" s="4">
        <v>0</v>
      </c>
      <c r="AO401" s="4">
        <v>0</v>
      </c>
      <c r="AP401" s="3" t="s">
        <v>58</v>
      </c>
      <c r="AQ401" s="3" t="s">
        <v>58</v>
      </c>
      <c r="AS401" s="6" t="str">
        <f>HYPERLINK("https://creighton-primo.hosted.exlibrisgroup.com/primo-explore/search?tab=default_tab&amp;search_scope=EVERYTHING&amp;vid=01CRU&amp;lang=en_US&amp;offset=0&amp;query=any,contains,991005219189702656","Catalog Record")</f>
        <v>Catalog Record</v>
      </c>
      <c r="AT401" s="6" t="str">
        <f>HYPERLINK("http://www.worldcat.org/oclc/8219130","WorldCat Record")</f>
        <v>WorldCat Record</v>
      </c>
      <c r="AU401" s="3" t="s">
        <v>5329</v>
      </c>
      <c r="AV401" s="3" t="s">
        <v>5330</v>
      </c>
      <c r="AW401" s="3" t="s">
        <v>5331</v>
      </c>
      <c r="AX401" s="3" t="s">
        <v>5331</v>
      </c>
      <c r="AY401" s="3" t="s">
        <v>5332</v>
      </c>
      <c r="AZ401" s="3" t="s">
        <v>74</v>
      </c>
      <c r="BB401" s="3" t="s">
        <v>5333</v>
      </c>
      <c r="BC401" s="3" t="s">
        <v>5334</v>
      </c>
      <c r="BD401" s="3" t="s">
        <v>5335</v>
      </c>
    </row>
    <row r="402" spans="1:56" ht="42.75" customHeight="1" x14ac:dyDescent="0.25">
      <c r="A402" s="7" t="s">
        <v>58</v>
      </c>
      <c r="B402" s="2" t="s">
        <v>5336</v>
      </c>
      <c r="C402" s="2" t="s">
        <v>5337</v>
      </c>
      <c r="D402" s="2" t="s">
        <v>5338</v>
      </c>
      <c r="F402" s="3" t="s">
        <v>58</v>
      </c>
      <c r="G402" s="3" t="s">
        <v>59</v>
      </c>
      <c r="H402" s="3" t="s">
        <v>58</v>
      </c>
      <c r="I402" s="3" t="s">
        <v>58</v>
      </c>
      <c r="J402" s="3" t="s">
        <v>60</v>
      </c>
      <c r="K402" s="2" t="s">
        <v>5339</v>
      </c>
      <c r="L402" s="2" t="s">
        <v>5340</v>
      </c>
      <c r="M402" s="3" t="s">
        <v>223</v>
      </c>
      <c r="O402" s="3" t="s">
        <v>64</v>
      </c>
      <c r="P402" s="3" t="s">
        <v>115</v>
      </c>
      <c r="R402" s="3" t="s">
        <v>67</v>
      </c>
      <c r="S402" s="4">
        <v>13</v>
      </c>
      <c r="T402" s="4">
        <v>13</v>
      </c>
      <c r="U402" s="5" t="s">
        <v>5341</v>
      </c>
      <c r="V402" s="5" t="s">
        <v>5341</v>
      </c>
      <c r="W402" s="5" t="s">
        <v>4999</v>
      </c>
      <c r="X402" s="5" t="s">
        <v>4999</v>
      </c>
      <c r="Y402" s="4">
        <v>388</v>
      </c>
      <c r="Z402" s="4">
        <v>323</v>
      </c>
      <c r="AA402" s="4">
        <v>373</v>
      </c>
      <c r="AB402" s="4">
        <v>4</v>
      </c>
      <c r="AC402" s="4">
        <v>4</v>
      </c>
      <c r="AD402" s="4">
        <v>15</v>
      </c>
      <c r="AE402" s="4">
        <v>19</v>
      </c>
      <c r="AF402" s="4">
        <v>2</v>
      </c>
      <c r="AG402" s="4">
        <v>4</v>
      </c>
      <c r="AH402" s="4">
        <v>5</v>
      </c>
      <c r="AI402" s="4">
        <v>6</v>
      </c>
      <c r="AJ402" s="4">
        <v>8</v>
      </c>
      <c r="AK402" s="4">
        <v>11</v>
      </c>
      <c r="AL402" s="4">
        <v>3</v>
      </c>
      <c r="AM402" s="4">
        <v>3</v>
      </c>
      <c r="AN402" s="4">
        <v>0</v>
      </c>
      <c r="AO402" s="4">
        <v>0</v>
      </c>
      <c r="AP402" s="3" t="s">
        <v>58</v>
      </c>
      <c r="AQ402" s="3" t="s">
        <v>58</v>
      </c>
      <c r="AS402" s="6" t="str">
        <f>HYPERLINK("https://creighton-primo.hosted.exlibrisgroup.com/primo-explore/search?tab=default_tab&amp;search_scope=EVERYTHING&amp;vid=01CRU&amp;lang=en_US&amp;offset=0&amp;query=any,contains,991004580889702656","Catalog Record")</f>
        <v>Catalog Record</v>
      </c>
      <c r="AT402" s="6" t="str">
        <f>HYPERLINK("http://www.worldcat.org/oclc/4057434","WorldCat Record")</f>
        <v>WorldCat Record</v>
      </c>
      <c r="AU402" s="3" t="s">
        <v>5342</v>
      </c>
      <c r="AV402" s="3" t="s">
        <v>5343</v>
      </c>
      <c r="AW402" s="3" t="s">
        <v>5344</v>
      </c>
      <c r="AX402" s="3" t="s">
        <v>5344</v>
      </c>
      <c r="AY402" s="3" t="s">
        <v>5345</v>
      </c>
      <c r="AZ402" s="3" t="s">
        <v>74</v>
      </c>
      <c r="BB402" s="3" t="s">
        <v>5346</v>
      </c>
      <c r="BC402" s="3" t="s">
        <v>5347</v>
      </c>
      <c r="BD402" s="3" t="s">
        <v>5348</v>
      </c>
    </row>
    <row r="403" spans="1:56" ht="42.75" customHeight="1" x14ac:dyDescent="0.25">
      <c r="A403" s="7" t="s">
        <v>58</v>
      </c>
      <c r="B403" s="2" t="s">
        <v>5349</v>
      </c>
      <c r="C403" s="2" t="s">
        <v>5350</v>
      </c>
      <c r="D403" s="2" t="s">
        <v>5351</v>
      </c>
      <c r="F403" s="3" t="s">
        <v>58</v>
      </c>
      <c r="G403" s="3" t="s">
        <v>59</v>
      </c>
      <c r="H403" s="3" t="s">
        <v>58</v>
      </c>
      <c r="I403" s="3" t="s">
        <v>58</v>
      </c>
      <c r="J403" s="3" t="s">
        <v>60</v>
      </c>
      <c r="K403" s="2" t="s">
        <v>5352</v>
      </c>
      <c r="L403" s="2" t="s">
        <v>5353</v>
      </c>
      <c r="M403" s="3" t="s">
        <v>4296</v>
      </c>
      <c r="O403" s="3" t="s">
        <v>64</v>
      </c>
      <c r="P403" s="3" t="s">
        <v>1898</v>
      </c>
      <c r="Q403" s="2" t="s">
        <v>5354</v>
      </c>
      <c r="R403" s="3" t="s">
        <v>67</v>
      </c>
      <c r="S403" s="4">
        <v>12</v>
      </c>
      <c r="T403" s="4">
        <v>12</v>
      </c>
      <c r="U403" s="5" t="s">
        <v>5355</v>
      </c>
      <c r="V403" s="5" t="s">
        <v>5355</v>
      </c>
      <c r="W403" s="5" t="s">
        <v>5356</v>
      </c>
      <c r="X403" s="5" t="s">
        <v>5356</v>
      </c>
      <c r="Y403" s="4">
        <v>451</v>
      </c>
      <c r="Z403" s="4">
        <v>333</v>
      </c>
      <c r="AA403" s="4">
        <v>339</v>
      </c>
      <c r="AB403" s="4">
        <v>4</v>
      </c>
      <c r="AC403" s="4">
        <v>4</v>
      </c>
      <c r="AD403" s="4">
        <v>12</v>
      </c>
      <c r="AE403" s="4">
        <v>12</v>
      </c>
      <c r="AF403" s="4">
        <v>4</v>
      </c>
      <c r="AG403" s="4">
        <v>4</v>
      </c>
      <c r="AH403" s="4">
        <v>2</v>
      </c>
      <c r="AI403" s="4">
        <v>2</v>
      </c>
      <c r="AJ403" s="4">
        <v>6</v>
      </c>
      <c r="AK403" s="4">
        <v>6</v>
      </c>
      <c r="AL403" s="4">
        <v>2</v>
      </c>
      <c r="AM403" s="4">
        <v>2</v>
      </c>
      <c r="AN403" s="4">
        <v>0</v>
      </c>
      <c r="AO403" s="4">
        <v>0</v>
      </c>
      <c r="AP403" s="3" t="s">
        <v>58</v>
      </c>
      <c r="AQ403" s="3" t="s">
        <v>58</v>
      </c>
      <c r="AS403" s="6" t="str">
        <f>HYPERLINK("https://creighton-primo.hosted.exlibrisgroup.com/primo-explore/search?tab=default_tab&amp;search_scope=EVERYTHING&amp;vid=01CRU&amp;lang=en_US&amp;offset=0&amp;query=any,contains,991003612989702656","Catalog Record")</f>
        <v>Catalog Record</v>
      </c>
      <c r="AT403" s="6" t="str">
        <f>HYPERLINK("http://www.worldcat.org/oclc/1195866","WorldCat Record")</f>
        <v>WorldCat Record</v>
      </c>
      <c r="AU403" s="3" t="s">
        <v>5357</v>
      </c>
      <c r="AV403" s="3" t="s">
        <v>5358</v>
      </c>
      <c r="AW403" s="3" t="s">
        <v>5359</v>
      </c>
      <c r="AX403" s="3" t="s">
        <v>5359</v>
      </c>
      <c r="AY403" s="3" t="s">
        <v>5360</v>
      </c>
      <c r="AZ403" s="3" t="s">
        <v>74</v>
      </c>
      <c r="BB403" s="3" t="s">
        <v>5361</v>
      </c>
      <c r="BC403" s="3" t="s">
        <v>5362</v>
      </c>
      <c r="BD403" s="3" t="s">
        <v>5363</v>
      </c>
    </row>
    <row r="404" spans="1:56" ht="42.75" customHeight="1" x14ac:dyDescent="0.25">
      <c r="A404" s="7" t="s">
        <v>58</v>
      </c>
      <c r="B404" s="2" t="s">
        <v>5364</v>
      </c>
      <c r="C404" s="2" t="s">
        <v>5365</v>
      </c>
      <c r="D404" s="2" t="s">
        <v>5366</v>
      </c>
      <c r="F404" s="3" t="s">
        <v>58</v>
      </c>
      <c r="G404" s="3" t="s">
        <v>59</v>
      </c>
      <c r="H404" s="3" t="s">
        <v>58</v>
      </c>
      <c r="I404" s="3" t="s">
        <v>58</v>
      </c>
      <c r="J404" s="3" t="s">
        <v>60</v>
      </c>
      <c r="K404" s="2" t="s">
        <v>5367</v>
      </c>
      <c r="L404" s="2" t="s">
        <v>5368</v>
      </c>
      <c r="M404" s="3" t="s">
        <v>2386</v>
      </c>
      <c r="O404" s="3" t="s">
        <v>64</v>
      </c>
      <c r="P404" s="3" t="s">
        <v>115</v>
      </c>
      <c r="R404" s="3" t="s">
        <v>67</v>
      </c>
      <c r="S404" s="4">
        <v>5</v>
      </c>
      <c r="T404" s="4">
        <v>5</v>
      </c>
      <c r="U404" s="5" t="s">
        <v>5369</v>
      </c>
      <c r="V404" s="5" t="s">
        <v>5369</v>
      </c>
      <c r="W404" s="5" t="s">
        <v>5356</v>
      </c>
      <c r="X404" s="5" t="s">
        <v>5356</v>
      </c>
      <c r="Y404" s="4">
        <v>531</v>
      </c>
      <c r="Z404" s="4">
        <v>440</v>
      </c>
      <c r="AA404" s="4">
        <v>495</v>
      </c>
      <c r="AB404" s="4">
        <v>3</v>
      </c>
      <c r="AC404" s="4">
        <v>3</v>
      </c>
      <c r="AD404" s="4">
        <v>12</v>
      </c>
      <c r="AE404" s="4">
        <v>13</v>
      </c>
      <c r="AF404" s="4">
        <v>5</v>
      </c>
      <c r="AG404" s="4">
        <v>6</v>
      </c>
      <c r="AH404" s="4">
        <v>3</v>
      </c>
      <c r="AI404" s="4">
        <v>3</v>
      </c>
      <c r="AJ404" s="4">
        <v>7</v>
      </c>
      <c r="AK404" s="4">
        <v>7</v>
      </c>
      <c r="AL404" s="4">
        <v>2</v>
      </c>
      <c r="AM404" s="4">
        <v>2</v>
      </c>
      <c r="AN404" s="4">
        <v>0</v>
      </c>
      <c r="AO404" s="4">
        <v>0</v>
      </c>
      <c r="AP404" s="3" t="s">
        <v>58</v>
      </c>
      <c r="AQ404" s="3" t="s">
        <v>86</v>
      </c>
      <c r="AR404" s="6" t="str">
        <f>HYPERLINK("http://catalog.hathitrust.org/Record/000014325","HathiTrust Record")</f>
        <v>HathiTrust Record</v>
      </c>
      <c r="AS404" s="6" t="str">
        <f>HYPERLINK("https://creighton-primo.hosted.exlibrisgroup.com/primo-explore/search?tab=default_tab&amp;search_scope=EVERYTHING&amp;vid=01CRU&amp;lang=en_US&amp;offset=0&amp;query=any,contains,991003367759702656","Catalog Record")</f>
        <v>Catalog Record</v>
      </c>
      <c r="AT404" s="6" t="str">
        <f>HYPERLINK("http://www.worldcat.org/oclc/902854","WorldCat Record")</f>
        <v>WorldCat Record</v>
      </c>
      <c r="AU404" s="3" t="s">
        <v>5370</v>
      </c>
      <c r="AV404" s="3" t="s">
        <v>5371</v>
      </c>
      <c r="AW404" s="3" t="s">
        <v>5372</v>
      </c>
      <c r="AX404" s="3" t="s">
        <v>5372</v>
      </c>
      <c r="AY404" s="3" t="s">
        <v>5373</v>
      </c>
      <c r="AZ404" s="3" t="s">
        <v>74</v>
      </c>
      <c r="BB404" s="3" t="s">
        <v>5374</v>
      </c>
      <c r="BC404" s="3" t="s">
        <v>5375</v>
      </c>
      <c r="BD404" s="3" t="s">
        <v>5376</v>
      </c>
    </row>
    <row r="405" spans="1:56" ht="42.75" customHeight="1" x14ac:dyDescent="0.25">
      <c r="A405" s="7" t="s">
        <v>58</v>
      </c>
      <c r="B405" s="2" t="s">
        <v>5377</v>
      </c>
      <c r="C405" s="2" t="s">
        <v>5378</v>
      </c>
      <c r="D405" s="2" t="s">
        <v>5379</v>
      </c>
      <c r="F405" s="3" t="s">
        <v>58</v>
      </c>
      <c r="G405" s="3" t="s">
        <v>59</v>
      </c>
      <c r="H405" s="3" t="s">
        <v>58</v>
      </c>
      <c r="I405" s="3" t="s">
        <v>58</v>
      </c>
      <c r="J405" s="3" t="s">
        <v>60</v>
      </c>
      <c r="K405" s="2" t="s">
        <v>5380</v>
      </c>
      <c r="L405" s="2" t="s">
        <v>5381</v>
      </c>
      <c r="M405" s="3" t="s">
        <v>114</v>
      </c>
      <c r="O405" s="3" t="s">
        <v>64</v>
      </c>
      <c r="P405" s="3" t="s">
        <v>115</v>
      </c>
      <c r="R405" s="3" t="s">
        <v>67</v>
      </c>
      <c r="S405" s="4">
        <v>6</v>
      </c>
      <c r="T405" s="4">
        <v>6</v>
      </c>
      <c r="U405" s="5" t="s">
        <v>5382</v>
      </c>
      <c r="V405" s="5" t="s">
        <v>5382</v>
      </c>
      <c r="W405" s="5" t="s">
        <v>2584</v>
      </c>
      <c r="X405" s="5" t="s">
        <v>2584</v>
      </c>
      <c r="Y405" s="4">
        <v>430</v>
      </c>
      <c r="Z405" s="4">
        <v>371</v>
      </c>
      <c r="AA405" s="4">
        <v>376</v>
      </c>
      <c r="AB405" s="4">
        <v>4</v>
      </c>
      <c r="AC405" s="4">
        <v>4</v>
      </c>
      <c r="AD405" s="4">
        <v>25</v>
      </c>
      <c r="AE405" s="4">
        <v>25</v>
      </c>
      <c r="AF405" s="4">
        <v>10</v>
      </c>
      <c r="AG405" s="4">
        <v>10</v>
      </c>
      <c r="AH405" s="4">
        <v>3</v>
      </c>
      <c r="AI405" s="4">
        <v>3</v>
      </c>
      <c r="AJ405" s="4">
        <v>14</v>
      </c>
      <c r="AK405" s="4">
        <v>14</v>
      </c>
      <c r="AL405" s="4">
        <v>3</v>
      </c>
      <c r="AM405" s="4">
        <v>3</v>
      </c>
      <c r="AN405" s="4">
        <v>3</v>
      </c>
      <c r="AO405" s="4">
        <v>3</v>
      </c>
      <c r="AP405" s="3" t="s">
        <v>58</v>
      </c>
      <c r="AQ405" s="3" t="s">
        <v>58</v>
      </c>
      <c r="AS405" s="6" t="str">
        <f>HYPERLINK("https://creighton-primo.hosted.exlibrisgroup.com/primo-explore/search?tab=default_tab&amp;search_scope=EVERYTHING&amp;vid=01CRU&amp;lang=en_US&amp;offset=0&amp;query=any,contains,991000467949702656","Catalog Record")</f>
        <v>Catalog Record</v>
      </c>
      <c r="AT405" s="6" t="str">
        <f>HYPERLINK("http://www.worldcat.org/oclc/10989447","WorldCat Record")</f>
        <v>WorldCat Record</v>
      </c>
      <c r="AU405" s="3" t="s">
        <v>5383</v>
      </c>
      <c r="AV405" s="3" t="s">
        <v>5384</v>
      </c>
      <c r="AW405" s="3" t="s">
        <v>5385</v>
      </c>
      <c r="AX405" s="3" t="s">
        <v>5385</v>
      </c>
      <c r="AY405" s="3" t="s">
        <v>5386</v>
      </c>
      <c r="AZ405" s="3" t="s">
        <v>74</v>
      </c>
      <c r="BB405" s="3" t="s">
        <v>5387</v>
      </c>
      <c r="BC405" s="3" t="s">
        <v>5388</v>
      </c>
      <c r="BD405" s="3" t="s">
        <v>5389</v>
      </c>
    </row>
    <row r="406" spans="1:56" ht="42.75" customHeight="1" x14ac:dyDescent="0.25">
      <c r="A406" s="7" t="s">
        <v>58</v>
      </c>
      <c r="B406" s="2" t="s">
        <v>5390</v>
      </c>
      <c r="C406" s="2" t="s">
        <v>5391</v>
      </c>
      <c r="D406" s="2" t="s">
        <v>5392</v>
      </c>
      <c r="F406" s="3" t="s">
        <v>58</v>
      </c>
      <c r="G406" s="3" t="s">
        <v>59</v>
      </c>
      <c r="H406" s="3" t="s">
        <v>58</v>
      </c>
      <c r="I406" s="3" t="s">
        <v>58</v>
      </c>
      <c r="J406" s="3" t="s">
        <v>60</v>
      </c>
      <c r="K406" s="2" t="s">
        <v>5380</v>
      </c>
      <c r="L406" s="2" t="s">
        <v>5393</v>
      </c>
      <c r="M406" s="3" t="s">
        <v>63</v>
      </c>
      <c r="O406" s="3" t="s">
        <v>64</v>
      </c>
      <c r="P406" s="3" t="s">
        <v>115</v>
      </c>
      <c r="R406" s="3" t="s">
        <v>67</v>
      </c>
      <c r="S406" s="4">
        <v>7</v>
      </c>
      <c r="T406" s="4">
        <v>7</v>
      </c>
      <c r="U406" s="5" t="s">
        <v>5394</v>
      </c>
      <c r="V406" s="5" t="s">
        <v>5394</v>
      </c>
      <c r="W406" s="5" t="s">
        <v>5395</v>
      </c>
      <c r="X406" s="5" t="s">
        <v>5395</v>
      </c>
      <c r="Y406" s="4">
        <v>551</v>
      </c>
      <c r="Z406" s="4">
        <v>491</v>
      </c>
      <c r="AA406" s="4">
        <v>497</v>
      </c>
      <c r="AB406" s="4">
        <v>7</v>
      </c>
      <c r="AC406" s="4">
        <v>7</v>
      </c>
      <c r="AD406" s="4">
        <v>26</v>
      </c>
      <c r="AE406" s="4">
        <v>26</v>
      </c>
      <c r="AF406" s="4">
        <v>8</v>
      </c>
      <c r="AG406" s="4">
        <v>8</v>
      </c>
      <c r="AH406" s="4">
        <v>6</v>
      </c>
      <c r="AI406" s="4">
        <v>6</v>
      </c>
      <c r="AJ406" s="4">
        <v>11</v>
      </c>
      <c r="AK406" s="4">
        <v>11</v>
      </c>
      <c r="AL406" s="4">
        <v>5</v>
      </c>
      <c r="AM406" s="4">
        <v>5</v>
      </c>
      <c r="AN406" s="4">
        <v>1</v>
      </c>
      <c r="AO406" s="4">
        <v>1</v>
      </c>
      <c r="AP406" s="3" t="s">
        <v>58</v>
      </c>
      <c r="AQ406" s="3" t="s">
        <v>86</v>
      </c>
      <c r="AR406" s="6" t="str">
        <f>HYPERLINK("http://catalog.hathitrust.org/Record/000156587","HathiTrust Record")</f>
        <v>HathiTrust Record</v>
      </c>
      <c r="AS406" s="6" t="str">
        <f>HYPERLINK("https://creighton-primo.hosted.exlibrisgroup.com/primo-explore/search?tab=default_tab&amp;search_scope=EVERYTHING&amp;vid=01CRU&amp;lang=en_US&amp;offset=0&amp;query=any,contains,991000228139702656","Catalog Record")</f>
        <v>Catalog Record</v>
      </c>
      <c r="AT406" s="6" t="str">
        <f>HYPERLINK("http://www.worldcat.org/oclc/9622166","WorldCat Record")</f>
        <v>WorldCat Record</v>
      </c>
      <c r="AU406" s="3" t="s">
        <v>5396</v>
      </c>
      <c r="AV406" s="3" t="s">
        <v>5397</v>
      </c>
      <c r="AW406" s="3" t="s">
        <v>5398</v>
      </c>
      <c r="AX406" s="3" t="s">
        <v>5398</v>
      </c>
      <c r="AY406" s="3" t="s">
        <v>5399</v>
      </c>
      <c r="AZ406" s="3" t="s">
        <v>74</v>
      </c>
      <c r="BB406" s="3" t="s">
        <v>5400</v>
      </c>
      <c r="BC406" s="3" t="s">
        <v>5401</v>
      </c>
      <c r="BD406" s="3" t="s">
        <v>5402</v>
      </c>
    </row>
    <row r="407" spans="1:56" ht="42.75" customHeight="1" x14ac:dyDescent="0.25">
      <c r="A407" s="7" t="s">
        <v>58</v>
      </c>
      <c r="B407" s="2" t="s">
        <v>5403</v>
      </c>
      <c r="C407" s="2" t="s">
        <v>5404</v>
      </c>
      <c r="D407" s="2" t="s">
        <v>5405</v>
      </c>
      <c r="F407" s="3" t="s">
        <v>58</v>
      </c>
      <c r="G407" s="3" t="s">
        <v>59</v>
      </c>
      <c r="H407" s="3" t="s">
        <v>58</v>
      </c>
      <c r="I407" s="3" t="s">
        <v>58</v>
      </c>
      <c r="J407" s="3" t="s">
        <v>60</v>
      </c>
      <c r="K407" s="2" t="s">
        <v>5406</v>
      </c>
      <c r="L407" s="2" t="s">
        <v>5407</v>
      </c>
      <c r="M407" s="3" t="s">
        <v>98</v>
      </c>
      <c r="O407" s="3" t="s">
        <v>64</v>
      </c>
      <c r="P407" s="3" t="s">
        <v>115</v>
      </c>
      <c r="R407" s="3" t="s">
        <v>67</v>
      </c>
      <c r="S407" s="4">
        <v>21</v>
      </c>
      <c r="T407" s="4">
        <v>21</v>
      </c>
      <c r="U407" s="5" t="s">
        <v>5408</v>
      </c>
      <c r="V407" s="5" t="s">
        <v>5408</v>
      </c>
      <c r="W407" s="5" t="s">
        <v>4999</v>
      </c>
      <c r="X407" s="5" t="s">
        <v>4999</v>
      </c>
      <c r="Y407" s="4">
        <v>619</v>
      </c>
      <c r="Z407" s="4">
        <v>502</v>
      </c>
      <c r="AA407" s="4">
        <v>763</v>
      </c>
      <c r="AB407" s="4">
        <v>3</v>
      </c>
      <c r="AC407" s="4">
        <v>5</v>
      </c>
      <c r="AD407" s="4">
        <v>26</v>
      </c>
      <c r="AE407" s="4">
        <v>38</v>
      </c>
      <c r="AF407" s="4">
        <v>8</v>
      </c>
      <c r="AG407" s="4">
        <v>15</v>
      </c>
      <c r="AH407" s="4">
        <v>8</v>
      </c>
      <c r="AI407" s="4">
        <v>11</v>
      </c>
      <c r="AJ407" s="4">
        <v>14</v>
      </c>
      <c r="AK407" s="4">
        <v>17</v>
      </c>
      <c r="AL407" s="4">
        <v>2</v>
      </c>
      <c r="AM407" s="4">
        <v>4</v>
      </c>
      <c r="AN407" s="4">
        <v>1</v>
      </c>
      <c r="AO407" s="4">
        <v>1</v>
      </c>
      <c r="AP407" s="3" t="s">
        <v>58</v>
      </c>
      <c r="AQ407" s="3" t="s">
        <v>86</v>
      </c>
      <c r="AR407" s="6" t="str">
        <f>HYPERLINK("http://catalog.hathitrust.org/Record/000912046","HathiTrust Record")</f>
        <v>HathiTrust Record</v>
      </c>
      <c r="AS407" s="6" t="str">
        <f>HYPERLINK("https://creighton-primo.hosted.exlibrisgroup.com/primo-explore/search?tab=default_tab&amp;search_scope=EVERYTHING&amp;vid=01CRU&amp;lang=en_US&amp;offset=0&amp;query=any,contains,991001177749702656","Catalog Record")</f>
        <v>Catalog Record</v>
      </c>
      <c r="AT407" s="6" t="str">
        <f>HYPERLINK("http://www.worldcat.org/oclc/17104432","WorldCat Record")</f>
        <v>WorldCat Record</v>
      </c>
      <c r="AU407" s="3" t="s">
        <v>5409</v>
      </c>
      <c r="AV407" s="3" t="s">
        <v>5410</v>
      </c>
      <c r="AW407" s="3" t="s">
        <v>5411</v>
      </c>
      <c r="AX407" s="3" t="s">
        <v>5411</v>
      </c>
      <c r="AY407" s="3" t="s">
        <v>5412</v>
      </c>
      <c r="AZ407" s="3" t="s">
        <v>74</v>
      </c>
      <c r="BB407" s="3" t="s">
        <v>5413</v>
      </c>
      <c r="BC407" s="3" t="s">
        <v>5414</v>
      </c>
      <c r="BD407" s="3" t="s">
        <v>5415</v>
      </c>
    </row>
    <row r="408" spans="1:56" ht="42.75" customHeight="1" x14ac:dyDescent="0.25">
      <c r="A408" s="7" t="s">
        <v>58</v>
      </c>
      <c r="B408" s="2" t="s">
        <v>5416</v>
      </c>
      <c r="C408" s="2" t="s">
        <v>5417</v>
      </c>
      <c r="D408" s="2" t="s">
        <v>5418</v>
      </c>
      <c r="F408" s="3" t="s">
        <v>58</v>
      </c>
      <c r="G408" s="3" t="s">
        <v>59</v>
      </c>
      <c r="H408" s="3" t="s">
        <v>58</v>
      </c>
      <c r="I408" s="3" t="s">
        <v>58</v>
      </c>
      <c r="J408" s="3" t="s">
        <v>60</v>
      </c>
      <c r="K408" s="2" t="s">
        <v>5419</v>
      </c>
      <c r="L408" s="2" t="s">
        <v>5420</v>
      </c>
      <c r="M408" s="3" t="s">
        <v>3124</v>
      </c>
      <c r="O408" s="3" t="s">
        <v>64</v>
      </c>
      <c r="P408" s="3" t="s">
        <v>2854</v>
      </c>
      <c r="R408" s="3" t="s">
        <v>67</v>
      </c>
      <c r="S408" s="4">
        <v>4</v>
      </c>
      <c r="T408" s="4">
        <v>4</v>
      </c>
      <c r="U408" s="5" t="s">
        <v>5421</v>
      </c>
      <c r="V408" s="5" t="s">
        <v>5421</v>
      </c>
      <c r="W408" s="5" t="s">
        <v>5422</v>
      </c>
      <c r="X408" s="5" t="s">
        <v>5422</v>
      </c>
      <c r="Y408" s="4">
        <v>44</v>
      </c>
      <c r="Z408" s="4">
        <v>25</v>
      </c>
      <c r="AA408" s="4">
        <v>28</v>
      </c>
      <c r="AB408" s="4">
        <v>1</v>
      </c>
      <c r="AC408" s="4">
        <v>1</v>
      </c>
      <c r="AD408" s="4">
        <v>1</v>
      </c>
      <c r="AE408" s="4">
        <v>1</v>
      </c>
      <c r="AF408" s="4">
        <v>0</v>
      </c>
      <c r="AG408" s="4">
        <v>0</v>
      </c>
      <c r="AH408" s="4">
        <v>1</v>
      </c>
      <c r="AI408" s="4">
        <v>1</v>
      </c>
      <c r="AJ408" s="4">
        <v>1</v>
      </c>
      <c r="AK408" s="4">
        <v>1</v>
      </c>
      <c r="AL408" s="4">
        <v>0</v>
      </c>
      <c r="AM408" s="4">
        <v>0</v>
      </c>
      <c r="AN408" s="4">
        <v>0</v>
      </c>
      <c r="AO408" s="4">
        <v>0</v>
      </c>
      <c r="AP408" s="3" t="s">
        <v>58</v>
      </c>
      <c r="AQ408" s="3" t="s">
        <v>86</v>
      </c>
      <c r="AR408" s="6" t="str">
        <f>HYPERLINK("http://catalog.hathitrust.org/Record/009801449","HathiTrust Record")</f>
        <v>HathiTrust Record</v>
      </c>
      <c r="AS408" s="6" t="str">
        <f>HYPERLINK("https://creighton-primo.hosted.exlibrisgroup.com/primo-explore/search?tab=default_tab&amp;search_scope=EVERYTHING&amp;vid=01CRU&amp;lang=en_US&amp;offset=0&amp;query=any,contains,991003464419702656","Catalog Record")</f>
        <v>Catalog Record</v>
      </c>
      <c r="AT408" s="6" t="str">
        <f>HYPERLINK("http://www.worldcat.org/oclc/1006139","WorldCat Record")</f>
        <v>WorldCat Record</v>
      </c>
      <c r="AU408" s="3" t="s">
        <v>5423</v>
      </c>
      <c r="AV408" s="3" t="s">
        <v>5424</v>
      </c>
      <c r="AW408" s="3" t="s">
        <v>5425</v>
      </c>
      <c r="AX408" s="3" t="s">
        <v>5425</v>
      </c>
      <c r="AY408" s="3" t="s">
        <v>5426</v>
      </c>
      <c r="AZ408" s="3" t="s">
        <v>74</v>
      </c>
      <c r="BC408" s="3" t="s">
        <v>5427</v>
      </c>
      <c r="BD408" s="3" t="s">
        <v>5428</v>
      </c>
    </row>
    <row r="409" spans="1:56" ht="42.75" customHeight="1" x14ac:dyDescent="0.25">
      <c r="A409" s="7" t="s">
        <v>58</v>
      </c>
      <c r="B409" s="2" t="s">
        <v>5429</v>
      </c>
      <c r="C409" s="2" t="s">
        <v>5430</v>
      </c>
      <c r="D409" s="2" t="s">
        <v>5431</v>
      </c>
      <c r="F409" s="3" t="s">
        <v>58</v>
      </c>
      <c r="G409" s="3" t="s">
        <v>59</v>
      </c>
      <c r="H409" s="3" t="s">
        <v>58</v>
      </c>
      <c r="I409" s="3" t="s">
        <v>58</v>
      </c>
      <c r="J409" s="3" t="s">
        <v>60</v>
      </c>
      <c r="K409" s="2" t="s">
        <v>5432</v>
      </c>
      <c r="L409" s="2" t="s">
        <v>5433</v>
      </c>
      <c r="M409" s="3" t="s">
        <v>805</v>
      </c>
      <c r="O409" s="3" t="s">
        <v>64</v>
      </c>
      <c r="P409" s="3" t="s">
        <v>115</v>
      </c>
      <c r="R409" s="3" t="s">
        <v>67</v>
      </c>
      <c r="S409" s="4">
        <v>5</v>
      </c>
      <c r="T409" s="4">
        <v>5</v>
      </c>
      <c r="U409" s="5" t="s">
        <v>5434</v>
      </c>
      <c r="V409" s="5" t="s">
        <v>5434</v>
      </c>
      <c r="W409" s="5" t="s">
        <v>5435</v>
      </c>
      <c r="X409" s="5" t="s">
        <v>5435</v>
      </c>
      <c r="Y409" s="4">
        <v>756</v>
      </c>
      <c r="Z409" s="4">
        <v>692</v>
      </c>
      <c r="AA409" s="4">
        <v>753</v>
      </c>
      <c r="AB409" s="4">
        <v>5</v>
      </c>
      <c r="AC409" s="4">
        <v>6</v>
      </c>
      <c r="AD409" s="4">
        <v>30</v>
      </c>
      <c r="AE409" s="4">
        <v>32</v>
      </c>
      <c r="AF409" s="4">
        <v>11</v>
      </c>
      <c r="AG409" s="4">
        <v>12</v>
      </c>
      <c r="AH409" s="4">
        <v>5</v>
      </c>
      <c r="AI409" s="4">
        <v>5</v>
      </c>
      <c r="AJ409" s="4">
        <v>17</v>
      </c>
      <c r="AK409" s="4">
        <v>17</v>
      </c>
      <c r="AL409" s="4">
        <v>4</v>
      </c>
      <c r="AM409" s="4">
        <v>5</v>
      </c>
      <c r="AN409" s="4">
        <v>0</v>
      </c>
      <c r="AO409" s="4">
        <v>0</v>
      </c>
      <c r="AP409" s="3" t="s">
        <v>58</v>
      </c>
      <c r="AQ409" s="3" t="s">
        <v>58</v>
      </c>
      <c r="AS409" s="6" t="str">
        <f>HYPERLINK("https://creighton-primo.hosted.exlibrisgroup.com/primo-explore/search?tab=default_tab&amp;search_scope=EVERYTHING&amp;vid=01CRU&amp;lang=en_US&amp;offset=0&amp;query=any,contains,991002562969702656","Catalog Record")</f>
        <v>Catalog Record</v>
      </c>
      <c r="AT409" s="6" t="str">
        <f>HYPERLINK("http://www.worldcat.org/oclc/33333835","WorldCat Record")</f>
        <v>WorldCat Record</v>
      </c>
      <c r="AU409" s="3" t="s">
        <v>5436</v>
      </c>
      <c r="AV409" s="3" t="s">
        <v>5437</v>
      </c>
      <c r="AW409" s="3" t="s">
        <v>5438</v>
      </c>
      <c r="AX409" s="3" t="s">
        <v>5438</v>
      </c>
      <c r="AY409" s="3" t="s">
        <v>5439</v>
      </c>
      <c r="AZ409" s="3" t="s">
        <v>74</v>
      </c>
      <c r="BB409" s="3" t="s">
        <v>5440</v>
      </c>
      <c r="BC409" s="3" t="s">
        <v>5441</v>
      </c>
      <c r="BD409" s="3" t="s">
        <v>5442</v>
      </c>
    </row>
    <row r="410" spans="1:56" ht="42.75" customHeight="1" x14ac:dyDescent="0.25">
      <c r="A410" s="7" t="s">
        <v>58</v>
      </c>
      <c r="B410" s="2" t="s">
        <v>5443</v>
      </c>
      <c r="C410" s="2" t="s">
        <v>5444</v>
      </c>
      <c r="D410" s="2" t="s">
        <v>5445</v>
      </c>
      <c r="F410" s="3" t="s">
        <v>58</v>
      </c>
      <c r="G410" s="3" t="s">
        <v>59</v>
      </c>
      <c r="H410" s="3" t="s">
        <v>58</v>
      </c>
      <c r="I410" s="3" t="s">
        <v>58</v>
      </c>
      <c r="J410" s="3" t="s">
        <v>60</v>
      </c>
      <c r="K410" s="2" t="s">
        <v>5446</v>
      </c>
      <c r="L410" s="2" t="s">
        <v>5447</v>
      </c>
      <c r="M410" s="3" t="s">
        <v>805</v>
      </c>
      <c r="O410" s="3" t="s">
        <v>64</v>
      </c>
      <c r="P410" s="3" t="s">
        <v>208</v>
      </c>
      <c r="R410" s="3" t="s">
        <v>67</v>
      </c>
      <c r="S410" s="4">
        <v>4</v>
      </c>
      <c r="T410" s="4">
        <v>4</v>
      </c>
      <c r="U410" s="5" t="s">
        <v>3901</v>
      </c>
      <c r="V410" s="5" t="s">
        <v>3901</v>
      </c>
      <c r="W410" s="5" t="s">
        <v>5448</v>
      </c>
      <c r="X410" s="5" t="s">
        <v>5448</v>
      </c>
      <c r="Y410" s="4">
        <v>522</v>
      </c>
      <c r="Z410" s="4">
        <v>414</v>
      </c>
      <c r="AA410" s="4">
        <v>420</v>
      </c>
      <c r="AB410" s="4">
        <v>2</v>
      </c>
      <c r="AC410" s="4">
        <v>2</v>
      </c>
      <c r="AD410" s="4">
        <v>14</v>
      </c>
      <c r="AE410" s="4">
        <v>14</v>
      </c>
      <c r="AF410" s="4">
        <v>4</v>
      </c>
      <c r="AG410" s="4">
        <v>4</v>
      </c>
      <c r="AH410" s="4">
        <v>5</v>
      </c>
      <c r="AI410" s="4">
        <v>5</v>
      </c>
      <c r="AJ410" s="4">
        <v>8</v>
      </c>
      <c r="AK410" s="4">
        <v>8</v>
      </c>
      <c r="AL410" s="4">
        <v>0</v>
      </c>
      <c r="AM410" s="4">
        <v>0</v>
      </c>
      <c r="AN410" s="4">
        <v>0</v>
      </c>
      <c r="AO410" s="4">
        <v>0</v>
      </c>
      <c r="AP410" s="3" t="s">
        <v>58</v>
      </c>
      <c r="AQ410" s="3" t="s">
        <v>86</v>
      </c>
      <c r="AR410" s="6" t="str">
        <f>HYPERLINK("http://catalog.hathitrust.org/Record/003082379","HathiTrust Record")</f>
        <v>HathiTrust Record</v>
      </c>
      <c r="AS410" s="6" t="str">
        <f>HYPERLINK("https://creighton-primo.hosted.exlibrisgroup.com/primo-explore/search?tab=default_tab&amp;search_scope=EVERYTHING&amp;vid=01CRU&amp;lang=en_US&amp;offset=0&amp;query=any,contains,991002598889702656","Catalog Record")</f>
        <v>Catalog Record</v>
      </c>
      <c r="AT410" s="6" t="str">
        <f>HYPERLINK("http://www.worldcat.org/oclc/34046859","WorldCat Record")</f>
        <v>WorldCat Record</v>
      </c>
      <c r="AU410" s="3" t="s">
        <v>5449</v>
      </c>
      <c r="AV410" s="3" t="s">
        <v>5450</v>
      </c>
      <c r="AW410" s="3" t="s">
        <v>5451</v>
      </c>
      <c r="AX410" s="3" t="s">
        <v>5451</v>
      </c>
      <c r="AY410" s="3" t="s">
        <v>5452</v>
      </c>
      <c r="AZ410" s="3" t="s">
        <v>74</v>
      </c>
      <c r="BB410" s="3" t="s">
        <v>5453</v>
      </c>
      <c r="BC410" s="3" t="s">
        <v>5454</v>
      </c>
      <c r="BD410" s="3" t="s">
        <v>5455</v>
      </c>
    </row>
    <row r="411" spans="1:56" ht="42.75" customHeight="1" x14ac:dyDescent="0.25">
      <c r="A411" s="7" t="s">
        <v>58</v>
      </c>
      <c r="B411" s="2" t="s">
        <v>5456</v>
      </c>
      <c r="C411" s="2" t="s">
        <v>5457</v>
      </c>
      <c r="D411" s="2" t="s">
        <v>5458</v>
      </c>
      <c r="F411" s="3" t="s">
        <v>58</v>
      </c>
      <c r="G411" s="3" t="s">
        <v>59</v>
      </c>
      <c r="H411" s="3" t="s">
        <v>58</v>
      </c>
      <c r="I411" s="3" t="s">
        <v>58</v>
      </c>
      <c r="J411" s="3" t="s">
        <v>60</v>
      </c>
      <c r="K411" s="2" t="s">
        <v>5459</v>
      </c>
      <c r="L411" s="2" t="s">
        <v>5460</v>
      </c>
      <c r="M411" s="3" t="s">
        <v>269</v>
      </c>
      <c r="O411" s="3" t="s">
        <v>64</v>
      </c>
      <c r="P411" s="3" t="s">
        <v>115</v>
      </c>
      <c r="R411" s="3" t="s">
        <v>67</v>
      </c>
      <c r="S411" s="4">
        <v>6</v>
      </c>
      <c r="T411" s="4">
        <v>6</v>
      </c>
      <c r="U411" s="5" t="s">
        <v>5461</v>
      </c>
      <c r="V411" s="5" t="s">
        <v>5461</v>
      </c>
      <c r="W411" s="5" t="s">
        <v>5462</v>
      </c>
      <c r="X411" s="5" t="s">
        <v>5462</v>
      </c>
      <c r="Y411" s="4">
        <v>504</v>
      </c>
      <c r="Z411" s="4">
        <v>395</v>
      </c>
      <c r="AA411" s="4">
        <v>462</v>
      </c>
      <c r="AB411" s="4">
        <v>2</v>
      </c>
      <c r="AC411" s="4">
        <v>2</v>
      </c>
      <c r="AD411" s="4">
        <v>16</v>
      </c>
      <c r="AE411" s="4">
        <v>21</v>
      </c>
      <c r="AF411" s="4">
        <v>5</v>
      </c>
      <c r="AG411" s="4">
        <v>7</v>
      </c>
      <c r="AH411" s="4">
        <v>3</v>
      </c>
      <c r="AI411" s="4">
        <v>4</v>
      </c>
      <c r="AJ411" s="4">
        <v>12</v>
      </c>
      <c r="AK411" s="4">
        <v>15</v>
      </c>
      <c r="AL411" s="4">
        <v>1</v>
      </c>
      <c r="AM411" s="4">
        <v>1</v>
      </c>
      <c r="AN411" s="4">
        <v>0</v>
      </c>
      <c r="AO411" s="4">
        <v>0</v>
      </c>
      <c r="AP411" s="3" t="s">
        <v>58</v>
      </c>
      <c r="AQ411" s="3" t="s">
        <v>58</v>
      </c>
      <c r="AS411" s="6" t="str">
        <f>HYPERLINK("https://creighton-primo.hosted.exlibrisgroup.com/primo-explore/search?tab=default_tab&amp;search_scope=EVERYTHING&amp;vid=01CRU&amp;lang=en_US&amp;offset=0&amp;query=any,contains,991000006679702656","Catalog Record")</f>
        <v>Catalog Record</v>
      </c>
      <c r="AT411" s="6" t="str">
        <f>HYPERLINK("http://www.worldcat.org/oclc/13657","WorldCat Record")</f>
        <v>WorldCat Record</v>
      </c>
      <c r="AU411" s="3" t="s">
        <v>5463</v>
      </c>
      <c r="AV411" s="3" t="s">
        <v>5464</v>
      </c>
      <c r="AW411" s="3" t="s">
        <v>5465</v>
      </c>
      <c r="AX411" s="3" t="s">
        <v>5465</v>
      </c>
      <c r="AY411" s="3" t="s">
        <v>5466</v>
      </c>
      <c r="AZ411" s="3" t="s">
        <v>74</v>
      </c>
      <c r="BC411" s="3" t="s">
        <v>5467</v>
      </c>
      <c r="BD411" s="3" t="s">
        <v>5468</v>
      </c>
    </row>
    <row r="412" spans="1:56" ht="42.75" customHeight="1" x14ac:dyDescent="0.25">
      <c r="A412" s="7" t="s">
        <v>58</v>
      </c>
      <c r="B412" s="2" t="s">
        <v>5469</v>
      </c>
      <c r="C412" s="2" t="s">
        <v>5470</v>
      </c>
      <c r="D412" s="2" t="s">
        <v>5471</v>
      </c>
      <c r="F412" s="3" t="s">
        <v>58</v>
      </c>
      <c r="G412" s="3" t="s">
        <v>59</v>
      </c>
      <c r="H412" s="3" t="s">
        <v>58</v>
      </c>
      <c r="I412" s="3" t="s">
        <v>58</v>
      </c>
      <c r="J412" s="3" t="s">
        <v>60</v>
      </c>
      <c r="K412" s="2" t="s">
        <v>5472</v>
      </c>
      <c r="L412" s="2" t="s">
        <v>5473</v>
      </c>
      <c r="M412" s="3" t="s">
        <v>177</v>
      </c>
      <c r="O412" s="3" t="s">
        <v>64</v>
      </c>
      <c r="P412" s="3" t="s">
        <v>115</v>
      </c>
      <c r="Q412" s="2" t="s">
        <v>5474</v>
      </c>
      <c r="R412" s="3" t="s">
        <v>67</v>
      </c>
      <c r="S412" s="4">
        <v>4</v>
      </c>
      <c r="T412" s="4">
        <v>4</v>
      </c>
      <c r="U412" s="5" t="s">
        <v>5475</v>
      </c>
      <c r="V412" s="5" t="s">
        <v>5475</v>
      </c>
      <c r="W412" s="5" t="s">
        <v>5476</v>
      </c>
      <c r="X412" s="5" t="s">
        <v>5476</v>
      </c>
      <c r="Y412" s="4">
        <v>111</v>
      </c>
      <c r="Z412" s="4">
        <v>101</v>
      </c>
      <c r="AA412" s="4">
        <v>193</v>
      </c>
      <c r="AB412" s="4">
        <v>1</v>
      </c>
      <c r="AC412" s="4">
        <v>1</v>
      </c>
      <c r="AD412" s="4">
        <v>1</v>
      </c>
      <c r="AE412" s="4">
        <v>1</v>
      </c>
      <c r="AF412" s="4">
        <v>0</v>
      </c>
      <c r="AG412" s="4">
        <v>0</v>
      </c>
      <c r="AH412" s="4">
        <v>0</v>
      </c>
      <c r="AI412" s="4">
        <v>0</v>
      </c>
      <c r="AJ412" s="4">
        <v>1</v>
      </c>
      <c r="AK412" s="4">
        <v>1</v>
      </c>
      <c r="AL412" s="4">
        <v>0</v>
      </c>
      <c r="AM412" s="4">
        <v>0</v>
      </c>
      <c r="AN412" s="4">
        <v>0</v>
      </c>
      <c r="AO412" s="4">
        <v>0</v>
      </c>
      <c r="AP412" s="3" t="s">
        <v>58</v>
      </c>
      <c r="AQ412" s="3" t="s">
        <v>58</v>
      </c>
      <c r="AS412" s="6" t="str">
        <f>HYPERLINK("https://creighton-primo.hosted.exlibrisgroup.com/primo-explore/search?tab=default_tab&amp;search_scope=EVERYTHING&amp;vid=01CRU&amp;lang=en_US&amp;offset=0&amp;query=any,contains,991003075089702656","Catalog Record")</f>
        <v>Catalog Record</v>
      </c>
      <c r="AT412" s="6" t="str">
        <f>HYPERLINK("http://www.worldcat.org/oclc/628245","WorldCat Record")</f>
        <v>WorldCat Record</v>
      </c>
      <c r="AU412" s="3" t="s">
        <v>5477</v>
      </c>
      <c r="AV412" s="3" t="s">
        <v>5478</v>
      </c>
      <c r="AW412" s="3" t="s">
        <v>5479</v>
      </c>
      <c r="AX412" s="3" t="s">
        <v>5479</v>
      </c>
      <c r="AY412" s="3" t="s">
        <v>5480</v>
      </c>
      <c r="AZ412" s="3" t="s">
        <v>74</v>
      </c>
      <c r="BB412" s="3" t="s">
        <v>5481</v>
      </c>
      <c r="BC412" s="3" t="s">
        <v>5482</v>
      </c>
      <c r="BD412" s="3" t="s">
        <v>5483</v>
      </c>
    </row>
    <row r="413" spans="1:56" ht="42.75" customHeight="1" x14ac:dyDescent="0.25">
      <c r="A413" s="7" t="s">
        <v>58</v>
      </c>
      <c r="B413" s="2" t="s">
        <v>5484</v>
      </c>
      <c r="C413" s="2" t="s">
        <v>5485</v>
      </c>
      <c r="D413" s="2" t="s">
        <v>5486</v>
      </c>
      <c r="F413" s="3" t="s">
        <v>58</v>
      </c>
      <c r="G413" s="3" t="s">
        <v>59</v>
      </c>
      <c r="H413" s="3" t="s">
        <v>86</v>
      </c>
      <c r="I413" s="3" t="s">
        <v>58</v>
      </c>
      <c r="J413" s="3" t="s">
        <v>60</v>
      </c>
      <c r="K413" s="2" t="s">
        <v>5487</v>
      </c>
      <c r="L413" s="2" t="s">
        <v>5488</v>
      </c>
      <c r="M413" s="3" t="s">
        <v>2386</v>
      </c>
      <c r="O413" s="3" t="s">
        <v>64</v>
      </c>
      <c r="P413" s="3" t="s">
        <v>115</v>
      </c>
      <c r="Q413" s="2" t="s">
        <v>5489</v>
      </c>
      <c r="R413" s="3" t="s">
        <v>67</v>
      </c>
      <c r="S413" s="4">
        <v>3</v>
      </c>
      <c r="T413" s="4">
        <v>3</v>
      </c>
      <c r="U413" s="5" t="s">
        <v>5490</v>
      </c>
      <c r="V413" s="5" t="s">
        <v>5490</v>
      </c>
      <c r="W413" s="5" t="s">
        <v>5491</v>
      </c>
      <c r="X413" s="5" t="s">
        <v>5492</v>
      </c>
      <c r="Y413" s="4">
        <v>478</v>
      </c>
      <c r="Z413" s="4">
        <v>351</v>
      </c>
      <c r="AA413" s="4">
        <v>354</v>
      </c>
      <c r="AB413" s="4">
        <v>6</v>
      </c>
      <c r="AC413" s="4">
        <v>6</v>
      </c>
      <c r="AD413" s="4">
        <v>14</v>
      </c>
      <c r="AE413" s="4">
        <v>14</v>
      </c>
      <c r="AF413" s="4">
        <v>2</v>
      </c>
      <c r="AG413" s="4">
        <v>2</v>
      </c>
      <c r="AH413" s="4">
        <v>5</v>
      </c>
      <c r="AI413" s="4">
        <v>5</v>
      </c>
      <c r="AJ413" s="4">
        <v>6</v>
      </c>
      <c r="AK413" s="4">
        <v>6</v>
      </c>
      <c r="AL413" s="4">
        <v>3</v>
      </c>
      <c r="AM413" s="4">
        <v>3</v>
      </c>
      <c r="AN413" s="4">
        <v>0</v>
      </c>
      <c r="AO413" s="4">
        <v>0</v>
      </c>
      <c r="AP413" s="3" t="s">
        <v>58</v>
      </c>
      <c r="AQ413" s="3" t="s">
        <v>86</v>
      </c>
      <c r="AR413" s="6" t="str">
        <f>HYPERLINK("http://catalog.hathitrust.org/Record/000741167","HathiTrust Record")</f>
        <v>HathiTrust Record</v>
      </c>
      <c r="AS413" s="6" t="str">
        <f>HYPERLINK("https://creighton-primo.hosted.exlibrisgroup.com/primo-explore/search?tab=default_tab&amp;search_scope=EVERYTHING&amp;vid=01CRU&amp;lang=en_US&amp;offset=0&amp;query=any,contains,991001675479702656","Catalog Record")</f>
        <v>Catalog Record</v>
      </c>
      <c r="AT413" s="6" t="str">
        <f>HYPERLINK("http://www.worldcat.org/oclc/730785","WorldCat Record")</f>
        <v>WorldCat Record</v>
      </c>
      <c r="AU413" s="3" t="s">
        <v>5493</v>
      </c>
      <c r="AV413" s="3" t="s">
        <v>5494</v>
      </c>
      <c r="AW413" s="3" t="s">
        <v>5495</v>
      </c>
      <c r="AX413" s="3" t="s">
        <v>5495</v>
      </c>
      <c r="AY413" s="3" t="s">
        <v>5496</v>
      </c>
      <c r="AZ413" s="3" t="s">
        <v>74</v>
      </c>
      <c r="BB413" s="3" t="s">
        <v>5497</v>
      </c>
      <c r="BC413" s="3" t="s">
        <v>5498</v>
      </c>
      <c r="BD413" s="3" t="s">
        <v>5499</v>
      </c>
    </row>
    <row r="414" spans="1:56" ht="42.75" customHeight="1" x14ac:dyDescent="0.25">
      <c r="A414" s="7" t="s">
        <v>58</v>
      </c>
      <c r="B414" s="2" t="s">
        <v>5500</v>
      </c>
      <c r="C414" s="2" t="s">
        <v>5501</v>
      </c>
      <c r="D414" s="2" t="s">
        <v>5502</v>
      </c>
      <c r="F414" s="3" t="s">
        <v>58</v>
      </c>
      <c r="G414" s="3" t="s">
        <v>59</v>
      </c>
      <c r="H414" s="3" t="s">
        <v>58</v>
      </c>
      <c r="I414" s="3" t="s">
        <v>58</v>
      </c>
      <c r="J414" s="3" t="s">
        <v>60</v>
      </c>
      <c r="K414" s="2" t="s">
        <v>5503</v>
      </c>
      <c r="L414" s="2" t="s">
        <v>5504</v>
      </c>
      <c r="M414" s="3" t="s">
        <v>2386</v>
      </c>
      <c r="O414" s="3" t="s">
        <v>64</v>
      </c>
      <c r="P414" s="3" t="s">
        <v>1898</v>
      </c>
      <c r="Q414" s="2" t="s">
        <v>5505</v>
      </c>
      <c r="R414" s="3" t="s">
        <v>67</v>
      </c>
      <c r="S414" s="4">
        <v>4</v>
      </c>
      <c r="T414" s="4">
        <v>4</v>
      </c>
      <c r="U414" s="5" t="s">
        <v>5506</v>
      </c>
      <c r="V414" s="5" t="s">
        <v>5506</v>
      </c>
      <c r="W414" s="5" t="s">
        <v>5507</v>
      </c>
      <c r="X414" s="5" t="s">
        <v>5507</v>
      </c>
      <c r="Y414" s="4">
        <v>510</v>
      </c>
      <c r="Z414" s="4">
        <v>431</v>
      </c>
      <c r="AA414" s="4">
        <v>438</v>
      </c>
      <c r="AB414" s="4">
        <v>5</v>
      </c>
      <c r="AC414" s="4">
        <v>5</v>
      </c>
      <c r="AD414" s="4">
        <v>16</v>
      </c>
      <c r="AE414" s="4">
        <v>16</v>
      </c>
      <c r="AF414" s="4">
        <v>2</v>
      </c>
      <c r="AG414" s="4">
        <v>2</v>
      </c>
      <c r="AH414" s="4">
        <v>5</v>
      </c>
      <c r="AI414" s="4">
        <v>5</v>
      </c>
      <c r="AJ414" s="4">
        <v>8</v>
      </c>
      <c r="AK414" s="4">
        <v>8</v>
      </c>
      <c r="AL414" s="4">
        <v>3</v>
      </c>
      <c r="AM414" s="4">
        <v>3</v>
      </c>
      <c r="AN414" s="4">
        <v>1</v>
      </c>
      <c r="AO414" s="4">
        <v>1</v>
      </c>
      <c r="AP414" s="3" t="s">
        <v>58</v>
      </c>
      <c r="AQ414" s="3" t="s">
        <v>86</v>
      </c>
      <c r="AR414" s="6" t="str">
        <f>HYPERLINK("http://catalog.hathitrust.org/Record/000104878","HathiTrust Record")</f>
        <v>HathiTrust Record</v>
      </c>
      <c r="AS414" s="6" t="str">
        <f>HYPERLINK("https://creighton-primo.hosted.exlibrisgroup.com/primo-explore/search?tab=default_tab&amp;search_scope=EVERYTHING&amp;vid=01CRU&amp;lang=en_US&amp;offset=0&amp;query=any,contains,991003524159702656","Catalog Record")</f>
        <v>Catalog Record</v>
      </c>
      <c r="AT414" s="6" t="str">
        <f>HYPERLINK("http://www.worldcat.org/oclc/1085891","WorldCat Record")</f>
        <v>WorldCat Record</v>
      </c>
      <c r="AU414" s="3" t="s">
        <v>5508</v>
      </c>
      <c r="AV414" s="3" t="s">
        <v>5509</v>
      </c>
      <c r="AW414" s="3" t="s">
        <v>5510</v>
      </c>
      <c r="AX414" s="3" t="s">
        <v>5510</v>
      </c>
      <c r="AY414" s="3" t="s">
        <v>5511</v>
      </c>
      <c r="AZ414" s="3" t="s">
        <v>74</v>
      </c>
      <c r="BB414" s="3" t="s">
        <v>5512</v>
      </c>
      <c r="BC414" s="3" t="s">
        <v>5513</v>
      </c>
      <c r="BD414" s="3" t="s">
        <v>5514</v>
      </c>
    </row>
    <row r="415" spans="1:56" ht="42.75" customHeight="1" x14ac:dyDescent="0.25">
      <c r="A415" s="7" t="s">
        <v>58</v>
      </c>
      <c r="B415" s="2" t="s">
        <v>5515</v>
      </c>
      <c r="C415" s="2" t="s">
        <v>5516</v>
      </c>
      <c r="D415" s="2" t="s">
        <v>5517</v>
      </c>
      <c r="F415" s="3" t="s">
        <v>58</v>
      </c>
      <c r="G415" s="3" t="s">
        <v>59</v>
      </c>
      <c r="H415" s="3" t="s">
        <v>58</v>
      </c>
      <c r="I415" s="3" t="s">
        <v>58</v>
      </c>
      <c r="J415" s="3" t="s">
        <v>60</v>
      </c>
      <c r="K415" s="2" t="s">
        <v>5518</v>
      </c>
      <c r="L415" s="2" t="s">
        <v>5519</v>
      </c>
      <c r="M415" s="3" t="s">
        <v>207</v>
      </c>
      <c r="O415" s="3" t="s">
        <v>64</v>
      </c>
      <c r="P415" s="3" t="s">
        <v>115</v>
      </c>
      <c r="Q415" s="2" t="s">
        <v>5520</v>
      </c>
      <c r="R415" s="3" t="s">
        <v>67</v>
      </c>
      <c r="S415" s="4">
        <v>3</v>
      </c>
      <c r="T415" s="4">
        <v>3</v>
      </c>
      <c r="U415" s="5" t="s">
        <v>3244</v>
      </c>
      <c r="V415" s="5" t="s">
        <v>3244</v>
      </c>
      <c r="W415" s="5" t="s">
        <v>4999</v>
      </c>
      <c r="X415" s="5" t="s">
        <v>4999</v>
      </c>
      <c r="Y415" s="4">
        <v>256</v>
      </c>
      <c r="Z415" s="4">
        <v>181</v>
      </c>
      <c r="AA415" s="4">
        <v>182</v>
      </c>
      <c r="AB415" s="4">
        <v>2</v>
      </c>
      <c r="AC415" s="4">
        <v>2</v>
      </c>
      <c r="AD415" s="4">
        <v>6</v>
      </c>
      <c r="AE415" s="4">
        <v>6</v>
      </c>
      <c r="AF415" s="4">
        <v>2</v>
      </c>
      <c r="AG415" s="4">
        <v>2</v>
      </c>
      <c r="AH415" s="4">
        <v>0</v>
      </c>
      <c r="AI415" s="4">
        <v>0</v>
      </c>
      <c r="AJ415" s="4">
        <v>4</v>
      </c>
      <c r="AK415" s="4">
        <v>4</v>
      </c>
      <c r="AL415" s="4">
        <v>1</v>
      </c>
      <c r="AM415" s="4">
        <v>1</v>
      </c>
      <c r="AN415" s="4">
        <v>0</v>
      </c>
      <c r="AO415" s="4">
        <v>0</v>
      </c>
      <c r="AP415" s="3" t="s">
        <v>58</v>
      </c>
      <c r="AQ415" s="3" t="s">
        <v>86</v>
      </c>
      <c r="AR415" s="6" t="str">
        <f>HYPERLINK("http://catalog.hathitrust.org/Record/007469887","HathiTrust Record")</f>
        <v>HathiTrust Record</v>
      </c>
      <c r="AS415" s="6" t="str">
        <f>HYPERLINK("https://creighton-primo.hosted.exlibrisgroup.com/primo-explore/search?tab=default_tab&amp;search_scope=EVERYTHING&amp;vid=01CRU&amp;lang=en_US&amp;offset=0&amp;query=any,contains,991005116799702656","Catalog Record")</f>
        <v>Catalog Record</v>
      </c>
      <c r="AT415" s="6" t="str">
        <f>HYPERLINK("http://www.worldcat.org/oclc/7463279","WorldCat Record")</f>
        <v>WorldCat Record</v>
      </c>
      <c r="AU415" s="3" t="s">
        <v>5521</v>
      </c>
      <c r="AV415" s="3" t="s">
        <v>5522</v>
      </c>
      <c r="AW415" s="3" t="s">
        <v>5523</v>
      </c>
      <c r="AX415" s="3" t="s">
        <v>5523</v>
      </c>
      <c r="AY415" s="3" t="s">
        <v>5524</v>
      </c>
      <c r="AZ415" s="3" t="s">
        <v>74</v>
      </c>
      <c r="BB415" s="3" t="s">
        <v>5525</v>
      </c>
      <c r="BC415" s="3" t="s">
        <v>5526</v>
      </c>
      <c r="BD415" s="3" t="s">
        <v>5527</v>
      </c>
    </row>
    <row r="416" spans="1:56" ht="42.75" customHeight="1" x14ac:dyDescent="0.25">
      <c r="A416" s="7" t="s">
        <v>58</v>
      </c>
      <c r="B416" s="2" t="s">
        <v>5528</v>
      </c>
      <c r="C416" s="2" t="s">
        <v>5529</v>
      </c>
      <c r="D416" s="2" t="s">
        <v>5530</v>
      </c>
      <c r="F416" s="3" t="s">
        <v>58</v>
      </c>
      <c r="G416" s="3" t="s">
        <v>59</v>
      </c>
      <c r="H416" s="3" t="s">
        <v>58</v>
      </c>
      <c r="I416" s="3" t="s">
        <v>58</v>
      </c>
      <c r="J416" s="3" t="s">
        <v>60</v>
      </c>
      <c r="K416" s="2" t="s">
        <v>5531</v>
      </c>
      <c r="L416" s="2" t="s">
        <v>5532</v>
      </c>
      <c r="M416" s="3" t="s">
        <v>223</v>
      </c>
      <c r="O416" s="3" t="s">
        <v>64</v>
      </c>
      <c r="P416" s="3" t="s">
        <v>115</v>
      </c>
      <c r="Q416" s="2" t="s">
        <v>5489</v>
      </c>
      <c r="R416" s="3" t="s">
        <v>67</v>
      </c>
      <c r="S416" s="4">
        <v>10</v>
      </c>
      <c r="T416" s="4">
        <v>10</v>
      </c>
      <c r="U416" s="5" t="s">
        <v>5533</v>
      </c>
      <c r="V416" s="5" t="s">
        <v>5533</v>
      </c>
      <c r="W416" s="5" t="s">
        <v>4999</v>
      </c>
      <c r="X416" s="5" t="s">
        <v>4999</v>
      </c>
      <c r="Y416" s="4">
        <v>343</v>
      </c>
      <c r="Z416" s="4">
        <v>260</v>
      </c>
      <c r="AA416" s="4">
        <v>265</v>
      </c>
      <c r="AB416" s="4">
        <v>4</v>
      </c>
      <c r="AC416" s="4">
        <v>4</v>
      </c>
      <c r="AD416" s="4">
        <v>8</v>
      </c>
      <c r="AE416" s="4">
        <v>8</v>
      </c>
      <c r="AF416" s="4">
        <v>2</v>
      </c>
      <c r="AG416" s="4">
        <v>2</v>
      </c>
      <c r="AH416" s="4">
        <v>1</v>
      </c>
      <c r="AI416" s="4">
        <v>1</v>
      </c>
      <c r="AJ416" s="4">
        <v>4</v>
      </c>
      <c r="AK416" s="4">
        <v>4</v>
      </c>
      <c r="AL416" s="4">
        <v>3</v>
      </c>
      <c r="AM416" s="4">
        <v>3</v>
      </c>
      <c r="AN416" s="4">
        <v>0</v>
      </c>
      <c r="AO416" s="4">
        <v>0</v>
      </c>
      <c r="AP416" s="3" t="s">
        <v>58</v>
      </c>
      <c r="AQ416" s="3" t="s">
        <v>86</v>
      </c>
      <c r="AR416" s="6" t="str">
        <f>HYPERLINK("http://catalog.hathitrust.org/Record/000254033","HathiTrust Record")</f>
        <v>HathiTrust Record</v>
      </c>
      <c r="AS416" s="6" t="str">
        <f>HYPERLINK("https://creighton-primo.hosted.exlibrisgroup.com/primo-explore/search?tab=default_tab&amp;search_scope=EVERYTHING&amp;vid=01CRU&amp;lang=en_US&amp;offset=0&amp;query=any,contains,991004340039702656","Catalog Record")</f>
        <v>Catalog Record</v>
      </c>
      <c r="AT416" s="6" t="str">
        <f>HYPERLINK("http://www.worldcat.org/oclc/3088658","WorldCat Record")</f>
        <v>WorldCat Record</v>
      </c>
      <c r="AU416" s="3" t="s">
        <v>5534</v>
      </c>
      <c r="AV416" s="3" t="s">
        <v>5535</v>
      </c>
      <c r="AW416" s="3" t="s">
        <v>5536</v>
      </c>
      <c r="AX416" s="3" t="s">
        <v>5536</v>
      </c>
      <c r="AY416" s="3" t="s">
        <v>5537</v>
      </c>
      <c r="AZ416" s="3" t="s">
        <v>74</v>
      </c>
      <c r="BB416" s="3" t="s">
        <v>5538</v>
      </c>
      <c r="BC416" s="3" t="s">
        <v>5539</v>
      </c>
      <c r="BD416" s="3" t="s">
        <v>5540</v>
      </c>
    </row>
    <row r="417" spans="1:56" ht="42.75" customHeight="1" x14ac:dyDescent="0.25">
      <c r="A417" s="7" t="s">
        <v>58</v>
      </c>
      <c r="B417" s="2" t="s">
        <v>5541</v>
      </c>
      <c r="C417" s="2" t="s">
        <v>5542</v>
      </c>
      <c r="D417" s="2" t="s">
        <v>5543</v>
      </c>
      <c r="F417" s="3" t="s">
        <v>58</v>
      </c>
      <c r="G417" s="3" t="s">
        <v>59</v>
      </c>
      <c r="H417" s="3" t="s">
        <v>58</v>
      </c>
      <c r="I417" s="3" t="s">
        <v>58</v>
      </c>
      <c r="J417" s="3" t="s">
        <v>60</v>
      </c>
      <c r="L417" s="2" t="s">
        <v>5544</v>
      </c>
      <c r="M417" s="3" t="s">
        <v>344</v>
      </c>
      <c r="O417" s="3" t="s">
        <v>64</v>
      </c>
      <c r="P417" s="3" t="s">
        <v>359</v>
      </c>
      <c r="Q417" s="2" t="s">
        <v>5545</v>
      </c>
      <c r="R417" s="3" t="s">
        <v>67</v>
      </c>
      <c r="S417" s="4">
        <v>1</v>
      </c>
      <c r="T417" s="4">
        <v>1</v>
      </c>
      <c r="U417" s="5" t="s">
        <v>5546</v>
      </c>
      <c r="V417" s="5" t="s">
        <v>5546</v>
      </c>
      <c r="W417" s="5" t="s">
        <v>5547</v>
      </c>
      <c r="X417" s="5" t="s">
        <v>5547</v>
      </c>
      <c r="Y417" s="4">
        <v>120</v>
      </c>
      <c r="Z417" s="4">
        <v>93</v>
      </c>
      <c r="AA417" s="4">
        <v>95</v>
      </c>
      <c r="AB417" s="4">
        <v>2</v>
      </c>
      <c r="AC417" s="4">
        <v>2</v>
      </c>
      <c r="AD417" s="4">
        <v>4</v>
      </c>
      <c r="AE417" s="4">
        <v>4</v>
      </c>
      <c r="AF417" s="4">
        <v>3</v>
      </c>
      <c r="AG417" s="4">
        <v>3</v>
      </c>
      <c r="AH417" s="4">
        <v>0</v>
      </c>
      <c r="AI417" s="4">
        <v>0</v>
      </c>
      <c r="AJ417" s="4">
        <v>3</v>
      </c>
      <c r="AK417" s="4">
        <v>3</v>
      </c>
      <c r="AL417" s="4">
        <v>1</v>
      </c>
      <c r="AM417" s="4">
        <v>1</v>
      </c>
      <c r="AN417" s="4">
        <v>0</v>
      </c>
      <c r="AO417" s="4">
        <v>0</v>
      </c>
      <c r="AP417" s="3" t="s">
        <v>58</v>
      </c>
      <c r="AQ417" s="3" t="s">
        <v>58</v>
      </c>
      <c r="AS417" s="6" t="str">
        <f>HYPERLINK("https://creighton-primo.hosted.exlibrisgroup.com/primo-explore/search?tab=default_tab&amp;search_scope=EVERYTHING&amp;vid=01CRU&amp;lang=en_US&amp;offset=0&amp;query=any,contains,991004893199702656","Catalog Record")</f>
        <v>Catalog Record</v>
      </c>
      <c r="AT417" s="6" t="str">
        <f>HYPERLINK("http://www.worldcat.org/oclc/5889344","WorldCat Record")</f>
        <v>WorldCat Record</v>
      </c>
      <c r="AU417" s="3" t="s">
        <v>5548</v>
      </c>
      <c r="AV417" s="3" t="s">
        <v>5549</v>
      </c>
      <c r="AW417" s="3" t="s">
        <v>5550</v>
      </c>
      <c r="AX417" s="3" t="s">
        <v>5550</v>
      </c>
      <c r="AY417" s="3" t="s">
        <v>5551</v>
      </c>
      <c r="AZ417" s="3" t="s">
        <v>74</v>
      </c>
      <c r="BB417" s="3" t="s">
        <v>5552</v>
      </c>
      <c r="BC417" s="3" t="s">
        <v>5553</v>
      </c>
      <c r="BD417" s="3" t="s">
        <v>5554</v>
      </c>
    </row>
    <row r="418" spans="1:56" ht="42.75" customHeight="1" x14ac:dyDescent="0.25">
      <c r="A418" s="7" t="s">
        <v>58</v>
      </c>
      <c r="B418" s="2" t="s">
        <v>5555</v>
      </c>
      <c r="C418" s="2" t="s">
        <v>5556</v>
      </c>
      <c r="D418" s="2" t="s">
        <v>5557</v>
      </c>
      <c r="F418" s="3" t="s">
        <v>58</v>
      </c>
      <c r="G418" s="3" t="s">
        <v>59</v>
      </c>
      <c r="H418" s="3" t="s">
        <v>58</v>
      </c>
      <c r="I418" s="3" t="s">
        <v>58</v>
      </c>
      <c r="J418" s="3" t="s">
        <v>60</v>
      </c>
      <c r="L418" s="2" t="s">
        <v>5558</v>
      </c>
      <c r="M418" s="3" t="s">
        <v>586</v>
      </c>
      <c r="O418" s="3" t="s">
        <v>64</v>
      </c>
      <c r="P418" s="3" t="s">
        <v>83</v>
      </c>
      <c r="R418" s="3" t="s">
        <v>67</v>
      </c>
      <c r="S418" s="4">
        <v>3</v>
      </c>
      <c r="T418" s="4">
        <v>3</v>
      </c>
      <c r="U418" s="5" t="s">
        <v>5559</v>
      </c>
      <c r="V418" s="5" t="s">
        <v>5559</v>
      </c>
      <c r="W418" s="5" t="s">
        <v>5560</v>
      </c>
      <c r="X418" s="5" t="s">
        <v>5560</v>
      </c>
      <c r="Y418" s="4">
        <v>382</v>
      </c>
      <c r="Z418" s="4">
        <v>353</v>
      </c>
      <c r="AA418" s="4">
        <v>790</v>
      </c>
      <c r="AB418" s="4">
        <v>1</v>
      </c>
      <c r="AC418" s="4">
        <v>3</v>
      </c>
      <c r="AD418" s="4">
        <v>18</v>
      </c>
      <c r="AE418" s="4">
        <v>24</v>
      </c>
      <c r="AF418" s="4">
        <v>4</v>
      </c>
      <c r="AG418" s="4">
        <v>8</v>
      </c>
      <c r="AH418" s="4">
        <v>6</v>
      </c>
      <c r="AI418" s="4">
        <v>6</v>
      </c>
      <c r="AJ418" s="4">
        <v>12</v>
      </c>
      <c r="AK418" s="4">
        <v>13</v>
      </c>
      <c r="AL418" s="4">
        <v>0</v>
      </c>
      <c r="AM418" s="4">
        <v>2</v>
      </c>
      <c r="AN418" s="4">
        <v>1</v>
      </c>
      <c r="AO418" s="4">
        <v>1</v>
      </c>
      <c r="AP418" s="3" t="s">
        <v>58</v>
      </c>
      <c r="AQ418" s="3" t="s">
        <v>86</v>
      </c>
      <c r="AR418" s="6" t="str">
        <f>HYPERLINK("http://catalog.hathitrust.org/Record/002427867","HathiTrust Record")</f>
        <v>HathiTrust Record</v>
      </c>
      <c r="AS418" s="6" t="str">
        <f>HYPERLINK("https://creighton-primo.hosted.exlibrisgroup.com/primo-explore/search?tab=default_tab&amp;search_scope=EVERYTHING&amp;vid=01CRU&amp;lang=en_US&amp;offset=0&amp;query=any,contains,991001487959702656","Catalog Record")</f>
        <v>Catalog Record</v>
      </c>
      <c r="AT418" s="6" t="str">
        <f>HYPERLINK("http://www.worldcat.org/oclc/19671692","WorldCat Record")</f>
        <v>WorldCat Record</v>
      </c>
      <c r="AU418" s="3" t="s">
        <v>5561</v>
      </c>
      <c r="AV418" s="3" t="s">
        <v>5562</v>
      </c>
      <c r="AW418" s="3" t="s">
        <v>5563</v>
      </c>
      <c r="AX418" s="3" t="s">
        <v>5563</v>
      </c>
      <c r="AY418" s="3" t="s">
        <v>5564</v>
      </c>
      <c r="AZ418" s="3" t="s">
        <v>74</v>
      </c>
      <c r="BB418" s="3" t="s">
        <v>5565</v>
      </c>
      <c r="BC418" s="3" t="s">
        <v>5566</v>
      </c>
      <c r="BD418" s="3" t="s">
        <v>5567</v>
      </c>
    </row>
    <row r="419" spans="1:56" ht="42.75" customHeight="1" x14ac:dyDescent="0.25">
      <c r="A419" s="7" t="s">
        <v>58</v>
      </c>
      <c r="B419" s="2" t="s">
        <v>5568</v>
      </c>
      <c r="C419" s="2" t="s">
        <v>5569</v>
      </c>
      <c r="D419" s="2" t="s">
        <v>5570</v>
      </c>
      <c r="F419" s="3" t="s">
        <v>58</v>
      </c>
      <c r="G419" s="3" t="s">
        <v>59</v>
      </c>
      <c r="H419" s="3" t="s">
        <v>86</v>
      </c>
      <c r="I419" s="3" t="s">
        <v>58</v>
      </c>
      <c r="J419" s="3" t="s">
        <v>60</v>
      </c>
      <c r="K419" s="2" t="s">
        <v>5571</v>
      </c>
      <c r="L419" s="2" t="s">
        <v>4919</v>
      </c>
      <c r="M419" s="3" t="s">
        <v>2770</v>
      </c>
      <c r="O419" s="3" t="s">
        <v>64</v>
      </c>
      <c r="P419" s="3" t="s">
        <v>2609</v>
      </c>
      <c r="R419" s="3" t="s">
        <v>67</v>
      </c>
      <c r="S419" s="4">
        <v>2</v>
      </c>
      <c r="T419" s="4">
        <v>2</v>
      </c>
      <c r="U419" s="5" t="s">
        <v>5572</v>
      </c>
      <c r="V419" s="5" t="s">
        <v>5572</v>
      </c>
      <c r="W419" s="5" t="s">
        <v>4999</v>
      </c>
      <c r="X419" s="5" t="s">
        <v>4999</v>
      </c>
      <c r="Y419" s="4">
        <v>157</v>
      </c>
      <c r="Z419" s="4">
        <v>124</v>
      </c>
      <c r="AA419" s="4">
        <v>124</v>
      </c>
      <c r="AB419" s="4">
        <v>2</v>
      </c>
      <c r="AC419" s="4">
        <v>2</v>
      </c>
      <c r="AD419" s="4">
        <v>3</v>
      </c>
      <c r="AE419" s="4">
        <v>3</v>
      </c>
      <c r="AF419" s="4">
        <v>1</v>
      </c>
      <c r="AG419" s="4">
        <v>1</v>
      </c>
      <c r="AH419" s="4">
        <v>0</v>
      </c>
      <c r="AI419" s="4">
        <v>0</v>
      </c>
      <c r="AJ419" s="4">
        <v>2</v>
      </c>
      <c r="AK419" s="4">
        <v>2</v>
      </c>
      <c r="AL419" s="4">
        <v>0</v>
      </c>
      <c r="AM419" s="4">
        <v>0</v>
      </c>
      <c r="AN419" s="4">
        <v>0</v>
      </c>
      <c r="AO419" s="4">
        <v>0</v>
      </c>
      <c r="AP419" s="3" t="s">
        <v>58</v>
      </c>
      <c r="AQ419" s="3" t="s">
        <v>58</v>
      </c>
      <c r="AS419" s="6" t="str">
        <f>HYPERLINK("https://creighton-primo.hosted.exlibrisgroup.com/primo-explore/search?tab=default_tab&amp;search_scope=EVERYTHING&amp;vid=01CRU&amp;lang=en_US&amp;offset=0&amp;query=any,contains,991001776869702656","Catalog Record")</f>
        <v>Catalog Record</v>
      </c>
      <c r="AT419" s="6" t="str">
        <f>HYPERLINK("http://www.worldcat.org/oclc/2425046","WorldCat Record")</f>
        <v>WorldCat Record</v>
      </c>
      <c r="AU419" s="3" t="s">
        <v>5573</v>
      </c>
      <c r="AV419" s="3" t="s">
        <v>5574</v>
      </c>
      <c r="AW419" s="3" t="s">
        <v>5575</v>
      </c>
      <c r="AX419" s="3" t="s">
        <v>5575</v>
      </c>
      <c r="AY419" s="3" t="s">
        <v>5576</v>
      </c>
      <c r="AZ419" s="3" t="s">
        <v>74</v>
      </c>
      <c r="BB419" s="3" t="s">
        <v>5577</v>
      </c>
      <c r="BC419" s="3" t="s">
        <v>5578</v>
      </c>
      <c r="BD419" s="3" t="s">
        <v>5579</v>
      </c>
    </row>
    <row r="420" spans="1:56" ht="42.75" customHeight="1" x14ac:dyDescent="0.25">
      <c r="A420" s="7" t="s">
        <v>58</v>
      </c>
      <c r="B420" s="2" t="s">
        <v>5580</v>
      </c>
      <c r="C420" s="2" t="s">
        <v>5581</v>
      </c>
      <c r="D420" s="2" t="s">
        <v>5582</v>
      </c>
      <c r="F420" s="3" t="s">
        <v>58</v>
      </c>
      <c r="G420" s="3" t="s">
        <v>59</v>
      </c>
      <c r="H420" s="3" t="s">
        <v>86</v>
      </c>
      <c r="I420" s="3" t="s">
        <v>58</v>
      </c>
      <c r="J420" s="3" t="s">
        <v>60</v>
      </c>
      <c r="K420" s="2" t="s">
        <v>5583</v>
      </c>
      <c r="L420" s="2" t="s">
        <v>5584</v>
      </c>
      <c r="M420" s="3" t="s">
        <v>269</v>
      </c>
      <c r="O420" s="3" t="s">
        <v>64</v>
      </c>
      <c r="P420" s="3" t="s">
        <v>316</v>
      </c>
      <c r="R420" s="3" t="s">
        <v>67</v>
      </c>
      <c r="S420" s="4">
        <v>1</v>
      </c>
      <c r="T420" s="4">
        <v>4</v>
      </c>
      <c r="U420" s="5" t="s">
        <v>5585</v>
      </c>
      <c r="V420" s="5" t="s">
        <v>5585</v>
      </c>
      <c r="W420" s="5" t="s">
        <v>4999</v>
      </c>
      <c r="X420" s="5" t="s">
        <v>4999</v>
      </c>
      <c r="Y420" s="4">
        <v>248</v>
      </c>
      <c r="Z420" s="4">
        <v>210</v>
      </c>
      <c r="AA420" s="4">
        <v>213</v>
      </c>
      <c r="AB420" s="4">
        <v>3</v>
      </c>
      <c r="AC420" s="4">
        <v>3</v>
      </c>
      <c r="AD420" s="4">
        <v>10</v>
      </c>
      <c r="AE420" s="4">
        <v>10</v>
      </c>
      <c r="AF420" s="4">
        <v>3</v>
      </c>
      <c r="AG420" s="4">
        <v>3</v>
      </c>
      <c r="AH420" s="4">
        <v>2</v>
      </c>
      <c r="AI420" s="4">
        <v>2</v>
      </c>
      <c r="AJ420" s="4">
        <v>7</v>
      </c>
      <c r="AK420" s="4">
        <v>7</v>
      </c>
      <c r="AL420" s="4">
        <v>1</v>
      </c>
      <c r="AM420" s="4">
        <v>1</v>
      </c>
      <c r="AN420" s="4">
        <v>0</v>
      </c>
      <c r="AO420" s="4">
        <v>0</v>
      </c>
      <c r="AP420" s="3" t="s">
        <v>58</v>
      </c>
      <c r="AQ420" s="3" t="s">
        <v>86</v>
      </c>
      <c r="AR420" s="6" t="str">
        <f>HYPERLINK("http://catalog.hathitrust.org/Record/001563723","HathiTrust Record")</f>
        <v>HathiTrust Record</v>
      </c>
      <c r="AS420" s="6" t="str">
        <f>HYPERLINK("https://creighton-primo.hosted.exlibrisgroup.com/primo-explore/search?tab=default_tab&amp;search_scope=EVERYTHING&amp;vid=01CRU&amp;lang=en_US&amp;offset=0&amp;query=any,contains,991001776909702656","Catalog Record")</f>
        <v>Catalog Record</v>
      </c>
      <c r="AT420" s="6" t="str">
        <f>HYPERLINK("http://www.worldcat.org/oclc/34466","WorldCat Record")</f>
        <v>WorldCat Record</v>
      </c>
      <c r="AU420" s="3" t="s">
        <v>5586</v>
      </c>
      <c r="AV420" s="3" t="s">
        <v>5587</v>
      </c>
      <c r="AW420" s="3" t="s">
        <v>5588</v>
      </c>
      <c r="AX420" s="3" t="s">
        <v>5588</v>
      </c>
      <c r="AY420" s="3" t="s">
        <v>5589</v>
      </c>
      <c r="AZ420" s="3" t="s">
        <v>74</v>
      </c>
      <c r="BC420" s="3" t="s">
        <v>5590</v>
      </c>
      <c r="BD420" s="3" t="s">
        <v>5591</v>
      </c>
    </row>
    <row r="421" spans="1:56" ht="42.75" customHeight="1" x14ac:dyDescent="0.25">
      <c r="A421" s="7" t="s">
        <v>58</v>
      </c>
      <c r="B421" s="2" t="s">
        <v>5592</v>
      </c>
      <c r="C421" s="2" t="s">
        <v>5593</v>
      </c>
      <c r="D421" s="2" t="s">
        <v>5594</v>
      </c>
      <c r="F421" s="3" t="s">
        <v>58</v>
      </c>
      <c r="G421" s="3" t="s">
        <v>59</v>
      </c>
      <c r="H421" s="3" t="s">
        <v>58</v>
      </c>
      <c r="I421" s="3" t="s">
        <v>58</v>
      </c>
      <c r="J421" s="3" t="s">
        <v>60</v>
      </c>
      <c r="K421" s="2" t="s">
        <v>5595</v>
      </c>
      <c r="L421" s="2" t="s">
        <v>5596</v>
      </c>
      <c r="M421" s="3" t="s">
        <v>1506</v>
      </c>
      <c r="N421" s="2" t="s">
        <v>1736</v>
      </c>
      <c r="O421" s="3" t="s">
        <v>64</v>
      </c>
      <c r="P421" s="3" t="s">
        <v>145</v>
      </c>
      <c r="R421" s="3" t="s">
        <v>67</v>
      </c>
      <c r="S421" s="4">
        <v>1</v>
      </c>
      <c r="T421" s="4">
        <v>1</v>
      </c>
      <c r="U421" s="5" t="s">
        <v>5597</v>
      </c>
      <c r="V421" s="5" t="s">
        <v>5597</v>
      </c>
      <c r="W421" s="5" t="s">
        <v>5597</v>
      </c>
      <c r="X421" s="5" t="s">
        <v>5597</v>
      </c>
      <c r="Y421" s="4">
        <v>200</v>
      </c>
      <c r="Z421" s="4">
        <v>137</v>
      </c>
      <c r="AA421" s="4">
        <v>195</v>
      </c>
      <c r="AB421" s="4">
        <v>2</v>
      </c>
      <c r="AC421" s="4">
        <v>2</v>
      </c>
      <c r="AD421" s="4">
        <v>8</v>
      </c>
      <c r="AE421" s="4">
        <v>10</v>
      </c>
      <c r="AF421" s="4">
        <v>2</v>
      </c>
      <c r="AG421" s="4">
        <v>2</v>
      </c>
      <c r="AH421" s="4">
        <v>4</v>
      </c>
      <c r="AI421" s="4">
        <v>4</v>
      </c>
      <c r="AJ421" s="4">
        <v>4</v>
      </c>
      <c r="AK421" s="4">
        <v>6</v>
      </c>
      <c r="AL421" s="4">
        <v>1</v>
      </c>
      <c r="AM421" s="4">
        <v>1</v>
      </c>
      <c r="AN421" s="4">
        <v>0</v>
      </c>
      <c r="AO421" s="4">
        <v>0</v>
      </c>
      <c r="AP421" s="3" t="s">
        <v>58</v>
      </c>
      <c r="AQ421" s="3" t="s">
        <v>58</v>
      </c>
      <c r="AS421" s="6" t="str">
        <f>HYPERLINK("https://creighton-primo.hosted.exlibrisgroup.com/primo-explore/search?tab=default_tab&amp;search_scope=EVERYTHING&amp;vid=01CRU&amp;lang=en_US&amp;offset=0&amp;query=any,contains,991000222379702656","Catalog Record")</f>
        <v>Catalog Record</v>
      </c>
      <c r="AT421" s="6" t="str">
        <f>HYPERLINK("http://www.worldcat.org/oclc/427608867","WorldCat Record")</f>
        <v>WorldCat Record</v>
      </c>
      <c r="AU421" s="3" t="s">
        <v>5598</v>
      </c>
      <c r="AV421" s="3" t="s">
        <v>5599</v>
      </c>
      <c r="AW421" s="3" t="s">
        <v>5600</v>
      </c>
      <c r="AX421" s="3" t="s">
        <v>5600</v>
      </c>
      <c r="AY421" s="3" t="s">
        <v>5601</v>
      </c>
      <c r="AZ421" s="3" t="s">
        <v>74</v>
      </c>
      <c r="BB421" s="3" t="s">
        <v>5602</v>
      </c>
      <c r="BC421" s="3" t="s">
        <v>5603</v>
      </c>
      <c r="BD421" s="3" t="s">
        <v>5604</v>
      </c>
    </row>
    <row r="422" spans="1:56" ht="42.75" customHeight="1" x14ac:dyDescent="0.25">
      <c r="A422" s="7" t="s">
        <v>58</v>
      </c>
      <c r="B422" s="2" t="s">
        <v>5605</v>
      </c>
      <c r="C422" s="2" t="s">
        <v>5606</v>
      </c>
      <c r="D422" s="2" t="s">
        <v>5607</v>
      </c>
      <c r="F422" s="3" t="s">
        <v>58</v>
      </c>
      <c r="G422" s="3" t="s">
        <v>59</v>
      </c>
      <c r="H422" s="3" t="s">
        <v>58</v>
      </c>
      <c r="I422" s="3" t="s">
        <v>58</v>
      </c>
      <c r="J422" s="3" t="s">
        <v>60</v>
      </c>
      <c r="K422" s="2" t="s">
        <v>5608</v>
      </c>
      <c r="L422" s="2" t="s">
        <v>5609</v>
      </c>
      <c r="M422" s="3" t="s">
        <v>177</v>
      </c>
      <c r="N422" s="2" t="s">
        <v>3823</v>
      </c>
      <c r="O422" s="3" t="s">
        <v>64</v>
      </c>
      <c r="P422" s="3" t="s">
        <v>115</v>
      </c>
      <c r="Q422" s="2" t="s">
        <v>5474</v>
      </c>
      <c r="R422" s="3" t="s">
        <v>67</v>
      </c>
      <c r="S422" s="4">
        <v>2</v>
      </c>
      <c r="T422" s="4">
        <v>2</v>
      </c>
      <c r="U422" s="5" t="s">
        <v>5506</v>
      </c>
      <c r="V422" s="5" t="s">
        <v>5506</v>
      </c>
      <c r="W422" s="5" t="s">
        <v>5610</v>
      </c>
      <c r="X422" s="5" t="s">
        <v>5610</v>
      </c>
      <c r="Y422" s="4">
        <v>116</v>
      </c>
      <c r="Z422" s="4">
        <v>105</v>
      </c>
      <c r="AA422" s="4">
        <v>413</v>
      </c>
      <c r="AB422" s="4">
        <v>1</v>
      </c>
      <c r="AC422" s="4">
        <v>4</v>
      </c>
      <c r="AD422" s="4">
        <v>2</v>
      </c>
      <c r="AE422" s="4">
        <v>17</v>
      </c>
      <c r="AF422" s="4">
        <v>0</v>
      </c>
      <c r="AG422" s="4">
        <v>4</v>
      </c>
      <c r="AH422" s="4">
        <v>0</v>
      </c>
      <c r="AI422" s="4">
        <v>3</v>
      </c>
      <c r="AJ422" s="4">
        <v>2</v>
      </c>
      <c r="AK422" s="4">
        <v>10</v>
      </c>
      <c r="AL422" s="4">
        <v>0</v>
      </c>
      <c r="AM422" s="4">
        <v>3</v>
      </c>
      <c r="AN422" s="4">
        <v>0</v>
      </c>
      <c r="AO422" s="4">
        <v>1</v>
      </c>
      <c r="AP422" s="3" t="s">
        <v>58</v>
      </c>
      <c r="AQ422" s="3" t="s">
        <v>58</v>
      </c>
      <c r="AS422" s="6" t="str">
        <f>HYPERLINK("https://creighton-primo.hosted.exlibrisgroup.com/primo-explore/search?tab=default_tab&amp;search_scope=EVERYTHING&amp;vid=01CRU&amp;lang=en_US&amp;offset=0&amp;query=any,contains,991003080129702656","Catalog Record")</f>
        <v>Catalog Record</v>
      </c>
      <c r="AT422" s="6" t="str">
        <f>HYPERLINK("http://www.worldcat.org/oclc/632287","WorldCat Record")</f>
        <v>WorldCat Record</v>
      </c>
      <c r="AU422" s="3" t="s">
        <v>5611</v>
      </c>
      <c r="AV422" s="3" t="s">
        <v>5612</v>
      </c>
      <c r="AW422" s="3" t="s">
        <v>5613</v>
      </c>
      <c r="AX422" s="3" t="s">
        <v>5613</v>
      </c>
      <c r="AY422" s="3" t="s">
        <v>5614</v>
      </c>
      <c r="AZ422" s="3" t="s">
        <v>74</v>
      </c>
      <c r="BB422" s="3" t="s">
        <v>5615</v>
      </c>
      <c r="BC422" s="3" t="s">
        <v>5616</v>
      </c>
      <c r="BD422" s="3" t="s">
        <v>5617</v>
      </c>
    </row>
    <row r="423" spans="1:56" ht="42.75" customHeight="1" x14ac:dyDescent="0.25">
      <c r="A423" s="7" t="s">
        <v>58</v>
      </c>
      <c r="B423" s="2" t="s">
        <v>5618</v>
      </c>
      <c r="C423" s="2" t="s">
        <v>5619</v>
      </c>
      <c r="D423" s="2" t="s">
        <v>5620</v>
      </c>
      <c r="F423" s="3" t="s">
        <v>58</v>
      </c>
      <c r="G423" s="3" t="s">
        <v>59</v>
      </c>
      <c r="H423" s="3" t="s">
        <v>86</v>
      </c>
      <c r="I423" s="3" t="s">
        <v>58</v>
      </c>
      <c r="J423" s="3" t="s">
        <v>60</v>
      </c>
      <c r="L423" s="2" t="s">
        <v>5621</v>
      </c>
      <c r="M423" s="3" t="s">
        <v>114</v>
      </c>
      <c r="O423" s="3" t="s">
        <v>64</v>
      </c>
      <c r="P423" s="3" t="s">
        <v>115</v>
      </c>
      <c r="Q423" s="2" t="s">
        <v>5622</v>
      </c>
      <c r="R423" s="3" t="s">
        <v>67</v>
      </c>
      <c r="S423" s="4">
        <v>4</v>
      </c>
      <c r="T423" s="4">
        <v>4</v>
      </c>
      <c r="U423" s="5" t="s">
        <v>5623</v>
      </c>
      <c r="V423" s="5" t="s">
        <v>5623</v>
      </c>
      <c r="W423" s="5" t="s">
        <v>4999</v>
      </c>
      <c r="X423" s="5" t="s">
        <v>4999</v>
      </c>
      <c r="Y423" s="4">
        <v>477</v>
      </c>
      <c r="Z423" s="4">
        <v>412</v>
      </c>
      <c r="AA423" s="4">
        <v>414</v>
      </c>
      <c r="AB423" s="4">
        <v>4</v>
      </c>
      <c r="AC423" s="4">
        <v>4</v>
      </c>
      <c r="AD423" s="4">
        <v>27</v>
      </c>
      <c r="AE423" s="4">
        <v>27</v>
      </c>
      <c r="AF423" s="4">
        <v>5</v>
      </c>
      <c r="AG423" s="4">
        <v>5</v>
      </c>
      <c r="AH423" s="4">
        <v>3</v>
      </c>
      <c r="AI423" s="4">
        <v>3</v>
      </c>
      <c r="AJ423" s="4">
        <v>9</v>
      </c>
      <c r="AK423" s="4">
        <v>9</v>
      </c>
      <c r="AL423" s="4">
        <v>1</v>
      </c>
      <c r="AM423" s="4">
        <v>1</v>
      </c>
      <c r="AN423" s="4">
        <v>14</v>
      </c>
      <c r="AO423" s="4">
        <v>14</v>
      </c>
      <c r="AP423" s="3" t="s">
        <v>58</v>
      </c>
      <c r="AQ423" s="3" t="s">
        <v>58</v>
      </c>
      <c r="AS423" s="6" t="str">
        <f>HYPERLINK("https://creighton-primo.hosted.exlibrisgroup.com/primo-explore/search?tab=default_tab&amp;search_scope=EVERYTHING&amp;vid=01CRU&amp;lang=en_US&amp;offset=0&amp;query=any,contains,991000205749702656","Catalog Record")</f>
        <v>Catalog Record</v>
      </c>
      <c r="AT423" s="6" t="str">
        <f>HYPERLINK("http://www.worldcat.org/oclc/9489094","WorldCat Record")</f>
        <v>WorldCat Record</v>
      </c>
      <c r="AU423" s="3" t="s">
        <v>5624</v>
      </c>
      <c r="AV423" s="3" t="s">
        <v>5625</v>
      </c>
      <c r="AW423" s="3" t="s">
        <v>5626</v>
      </c>
      <c r="AX423" s="3" t="s">
        <v>5626</v>
      </c>
      <c r="AY423" s="3" t="s">
        <v>5627</v>
      </c>
      <c r="AZ423" s="3" t="s">
        <v>74</v>
      </c>
      <c r="BB423" s="3" t="s">
        <v>5628</v>
      </c>
      <c r="BC423" s="3" t="s">
        <v>5629</v>
      </c>
      <c r="BD423" s="3" t="s">
        <v>5630</v>
      </c>
    </row>
    <row r="424" spans="1:56" ht="42.75" customHeight="1" x14ac:dyDescent="0.25">
      <c r="A424" s="7" t="s">
        <v>58</v>
      </c>
      <c r="B424" s="2" t="s">
        <v>5631</v>
      </c>
      <c r="C424" s="2" t="s">
        <v>5632</v>
      </c>
      <c r="D424" s="2" t="s">
        <v>5633</v>
      </c>
      <c r="F424" s="3" t="s">
        <v>58</v>
      </c>
      <c r="G424" s="3" t="s">
        <v>59</v>
      </c>
      <c r="H424" s="3" t="s">
        <v>58</v>
      </c>
      <c r="I424" s="3" t="s">
        <v>58</v>
      </c>
      <c r="J424" s="3" t="s">
        <v>60</v>
      </c>
      <c r="K424" s="2" t="s">
        <v>5634</v>
      </c>
      <c r="L424" s="2" t="s">
        <v>5635</v>
      </c>
      <c r="M424" s="3" t="s">
        <v>4296</v>
      </c>
      <c r="N424" s="2" t="s">
        <v>1736</v>
      </c>
      <c r="O424" s="3" t="s">
        <v>64</v>
      </c>
      <c r="P424" s="3" t="s">
        <v>99</v>
      </c>
      <c r="Q424" s="2" t="s">
        <v>5636</v>
      </c>
      <c r="R424" s="3" t="s">
        <v>67</v>
      </c>
      <c r="S424" s="4">
        <v>7</v>
      </c>
      <c r="T424" s="4">
        <v>7</v>
      </c>
      <c r="U424" s="5" t="s">
        <v>5637</v>
      </c>
      <c r="V424" s="5" t="s">
        <v>5637</v>
      </c>
      <c r="W424" s="5" t="s">
        <v>5638</v>
      </c>
      <c r="X424" s="5" t="s">
        <v>5638</v>
      </c>
      <c r="Y424" s="4">
        <v>491</v>
      </c>
      <c r="Z424" s="4">
        <v>425</v>
      </c>
      <c r="AA424" s="4">
        <v>460</v>
      </c>
      <c r="AB424" s="4">
        <v>5</v>
      </c>
      <c r="AC424" s="4">
        <v>5</v>
      </c>
      <c r="AD424" s="4">
        <v>19</v>
      </c>
      <c r="AE424" s="4">
        <v>21</v>
      </c>
      <c r="AF424" s="4">
        <v>3</v>
      </c>
      <c r="AG424" s="4">
        <v>4</v>
      </c>
      <c r="AH424" s="4">
        <v>4</v>
      </c>
      <c r="AI424" s="4">
        <v>5</v>
      </c>
      <c r="AJ424" s="4">
        <v>13</v>
      </c>
      <c r="AK424" s="4">
        <v>13</v>
      </c>
      <c r="AL424" s="4">
        <v>4</v>
      </c>
      <c r="AM424" s="4">
        <v>4</v>
      </c>
      <c r="AN424" s="4">
        <v>0</v>
      </c>
      <c r="AO424" s="4">
        <v>0</v>
      </c>
      <c r="AP424" s="3" t="s">
        <v>58</v>
      </c>
      <c r="AQ424" s="3" t="s">
        <v>86</v>
      </c>
      <c r="AR424" s="6" t="str">
        <f>HYPERLINK("http://catalog.hathitrust.org/Record/000035395","HathiTrust Record")</f>
        <v>HathiTrust Record</v>
      </c>
      <c r="AS424" s="6" t="str">
        <f>HYPERLINK("https://creighton-primo.hosted.exlibrisgroup.com/primo-explore/search?tab=default_tab&amp;search_scope=EVERYTHING&amp;vid=01CRU&amp;lang=en_US&amp;offset=0&amp;query=any,contains,991003558659702656","Catalog Record")</f>
        <v>Catalog Record</v>
      </c>
      <c r="AT424" s="6" t="str">
        <f>HYPERLINK("http://www.worldcat.org/oclc/1127985","WorldCat Record")</f>
        <v>WorldCat Record</v>
      </c>
      <c r="AU424" s="3" t="s">
        <v>5639</v>
      </c>
      <c r="AV424" s="3" t="s">
        <v>5640</v>
      </c>
      <c r="AW424" s="3" t="s">
        <v>5641</v>
      </c>
      <c r="AX424" s="3" t="s">
        <v>5641</v>
      </c>
      <c r="AY424" s="3" t="s">
        <v>5642</v>
      </c>
      <c r="AZ424" s="3" t="s">
        <v>74</v>
      </c>
      <c r="BB424" s="3" t="s">
        <v>5643</v>
      </c>
      <c r="BC424" s="3" t="s">
        <v>5644</v>
      </c>
      <c r="BD424" s="3" t="s">
        <v>5645</v>
      </c>
    </row>
    <row r="425" spans="1:56" ht="42.75" customHeight="1" x14ac:dyDescent="0.25">
      <c r="A425" s="7" t="s">
        <v>58</v>
      </c>
      <c r="B425" s="2" t="s">
        <v>5646</v>
      </c>
      <c r="C425" s="2" t="s">
        <v>5647</v>
      </c>
      <c r="D425" s="2" t="s">
        <v>5648</v>
      </c>
      <c r="F425" s="3" t="s">
        <v>58</v>
      </c>
      <c r="G425" s="3" t="s">
        <v>59</v>
      </c>
      <c r="H425" s="3" t="s">
        <v>58</v>
      </c>
      <c r="I425" s="3" t="s">
        <v>58</v>
      </c>
      <c r="J425" s="3" t="s">
        <v>60</v>
      </c>
      <c r="K425" s="2" t="s">
        <v>5649</v>
      </c>
      <c r="L425" s="2" t="s">
        <v>5650</v>
      </c>
      <c r="M425" s="3" t="s">
        <v>1404</v>
      </c>
      <c r="N425" s="2" t="s">
        <v>1736</v>
      </c>
      <c r="O425" s="3" t="s">
        <v>64</v>
      </c>
      <c r="P425" s="3" t="s">
        <v>115</v>
      </c>
      <c r="R425" s="3" t="s">
        <v>67</v>
      </c>
      <c r="S425" s="4">
        <v>1</v>
      </c>
      <c r="T425" s="4">
        <v>1</v>
      </c>
      <c r="U425" s="5" t="s">
        <v>5651</v>
      </c>
      <c r="V425" s="5" t="s">
        <v>5651</v>
      </c>
      <c r="W425" s="5" t="s">
        <v>5651</v>
      </c>
      <c r="X425" s="5" t="s">
        <v>5651</v>
      </c>
      <c r="Y425" s="4">
        <v>1345</v>
      </c>
      <c r="Z425" s="4">
        <v>1296</v>
      </c>
      <c r="AA425" s="4">
        <v>1378</v>
      </c>
      <c r="AB425" s="4">
        <v>9</v>
      </c>
      <c r="AC425" s="4">
        <v>9</v>
      </c>
      <c r="AD425" s="4">
        <v>33</v>
      </c>
      <c r="AE425" s="4">
        <v>36</v>
      </c>
      <c r="AF425" s="4">
        <v>13</v>
      </c>
      <c r="AG425" s="4">
        <v>14</v>
      </c>
      <c r="AH425" s="4">
        <v>4</v>
      </c>
      <c r="AI425" s="4">
        <v>5</v>
      </c>
      <c r="AJ425" s="4">
        <v>13</v>
      </c>
      <c r="AK425" s="4">
        <v>14</v>
      </c>
      <c r="AL425" s="4">
        <v>5</v>
      </c>
      <c r="AM425" s="4">
        <v>5</v>
      </c>
      <c r="AN425" s="4">
        <v>4</v>
      </c>
      <c r="AO425" s="4">
        <v>4</v>
      </c>
      <c r="AP425" s="3" t="s">
        <v>58</v>
      </c>
      <c r="AQ425" s="3" t="s">
        <v>58</v>
      </c>
      <c r="AS425" s="6" t="str">
        <f>HYPERLINK("https://creighton-primo.hosted.exlibrisgroup.com/primo-explore/search?tab=default_tab&amp;search_scope=EVERYTHING&amp;vid=01CRU&amp;lang=en_US&amp;offset=0&amp;query=any,contains,991005301429702656","Catalog Record")</f>
        <v>Catalog Record</v>
      </c>
      <c r="AT425" s="6" t="str">
        <f>HYPERLINK("http://www.worldcat.org/oclc/181139537","WorldCat Record")</f>
        <v>WorldCat Record</v>
      </c>
      <c r="AU425" s="3" t="s">
        <v>5652</v>
      </c>
      <c r="AV425" s="3" t="s">
        <v>5653</v>
      </c>
      <c r="AW425" s="3" t="s">
        <v>5654</v>
      </c>
      <c r="AX425" s="3" t="s">
        <v>5654</v>
      </c>
      <c r="AY425" s="3" t="s">
        <v>5655</v>
      </c>
      <c r="AZ425" s="3" t="s">
        <v>74</v>
      </c>
      <c r="BB425" s="3" t="s">
        <v>5656</v>
      </c>
      <c r="BC425" s="3" t="s">
        <v>5657</v>
      </c>
      <c r="BD425" s="3" t="s">
        <v>5658</v>
      </c>
    </row>
    <row r="426" spans="1:56" ht="42.75" customHeight="1" x14ac:dyDescent="0.25">
      <c r="A426" s="7" t="s">
        <v>58</v>
      </c>
      <c r="B426" s="2" t="s">
        <v>5659</v>
      </c>
      <c r="C426" s="2" t="s">
        <v>5660</v>
      </c>
      <c r="D426" s="2" t="s">
        <v>5661</v>
      </c>
      <c r="F426" s="3" t="s">
        <v>58</v>
      </c>
      <c r="G426" s="3" t="s">
        <v>59</v>
      </c>
      <c r="H426" s="3" t="s">
        <v>58</v>
      </c>
      <c r="I426" s="3" t="s">
        <v>58</v>
      </c>
      <c r="J426" s="3" t="s">
        <v>60</v>
      </c>
      <c r="K426" s="2" t="s">
        <v>5662</v>
      </c>
      <c r="L426" s="2" t="s">
        <v>5663</v>
      </c>
      <c r="M426" s="3" t="s">
        <v>3069</v>
      </c>
      <c r="O426" s="3" t="s">
        <v>64</v>
      </c>
      <c r="P426" s="3" t="s">
        <v>83</v>
      </c>
      <c r="Q426" s="2" t="s">
        <v>5664</v>
      </c>
      <c r="R426" s="3" t="s">
        <v>67</v>
      </c>
      <c r="S426" s="4">
        <v>0</v>
      </c>
      <c r="T426" s="4">
        <v>0</v>
      </c>
      <c r="U426" s="5" t="s">
        <v>5665</v>
      </c>
      <c r="V426" s="5" t="s">
        <v>5665</v>
      </c>
      <c r="W426" s="5" t="s">
        <v>3917</v>
      </c>
      <c r="X426" s="5" t="s">
        <v>3917</v>
      </c>
      <c r="Y426" s="4">
        <v>267</v>
      </c>
      <c r="Z426" s="4">
        <v>212</v>
      </c>
      <c r="AA426" s="4">
        <v>538</v>
      </c>
      <c r="AB426" s="4">
        <v>1</v>
      </c>
      <c r="AC426" s="4">
        <v>3</v>
      </c>
      <c r="AD426" s="4">
        <v>13</v>
      </c>
      <c r="AE426" s="4">
        <v>22</v>
      </c>
      <c r="AF426" s="4">
        <v>5</v>
      </c>
      <c r="AG426" s="4">
        <v>7</v>
      </c>
      <c r="AH426" s="4">
        <v>2</v>
      </c>
      <c r="AI426" s="4">
        <v>4</v>
      </c>
      <c r="AJ426" s="4">
        <v>7</v>
      </c>
      <c r="AK426" s="4">
        <v>12</v>
      </c>
      <c r="AL426" s="4">
        <v>0</v>
      </c>
      <c r="AM426" s="4">
        <v>2</v>
      </c>
      <c r="AN426" s="4">
        <v>1</v>
      </c>
      <c r="AO426" s="4">
        <v>1</v>
      </c>
      <c r="AP426" s="3" t="s">
        <v>58</v>
      </c>
      <c r="AQ426" s="3" t="s">
        <v>58</v>
      </c>
      <c r="AS426" s="6" t="str">
        <f>HYPERLINK("https://creighton-primo.hosted.exlibrisgroup.com/primo-explore/search?tab=default_tab&amp;search_scope=EVERYTHING&amp;vid=01CRU&amp;lang=en_US&amp;offset=0&amp;query=any,contains,991004355469702656","Catalog Record")</f>
        <v>Catalog Record</v>
      </c>
      <c r="AT426" s="6" t="str">
        <f>HYPERLINK("http://www.worldcat.org/oclc/3136822","WorldCat Record")</f>
        <v>WorldCat Record</v>
      </c>
      <c r="AU426" s="3" t="s">
        <v>5666</v>
      </c>
      <c r="AV426" s="3" t="s">
        <v>5667</v>
      </c>
      <c r="AW426" s="3" t="s">
        <v>5668</v>
      </c>
      <c r="AX426" s="3" t="s">
        <v>5668</v>
      </c>
      <c r="AY426" s="3" t="s">
        <v>5669</v>
      </c>
      <c r="AZ426" s="3" t="s">
        <v>74</v>
      </c>
      <c r="BC426" s="3" t="s">
        <v>5670</v>
      </c>
      <c r="BD426" s="3" t="s">
        <v>5671</v>
      </c>
    </row>
    <row r="427" spans="1:56" ht="42.75" customHeight="1" x14ac:dyDescent="0.25">
      <c r="A427" s="7" t="s">
        <v>58</v>
      </c>
      <c r="B427" s="2" t="s">
        <v>5672</v>
      </c>
      <c r="C427" s="2" t="s">
        <v>5673</v>
      </c>
      <c r="D427" s="2" t="s">
        <v>5674</v>
      </c>
      <c r="F427" s="3" t="s">
        <v>58</v>
      </c>
      <c r="G427" s="3" t="s">
        <v>59</v>
      </c>
      <c r="H427" s="3" t="s">
        <v>58</v>
      </c>
      <c r="I427" s="3" t="s">
        <v>58</v>
      </c>
      <c r="J427" s="3" t="s">
        <v>60</v>
      </c>
      <c r="K427" s="2" t="s">
        <v>5675</v>
      </c>
      <c r="L427" s="2" t="s">
        <v>5676</v>
      </c>
      <c r="M427" s="3" t="s">
        <v>329</v>
      </c>
      <c r="O427" s="3" t="s">
        <v>64</v>
      </c>
      <c r="P427" s="3" t="s">
        <v>115</v>
      </c>
      <c r="R427" s="3" t="s">
        <v>67</v>
      </c>
      <c r="S427" s="4">
        <v>3</v>
      </c>
      <c r="T427" s="4">
        <v>3</v>
      </c>
      <c r="U427" s="5" t="s">
        <v>5677</v>
      </c>
      <c r="V427" s="5" t="s">
        <v>5677</v>
      </c>
      <c r="W427" s="5" t="s">
        <v>5610</v>
      </c>
      <c r="X427" s="5" t="s">
        <v>5610</v>
      </c>
      <c r="Y427" s="4">
        <v>199</v>
      </c>
      <c r="Z427" s="4">
        <v>180</v>
      </c>
      <c r="AA427" s="4">
        <v>190</v>
      </c>
      <c r="AB427" s="4">
        <v>1</v>
      </c>
      <c r="AC427" s="4">
        <v>1</v>
      </c>
      <c r="AD427" s="4">
        <v>6</v>
      </c>
      <c r="AE427" s="4">
        <v>6</v>
      </c>
      <c r="AF427" s="4">
        <v>0</v>
      </c>
      <c r="AG427" s="4">
        <v>0</v>
      </c>
      <c r="AH427" s="4">
        <v>2</v>
      </c>
      <c r="AI427" s="4">
        <v>2</v>
      </c>
      <c r="AJ427" s="4">
        <v>4</v>
      </c>
      <c r="AK427" s="4">
        <v>4</v>
      </c>
      <c r="AL427" s="4">
        <v>0</v>
      </c>
      <c r="AM427" s="4">
        <v>0</v>
      </c>
      <c r="AN427" s="4">
        <v>0</v>
      </c>
      <c r="AO427" s="4">
        <v>0</v>
      </c>
      <c r="AP427" s="3" t="s">
        <v>58</v>
      </c>
      <c r="AQ427" s="3" t="s">
        <v>86</v>
      </c>
      <c r="AR427" s="6" t="str">
        <f>HYPERLINK("http://catalog.hathitrust.org/Record/001563782","HathiTrust Record")</f>
        <v>HathiTrust Record</v>
      </c>
      <c r="AS427" s="6" t="str">
        <f>HYPERLINK("https://creighton-primo.hosted.exlibrisgroup.com/primo-explore/search?tab=default_tab&amp;search_scope=EVERYTHING&amp;vid=01CRU&amp;lang=en_US&amp;offset=0&amp;query=any,contains,991003092219702656","Catalog Record")</f>
        <v>Catalog Record</v>
      </c>
      <c r="AT427" s="6" t="str">
        <f>HYPERLINK("http://www.worldcat.org/oclc/642270","WorldCat Record")</f>
        <v>WorldCat Record</v>
      </c>
      <c r="AU427" s="3" t="s">
        <v>5678</v>
      </c>
      <c r="AV427" s="3" t="s">
        <v>5679</v>
      </c>
      <c r="AW427" s="3" t="s">
        <v>5680</v>
      </c>
      <c r="AX427" s="3" t="s">
        <v>5680</v>
      </c>
      <c r="AY427" s="3" t="s">
        <v>5681</v>
      </c>
      <c r="AZ427" s="3" t="s">
        <v>74</v>
      </c>
      <c r="BC427" s="3" t="s">
        <v>5682</v>
      </c>
      <c r="BD427" s="3" t="s">
        <v>5683</v>
      </c>
    </row>
    <row r="428" spans="1:56" ht="42.75" customHeight="1" x14ac:dyDescent="0.25">
      <c r="A428" s="7" t="s">
        <v>58</v>
      </c>
      <c r="B428" s="2" t="s">
        <v>5684</v>
      </c>
      <c r="C428" s="2" t="s">
        <v>5685</v>
      </c>
      <c r="D428" s="2" t="s">
        <v>5686</v>
      </c>
      <c r="F428" s="3" t="s">
        <v>58</v>
      </c>
      <c r="G428" s="3" t="s">
        <v>59</v>
      </c>
      <c r="H428" s="3" t="s">
        <v>58</v>
      </c>
      <c r="I428" s="3" t="s">
        <v>58</v>
      </c>
      <c r="J428" s="3" t="s">
        <v>60</v>
      </c>
      <c r="K428" s="2" t="s">
        <v>5687</v>
      </c>
      <c r="L428" s="2" t="s">
        <v>5688</v>
      </c>
      <c r="M428" s="3" t="s">
        <v>642</v>
      </c>
      <c r="O428" s="3" t="s">
        <v>64</v>
      </c>
      <c r="P428" s="3" t="s">
        <v>65</v>
      </c>
      <c r="R428" s="3" t="s">
        <v>67</v>
      </c>
      <c r="S428" s="4">
        <v>7</v>
      </c>
      <c r="T428" s="4">
        <v>7</v>
      </c>
      <c r="U428" s="5" t="s">
        <v>5689</v>
      </c>
      <c r="V428" s="5" t="s">
        <v>5689</v>
      </c>
      <c r="W428" s="5" t="s">
        <v>5690</v>
      </c>
      <c r="X428" s="5" t="s">
        <v>5690</v>
      </c>
      <c r="Y428" s="4">
        <v>233</v>
      </c>
      <c r="Z428" s="4">
        <v>153</v>
      </c>
      <c r="AA428" s="4">
        <v>196</v>
      </c>
      <c r="AB428" s="4">
        <v>2</v>
      </c>
      <c r="AC428" s="4">
        <v>2</v>
      </c>
      <c r="AD428" s="4">
        <v>9</v>
      </c>
      <c r="AE428" s="4">
        <v>11</v>
      </c>
      <c r="AF428" s="4">
        <v>1</v>
      </c>
      <c r="AG428" s="4">
        <v>1</v>
      </c>
      <c r="AH428" s="4">
        <v>4</v>
      </c>
      <c r="AI428" s="4">
        <v>6</v>
      </c>
      <c r="AJ428" s="4">
        <v>6</v>
      </c>
      <c r="AK428" s="4">
        <v>6</v>
      </c>
      <c r="AL428" s="4">
        <v>1</v>
      </c>
      <c r="AM428" s="4">
        <v>1</v>
      </c>
      <c r="AN428" s="4">
        <v>0</v>
      </c>
      <c r="AO428" s="4">
        <v>0</v>
      </c>
      <c r="AP428" s="3" t="s">
        <v>58</v>
      </c>
      <c r="AQ428" s="3" t="s">
        <v>86</v>
      </c>
      <c r="AR428" s="6" t="str">
        <f>HYPERLINK("http://catalog.hathitrust.org/Record/002617628","HathiTrust Record")</f>
        <v>HathiTrust Record</v>
      </c>
      <c r="AS428" s="6" t="str">
        <f>HYPERLINK("https://creighton-primo.hosted.exlibrisgroup.com/primo-explore/search?tab=default_tab&amp;search_scope=EVERYTHING&amp;vid=01CRU&amp;lang=en_US&amp;offset=0&amp;query=any,contains,991002020509702656","Catalog Record")</f>
        <v>Catalog Record</v>
      </c>
      <c r="AT428" s="6" t="str">
        <f>HYPERLINK("http://www.worldcat.org/oclc/25707836","WorldCat Record")</f>
        <v>WorldCat Record</v>
      </c>
      <c r="AU428" s="3" t="s">
        <v>5691</v>
      </c>
      <c r="AV428" s="3" t="s">
        <v>5692</v>
      </c>
      <c r="AW428" s="3" t="s">
        <v>5693</v>
      </c>
      <c r="AX428" s="3" t="s">
        <v>5693</v>
      </c>
      <c r="AY428" s="3" t="s">
        <v>5694</v>
      </c>
      <c r="AZ428" s="3" t="s">
        <v>74</v>
      </c>
      <c r="BB428" s="3" t="s">
        <v>5695</v>
      </c>
      <c r="BC428" s="3" t="s">
        <v>5696</v>
      </c>
      <c r="BD428" s="3" t="s">
        <v>5697</v>
      </c>
    </row>
    <row r="429" spans="1:56" ht="42.75" customHeight="1" x14ac:dyDescent="0.25">
      <c r="A429" s="7" t="s">
        <v>58</v>
      </c>
      <c r="B429" s="2" t="s">
        <v>5698</v>
      </c>
      <c r="C429" s="2" t="s">
        <v>5699</v>
      </c>
      <c r="D429" s="2" t="s">
        <v>5700</v>
      </c>
      <c r="F429" s="3" t="s">
        <v>58</v>
      </c>
      <c r="G429" s="3" t="s">
        <v>59</v>
      </c>
      <c r="H429" s="3" t="s">
        <v>58</v>
      </c>
      <c r="I429" s="3" t="s">
        <v>58</v>
      </c>
      <c r="J429" s="3" t="s">
        <v>60</v>
      </c>
      <c r="K429" s="2" t="s">
        <v>5701</v>
      </c>
      <c r="L429" s="2" t="s">
        <v>5702</v>
      </c>
      <c r="M429" s="3" t="s">
        <v>285</v>
      </c>
      <c r="O429" s="3" t="s">
        <v>64</v>
      </c>
      <c r="P429" s="3" t="s">
        <v>115</v>
      </c>
      <c r="R429" s="3" t="s">
        <v>67</v>
      </c>
      <c r="S429" s="4">
        <v>12</v>
      </c>
      <c r="T429" s="4">
        <v>12</v>
      </c>
      <c r="U429" s="5" t="s">
        <v>5703</v>
      </c>
      <c r="V429" s="5" t="s">
        <v>5703</v>
      </c>
      <c r="W429" s="5" t="s">
        <v>5704</v>
      </c>
      <c r="X429" s="5" t="s">
        <v>5704</v>
      </c>
      <c r="Y429" s="4">
        <v>28</v>
      </c>
      <c r="Z429" s="4">
        <v>26</v>
      </c>
      <c r="AA429" s="4">
        <v>464</v>
      </c>
      <c r="AB429" s="4">
        <v>1</v>
      </c>
      <c r="AC429" s="4">
        <v>5</v>
      </c>
      <c r="AD429" s="4">
        <v>1</v>
      </c>
      <c r="AE429" s="4">
        <v>24</v>
      </c>
      <c r="AF429" s="4">
        <v>0</v>
      </c>
      <c r="AG429" s="4">
        <v>7</v>
      </c>
      <c r="AH429" s="4">
        <v>0</v>
      </c>
      <c r="AI429" s="4">
        <v>5</v>
      </c>
      <c r="AJ429" s="4">
        <v>1</v>
      </c>
      <c r="AK429" s="4">
        <v>12</v>
      </c>
      <c r="AL429" s="4">
        <v>0</v>
      </c>
      <c r="AM429" s="4">
        <v>4</v>
      </c>
      <c r="AN429" s="4">
        <v>0</v>
      </c>
      <c r="AO429" s="4">
        <v>0</v>
      </c>
      <c r="AP429" s="3" t="s">
        <v>58</v>
      </c>
      <c r="AQ429" s="3" t="s">
        <v>58</v>
      </c>
      <c r="AS429" s="6" t="str">
        <f>HYPERLINK("https://creighton-primo.hosted.exlibrisgroup.com/primo-explore/search?tab=default_tab&amp;search_scope=EVERYTHING&amp;vid=01CRU&amp;lang=en_US&amp;offset=0&amp;query=any,contains,991004226469702656","Catalog Record")</f>
        <v>Catalog Record</v>
      </c>
      <c r="AT429" s="6" t="str">
        <f>HYPERLINK("http://www.worldcat.org/oclc/2732200","WorldCat Record")</f>
        <v>WorldCat Record</v>
      </c>
      <c r="AU429" s="3" t="s">
        <v>5705</v>
      </c>
      <c r="AV429" s="3" t="s">
        <v>5706</v>
      </c>
      <c r="AW429" s="3" t="s">
        <v>5707</v>
      </c>
      <c r="AX429" s="3" t="s">
        <v>5707</v>
      </c>
      <c r="AY429" s="3" t="s">
        <v>5708</v>
      </c>
      <c r="AZ429" s="3" t="s">
        <v>74</v>
      </c>
      <c r="BC429" s="3" t="s">
        <v>5709</v>
      </c>
      <c r="BD429" s="3" t="s">
        <v>5710</v>
      </c>
    </row>
    <row r="430" spans="1:56" ht="42.75" customHeight="1" x14ac:dyDescent="0.25">
      <c r="A430" s="7" t="s">
        <v>58</v>
      </c>
      <c r="B430" s="2" t="s">
        <v>5711</v>
      </c>
      <c r="C430" s="2" t="s">
        <v>5712</v>
      </c>
      <c r="D430" s="2" t="s">
        <v>5713</v>
      </c>
      <c r="F430" s="3" t="s">
        <v>58</v>
      </c>
      <c r="G430" s="3" t="s">
        <v>59</v>
      </c>
      <c r="H430" s="3" t="s">
        <v>58</v>
      </c>
      <c r="I430" s="3" t="s">
        <v>58</v>
      </c>
      <c r="J430" s="3" t="s">
        <v>60</v>
      </c>
      <c r="K430" s="2" t="s">
        <v>5714</v>
      </c>
      <c r="L430" s="2" t="s">
        <v>5715</v>
      </c>
      <c r="M430" s="3" t="s">
        <v>207</v>
      </c>
      <c r="O430" s="3" t="s">
        <v>64</v>
      </c>
      <c r="P430" s="3" t="s">
        <v>65</v>
      </c>
      <c r="R430" s="3" t="s">
        <v>67</v>
      </c>
      <c r="S430" s="4">
        <v>1</v>
      </c>
      <c r="T430" s="4">
        <v>1</v>
      </c>
      <c r="U430" s="5" t="s">
        <v>5716</v>
      </c>
      <c r="V430" s="5" t="s">
        <v>5716</v>
      </c>
      <c r="W430" s="5" t="s">
        <v>5716</v>
      </c>
      <c r="X430" s="5" t="s">
        <v>5716</v>
      </c>
      <c r="Y430" s="4">
        <v>428</v>
      </c>
      <c r="Z430" s="4">
        <v>280</v>
      </c>
      <c r="AA430" s="4">
        <v>282</v>
      </c>
      <c r="AB430" s="4">
        <v>1</v>
      </c>
      <c r="AC430" s="4">
        <v>1</v>
      </c>
      <c r="AD430" s="4">
        <v>11</v>
      </c>
      <c r="AE430" s="4">
        <v>11</v>
      </c>
      <c r="AF430" s="4">
        <v>4</v>
      </c>
      <c r="AG430" s="4">
        <v>4</v>
      </c>
      <c r="AH430" s="4">
        <v>4</v>
      </c>
      <c r="AI430" s="4">
        <v>4</v>
      </c>
      <c r="AJ430" s="4">
        <v>6</v>
      </c>
      <c r="AK430" s="4">
        <v>6</v>
      </c>
      <c r="AL430" s="4">
        <v>0</v>
      </c>
      <c r="AM430" s="4">
        <v>0</v>
      </c>
      <c r="AN430" s="4">
        <v>0</v>
      </c>
      <c r="AO430" s="4">
        <v>0</v>
      </c>
      <c r="AP430" s="3" t="s">
        <v>58</v>
      </c>
      <c r="AQ430" s="3" t="s">
        <v>58</v>
      </c>
      <c r="AS430" s="6" t="str">
        <f>HYPERLINK("https://creighton-primo.hosted.exlibrisgroup.com/primo-explore/search?tab=default_tab&amp;search_scope=EVERYTHING&amp;vid=01CRU&amp;lang=en_US&amp;offset=0&amp;query=any,contains,991004139589702656","Catalog Record")</f>
        <v>Catalog Record</v>
      </c>
      <c r="AT430" s="6" t="str">
        <f>HYPERLINK("http://www.worldcat.org/oclc/7912397","WorldCat Record")</f>
        <v>WorldCat Record</v>
      </c>
      <c r="AU430" s="3" t="s">
        <v>5717</v>
      </c>
      <c r="AV430" s="3" t="s">
        <v>5718</v>
      </c>
      <c r="AW430" s="3" t="s">
        <v>5719</v>
      </c>
      <c r="AX430" s="3" t="s">
        <v>5719</v>
      </c>
      <c r="AY430" s="3" t="s">
        <v>5720</v>
      </c>
      <c r="AZ430" s="3" t="s">
        <v>74</v>
      </c>
      <c r="BB430" s="3" t="s">
        <v>5721</v>
      </c>
      <c r="BC430" s="3" t="s">
        <v>5722</v>
      </c>
      <c r="BD430" s="3" t="s">
        <v>5723</v>
      </c>
    </row>
    <row r="431" spans="1:56" ht="42.75" customHeight="1" x14ac:dyDescent="0.25">
      <c r="A431" s="7" t="s">
        <v>58</v>
      </c>
      <c r="B431" s="2" t="s">
        <v>5724</v>
      </c>
      <c r="C431" s="2" t="s">
        <v>5725</v>
      </c>
      <c r="D431" s="2" t="s">
        <v>5726</v>
      </c>
      <c r="F431" s="3" t="s">
        <v>58</v>
      </c>
      <c r="G431" s="3" t="s">
        <v>59</v>
      </c>
      <c r="H431" s="3" t="s">
        <v>58</v>
      </c>
      <c r="I431" s="3" t="s">
        <v>58</v>
      </c>
      <c r="J431" s="3" t="s">
        <v>60</v>
      </c>
      <c r="K431" s="2" t="s">
        <v>5727</v>
      </c>
      <c r="L431" s="2" t="s">
        <v>5728</v>
      </c>
      <c r="M431" s="3" t="s">
        <v>1141</v>
      </c>
      <c r="O431" s="3" t="s">
        <v>64</v>
      </c>
      <c r="P431" s="3" t="s">
        <v>65</v>
      </c>
      <c r="R431" s="3" t="s">
        <v>67</v>
      </c>
      <c r="S431" s="4">
        <v>1</v>
      </c>
      <c r="T431" s="4">
        <v>1</v>
      </c>
      <c r="U431" s="5" t="s">
        <v>5729</v>
      </c>
      <c r="V431" s="5" t="s">
        <v>5729</v>
      </c>
      <c r="W431" s="5" t="s">
        <v>5729</v>
      </c>
      <c r="X431" s="5" t="s">
        <v>5729</v>
      </c>
      <c r="Y431" s="4">
        <v>107</v>
      </c>
      <c r="Z431" s="4">
        <v>76</v>
      </c>
      <c r="AA431" s="4">
        <v>622</v>
      </c>
      <c r="AB431" s="4">
        <v>1</v>
      </c>
      <c r="AC431" s="4">
        <v>29</v>
      </c>
      <c r="AD431" s="4">
        <v>6</v>
      </c>
      <c r="AE431" s="4">
        <v>30</v>
      </c>
      <c r="AF431" s="4">
        <v>1</v>
      </c>
      <c r="AG431" s="4">
        <v>9</v>
      </c>
      <c r="AH431" s="4">
        <v>2</v>
      </c>
      <c r="AI431" s="4">
        <v>5</v>
      </c>
      <c r="AJ431" s="4">
        <v>6</v>
      </c>
      <c r="AK431" s="4">
        <v>13</v>
      </c>
      <c r="AL431" s="4">
        <v>0</v>
      </c>
      <c r="AM431" s="4">
        <v>10</v>
      </c>
      <c r="AN431" s="4">
        <v>0</v>
      </c>
      <c r="AO431" s="4">
        <v>0</v>
      </c>
      <c r="AP431" s="3" t="s">
        <v>58</v>
      </c>
      <c r="AQ431" s="3" t="s">
        <v>58</v>
      </c>
      <c r="AS431" s="6" t="str">
        <f>HYPERLINK("https://creighton-primo.hosted.exlibrisgroup.com/primo-explore/search?tab=default_tab&amp;search_scope=EVERYTHING&amp;vid=01CRU&amp;lang=en_US&amp;offset=0&amp;query=any,contains,991004363959702656","Catalog Record")</f>
        <v>Catalog Record</v>
      </c>
      <c r="AT431" s="6" t="str">
        <f>HYPERLINK("http://www.worldcat.org/oclc/50334045","WorldCat Record")</f>
        <v>WorldCat Record</v>
      </c>
      <c r="AU431" s="3" t="s">
        <v>5730</v>
      </c>
      <c r="AV431" s="3" t="s">
        <v>5731</v>
      </c>
      <c r="AW431" s="3" t="s">
        <v>5732</v>
      </c>
      <c r="AX431" s="3" t="s">
        <v>5732</v>
      </c>
      <c r="AY431" s="3" t="s">
        <v>5733</v>
      </c>
      <c r="AZ431" s="3" t="s">
        <v>74</v>
      </c>
      <c r="BB431" s="3" t="s">
        <v>5734</v>
      </c>
      <c r="BC431" s="3" t="s">
        <v>5735</v>
      </c>
      <c r="BD431" s="3" t="s">
        <v>5736</v>
      </c>
    </row>
    <row r="432" spans="1:56" ht="42.75" customHeight="1" x14ac:dyDescent="0.25">
      <c r="A432" s="7" t="s">
        <v>58</v>
      </c>
      <c r="B432" s="2" t="s">
        <v>5737</v>
      </c>
      <c r="C432" s="2" t="s">
        <v>5738</v>
      </c>
      <c r="D432" s="2" t="s">
        <v>5739</v>
      </c>
      <c r="F432" s="3" t="s">
        <v>58</v>
      </c>
      <c r="G432" s="3" t="s">
        <v>59</v>
      </c>
      <c r="H432" s="3" t="s">
        <v>86</v>
      </c>
      <c r="I432" s="3" t="s">
        <v>58</v>
      </c>
      <c r="J432" s="3" t="s">
        <v>60</v>
      </c>
      <c r="L432" s="2" t="s">
        <v>5740</v>
      </c>
      <c r="M432" s="3" t="s">
        <v>642</v>
      </c>
      <c r="N432" s="2" t="s">
        <v>1844</v>
      </c>
      <c r="O432" s="3" t="s">
        <v>64</v>
      </c>
      <c r="P432" s="3" t="s">
        <v>99</v>
      </c>
      <c r="R432" s="3" t="s">
        <v>67</v>
      </c>
      <c r="S432" s="4">
        <v>16</v>
      </c>
      <c r="T432" s="4">
        <v>25</v>
      </c>
      <c r="U432" s="5" t="s">
        <v>5741</v>
      </c>
      <c r="V432" s="5" t="s">
        <v>5741</v>
      </c>
      <c r="W432" s="5" t="s">
        <v>5742</v>
      </c>
      <c r="X432" s="5" t="s">
        <v>5742</v>
      </c>
      <c r="Y432" s="4">
        <v>506</v>
      </c>
      <c r="Z432" s="4">
        <v>377</v>
      </c>
      <c r="AA432" s="4">
        <v>676</v>
      </c>
      <c r="AB432" s="4">
        <v>4</v>
      </c>
      <c r="AC432" s="4">
        <v>5</v>
      </c>
      <c r="AD432" s="4">
        <v>18</v>
      </c>
      <c r="AE432" s="4">
        <v>28</v>
      </c>
      <c r="AF432" s="4">
        <v>6</v>
      </c>
      <c r="AG432" s="4">
        <v>11</v>
      </c>
      <c r="AH432" s="4">
        <v>5</v>
      </c>
      <c r="AI432" s="4">
        <v>7</v>
      </c>
      <c r="AJ432" s="4">
        <v>13</v>
      </c>
      <c r="AK432" s="4">
        <v>16</v>
      </c>
      <c r="AL432" s="4">
        <v>2</v>
      </c>
      <c r="AM432" s="4">
        <v>3</v>
      </c>
      <c r="AN432" s="4">
        <v>0</v>
      </c>
      <c r="AO432" s="4">
        <v>0</v>
      </c>
      <c r="AP432" s="3" t="s">
        <v>58</v>
      </c>
      <c r="AQ432" s="3" t="s">
        <v>86</v>
      </c>
      <c r="AR432" s="6" t="str">
        <f>HYPERLINK("http://catalog.hathitrust.org/Record/002514735","HathiTrust Record")</f>
        <v>HathiTrust Record</v>
      </c>
      <c r="AS432" s="6" t="str">
        <f>HYPERLINK("https://creighton-primo.hosted.exlibrisgroup.com/primo-explore/search?tab=default_tab&amp;search_scope=EVERYTHING&amp;vid=01CRU&amp;lang=en_US&amp;offset=0&amp;query=any,contains,991001793879702656","Catalog Record")</f>
        <v>Catalog Record</v>
      </c>
      <c r="AT432" s="6" t="str">
        <f>HYPERLINK("http://www.worldcat.org/oclc/24701105","WorldCat Record")</f>
        <v>WorldCat Record</v>
      </c>
      <c r="AU432" s="3" t="s">
        <v>5743</v>
      </c>
      <c r="AV432" s="3" t="s">
        <v>5744</v>
      </c>
      <c r="AW432" s="3" t="s">
        <v>5745</v>
      </c>
      <c r="AX432" s="3" t="s">
        <v>5745</v>
      </c>
      <c r="AY432" s="3" t="s">
        <v>5746</v>
      </c>
      <c r="AZ432" s="3" t="s">
        <v>74</v>
      </c>
      <c r="BB432" s="3" t="s">
        <v>5747</v>
      </c>
      <c r="BC432" s="3" t="s">
        <v>5748</v>
      </c>
      <c r="BD432" s="3" t="s">
        <v>5749</v>
      </c>
    </row>
    <row r="433" spans="1:56" ht="42.75" customHeight="1" x14ac:dyDescent="0.25">
      <c r="A433" s="7" t="s">
        <v>58</v>
      </c>
      <c r="B433" s="2" t="s">
        <v>5750</v>
      </c>
      <c r="C433" s="2" t="s">
        <v>5751</v>
      </c>
      <c r="D433" s="2" t="s">
        <v>5752</v>
      </c>
      <c r="F433" s="3" t="s">
        <v>58</v>
      </c>
      <c r="G433" s="3" t="s">
        <v>59</v>
      </c>
      <c r="H433" s="3" t="s">
        <v>86</v>
      </c>
      <c r="I433" s="3" t="s">
        <v>58</v>
      </c>
      <c r="J433" s="3" t="s">
        <v>60</v>
      </c>
      <c r="K433" s="2" t="s">
        <v>5753</v>
      </c>
      <c r="L433" s="2" t="s">
        <v>5754</v>
      </c>
      <c r="M433" s="3" t="s">
        <v>207</v>
      </c>
      <c r="O433" s="3" t="s">
        <v>64</v>
      </c>
      <c r="P433" s="3" t="s">
        <v>115</v>
      </c>
      <c r="R433" s="3" t="s">
        <v>67</v>
      </c>
      <c r="S433" s="4">
        <v>6</v>
      </c>
      <c r="T433" s="4">
        <v>6</v>
      </c>
      <c r="U433" s="5" t="s">
        <v>5755</v>
      </c>
      <c r="V433" s="5" t="s">
        <v>5755</v>
      </c>
      <c r="W433" s="5" t="s">
        <v>4999</v>
      </c>
      <c r="X433" s="5" t="s">
        <v>4999</v>
      </c>
      <c r="Y433" s="4">
        <v>432</v>
      </c>
      <c r="Z433" s="4">
        <v>371</v>
      </c>
      <c r="AA433" s="4">
        <v>378</v>
      </c>
      <c r="AB433" s="4">
        <v>3</v>
      </c>
      <c r="AC433" s="4">
        <v>3</v>
      </c>
      <c r="AD433" s="4">
        <v>15</v>
      </c>
      <c r="AE433" s="4">
        <v>15</v>
      </c>
      <c r="AF433" s="4">
        <v>6</v>
      </c>
      <c r="AG433" s="4">
        <v>6</v>
      </c>
      <c r="AH433" s="4">
        <v>4</v>
      </c>
      <c r="AI433" s="4">
        <v>4</v>
      </c>
      <c r="AJ433" s="4">
        <v>10</v>
      </c>
      <c r="AK433" s="4">
        <v>10</v>
      </c>
      <c r="AL433" s="4">
        <v>1</v>
      </c>
      <c r="AM433" s="4">
        <v>1</v>
      </c>
      <c r="AN433" s="4">
        <v>0</v>
      </c>
      <c r="AO433" s="4">
        <v>0</v>
      </c>
      <c r="AP433" s="3" t="s">
        <v>58</v>
      </c>
      <c r="AQ433" s="3" t="s">
        <v>86</v>
      </c>
      <c r="AR433" s="6" t="str">
        <f>HYPERLINK("http://catalog.hathitrust.org/Record/000139696","HathiTrust Record")</f>
        <v>HathiTrust Record</v>
      </c>
      <c r="AS433" s="6" t="str">
        <f>HYPERLINK("https://creighton-primo.hosted.exlibrisgroup.com/primo-explore/search?tab=default_tab&amp;search_scope=EVERYTHING&amp;vid=01CRU&amp;lang=en_US&amp;offset=0&amp;query=any,contains,991005112589702656","Catalog Record")</f>
        <v>Catalog Record</v>
      </c>
      <c r="AT433" s="6" t="str">
        <f>HYPERLINK("http://www.worldcat.org/oclc/7459500","WorldCat Record")</f>
        <v>WorldCat Record</v>
      </c>
      <c r="AU433" s="3" t="s">
        <v>5756</v>
      </c>
      <c r="AV433" s="3" t="s">
        <v>5757</v>
      </c>
      <c r="AW433" s="3" t="s">
        <v>5758</v>
      </c>
      <c r="AX433" s="3" t="s">
        <v>5758</v>
      </c>
      <c r="AY433" s="3" t="s">
        <v>5759</v>
      </c>
      <c r="AZ433" s="3" t="s">
        <v>74</v>
      </c>
      <c r="BB433" s="3" t="s">
        <v>5760</v>
      </c>
      <c r="BC433" s="3" t="s">
        <v>5761</v>
      </c>
      <c r="BD433" s="3" t="s">
        <v>5762</v>
      </c>
    </row>
    <row r="434" spans="1:56" ht="42.75" customHeight="1" x14ac:dyDescent="0.25">
      <c r="A434" s="7" t="s">
        <v>58</v>
      </c>
      <c r="B434" s="2" t="s">
        <v>5763</v>
      </c>
      <c r="C434" s="2" t="s">
        <v>5764</v>
      </c>
      <c r="D434" s="2" t="s">
        <v>5765</v>
      </c>
      <c r="F434" s="3" t="s">
        <v>58</v>
      </c>
      <c r="G434" s="3" t="s">
        <v>59</v>
      </c>
      <c r="H434" s="3" t="s">
        <v>58</v>
      </c>
      <c r="I434" s="3" t="s">
        <v>58</v>
      </c>
      <c r="J434" s="3" t="s">
        <v>60</v>
      </c>
      <c r="K434" s="2" t="s">
        <v>5753</v>
      </c>
      <c r="L434" s="2" t="s">
        <v>5766</v>
      </c>
      <c r="M434" s="3" t="s">
        <v>2227</v>
      </c>
      <c r="O434" s="3" t="s">
        <v>64</v>
      </c>
      <c r="P434" s="3" t="s">
        <v>83</v>
      </c>
      <c r="R434" s="3" t="s">
        <v>67</v>
      </c>
      <c r="S434" s="4">
        <v>6</v>
      </c>
      <c r="T434" s="4">
        <v>6</v>
      </c>
      <c r="U434" s="5" t="s">
        <v>5755</v>
      </c>
      <c r="V434" s="5" t="s">
        <v>5755</v>
      </c>
      <c r="W434" s="5" t="s">
        <v>4999</v>
      </c>
      <c r="X434" s="5" t="s">
        <v>4999</v>
      </c>
      <c r="Y434" s="4">
        <v>294</v>
      </c>
      <c r="Z434" s="4">
        <v>253</v>
      </c>
      <c r="AA434" s="4">
        <v>260</v>
      </c>
      <c r="AB434" s="4">
        <v>4</v>
      </c>
      <c r="AC434" s="4">
        <v>4</v>
      </c>
      <c r="AD434" s="4">
        <v>11</v>
      </c>
      <c r="AE434" s="4">
        <v>11</v>
      </c>
      <c r="AF434" s="4">
        <v>4</v>
      </c>
      <c r="AG434" s="4">
        <v>4</v>
      </c>
      <c r="AH434" s="4">
        <v>3</v>
      </c>
      <c r="AI434" s="4">
        <v>3</v>
      </c>
      <c r="AJ434" s="4">
        <v>5</v>
      </c>
      <c r="AK434" s="4">
        <v>5</v>
      </c>
      <c r="AL434" s="4">
        <v>3</v>
      </c>
      <c r="AM434" s="4">
        <v>3</v>
      </c>
      <c r="AN434" s="4">
        <v>0</v>
      </c>
      <c r="AO434" s="4">
        <v>0</v>
      </c>
      <c r="AP434" s="3" t="s">
        <v>58</v>
      </c>
      <c r="AQ434" s="3" t="s">
        <v>86</v>
      </c>
      <c r="AR434" s="6" t="str">
        <f>HYPERLINK("http://catalog.hathitrust.org/Record/000473988","HathiTrust Record")</f>
        <v>HathiTrust Record</v>
      </c>
      <c r="AS434" s="6" t="str">
        <f>HYPERLINK("https://creighton-primo.hosted.exlibrisgroup.com/primo-explore/search?tab=default_tab&amp;search_scope=EVERYTHING&amp;vid=01CRU&amp;lang=en_US&amp;offset=0&amp;query=any,contains,991005292709702656","Catalog Record")</f>
        <v>Catalog Record</v>
      </c>
      <c r="AT434" s="6" t="str">
        <f>HYPERLINK("http://www.worldcat.org/oclc/12638636","WorldCat Record")</f>
        <v>WorldCat Record</v>
      </c>
      <c r="AU434" s="3" t="s">
        <v>5767</v>
      </c>
      <c r="AV434" s="3" t="s">
        <v>5768</v>
      </c>
      <c r="AW434" s="3" t="s">
        <v>5769</v>
      </c>
      <c r="AX434" s="3" t="s">
        <v>5769</v>
      </c>
      <c r="AY434" s="3" t="s">
        <v>5770</v>
      </c>
      <c r="AZ434" s="3" t="s">
        <v>74</v>
      </c>
      <c r="BB434" s="3" t="s">
        <v>5771</v>
      </c>
      <c r="BC434" s="3" t="s">
        <v>5772</v>
      </c>
      <c r="BD434" s="3" t="s">
        <v>5773</v>
      </c>
    </row>
    <row r="435" spans="1:56" ht="42.75" customHeight="1" x14ac:dyDescent="0.25">
      <c r="A435" s="7" t="s">
        <v>58</v>
      </c>
      <c r="B435" s="2" t="s">
        <v>5774</v>
      </c>
      <c r="C435" s="2" t="s">
        <v>5775</v>
      </c>
      <c r="D435" s="2" t="s">
        <v>5776</v>
      </c>
      <c r="F435" s="3" t="s">
        <v>58</v>
      </c>
      <c r="G435" s="3" t="s">
        <v>59</v>
      </c>
      <c r="H435" s="3" t="s">
        <v>58</v>
      </c>
      <c r="I435" s="3" t="s">
        <v>58</v>
      </c>
      <c r="J435" s="3" t="s">
        <v>60</v>
      </c>
      <c r="K435" s="2" t="s">
        <v>5777</v>
      </c>
      <c r="L435" s="2" t="s">
        <v>5778</v>
      </c>
      <c r="M435" s="3" t="s">
        <v>534</v>
      </c>
      <c r="O435" s="3" t="s">
        <v>64</v>
      </c>
      <c r="P435" s="3" t="s">
        <v>115</v>
      </c>
      <c r="Q435" s="2" t="s">
        <v>5779</v>
      </c>
      <c r="R435" s="3" t="s">
        <v>67</v>
      </c>
      <c r="S435" s="4">
        <v>10</v>
      </c>
      <c r="T435" s="4">
        <v>10</v>
      </c>
      <c r="U435" s="5" t="s">
        <v>5572</v>
      </c>
      <c r="V435" s="5" t="s">
        <v>5572</v>
      </c>
      <c r="W435" s="5" t="s">
        <v>5780</v>
      </c>
      <c r="X435" s="5" t="s">
        <v>5780</v>
      </c>
      <c r="Y435" s="4">
        <v>249</v>
      </c>
      <c r="Z435" s="4">
        <v>193</v>
      </c>
      <c r="AA435" s="4">
        <v>193</v>
      </c>
      <c r="AB435" s="4">
        <v>4</v>
      </c>
      <c r="AC435" s="4">
        <v>4</v>
      </c>
      <c r="AD435" s="4">
        <v>8</v>
      </c>
      <c r="AE435" s="4">
        <v>8</v>
      </c>
      <c r="AF435" s="4">
        <v>1</v>
      </c>
      <c r="AG435" s="4">
        <v>1</v>
      </c>
      <c r="AH435" s="4">
        <v>2</v>
      </c>
      <c r="AI435" s="4">
        <v>2</v>
      </c>
      <c r="AJ435" s="4">
        <v>3</v>
      </c>
      <c r="AK435" s="4">
        <v>3</v>
      </c>
      <c r="AL435" s="4">
        <v>3</v>
      </c>
      <c r="AM435" s="4">
        <v>3</v>
      </c>
      <c r="AN435" s="4">
        <v>0</v>
      </c>
      <c r="AO435" s="4">
        <v>0</v>
      </c>
      <c r="AP435" s="3" t="s">
        <v>58</v>
      </c>
      <c r="AQ435" s="3" t="s">
        <v>58</v>
      </c>
      <c r="AS435" s="6" t="str">
        <f>HYPERLINK("https://creighton-primo.hosted.exlibrisgroup.com/primo-explore/search?tab=default_tab&amp;search_scope=EVERYTHING&amp;vid=01CRU&amp;lang=en_US&amp;offset=0&amp;query=any,contains,991001625979702656","Catalog Record")</f>
        <v>Catalog Record</v>
      </c>
      <c r="AT435" s="6" t="str">
        <f>HYPERLINK("http://www.worldcat.org/oclc/20852618","WorldCat Record")</f>
        <v>WorldCat Record</v>
      </c>
      <c r="AU435" s="3" t="s">
        <v>5781</v>
      </c>
      <c r="AV435" s="3" t="s">
        <v>5782</v>
      </c>
      <c r="AW435" s="3" t="s">
        <v>5783</v>
      </c>
      <c r="AX435" s="3" t="s">
        <v>5783</v>
      </c>
      <c r="AY435" s="3" t="s">
        <v>5784</v>
      </c>
      <c r="AZ435" s="3" t="s">
        <v>74</v>
      </c>
      <c r="BB435" s="3" t="s">
        <v>5785</v>
      </c>
      <c r="BC435" s="3" t="s">
        <v>5786</v>
      </c>
      <c r="BD435" s="3" t="s">
        <v>5787</v>
      </c>
    </row>
    <row r="436" spans="1:56" ht="42.75" customHeight="1" x14ac:dyDescent="0.25">
      <c r="A436" s="7" t="s">
        <v>58</v>
      </c>
      <c r="B436" s="2" t="s">
        <v>5788</v>
      </c>
      <c r="C436" s="2" t="s">
        <v>5789</v>
      </c>
      <c r="D436" s="2" t="s">
        <v>5790</v>
      </c>
      <c r="F436" s="3" t="s">
        <v>58</v>
      </c>
      <c r="G436" s="3" t="s">
        <v>59</v>
      </c>
      <c r="H436" s="3" t="s">
        <v>86</v>
      </c>
      <c r="I436" s="3" t="s">
        <v>58</v>
      </c>
      <c r="J436" s="3" t="s">
        <v>60</v>
      </c>
      <c r="K436" s="2" t="s">
        <v>5791</v>
      </c>
      <c r="L436" s="2" t="s">
        <v>5792</v>
      </c>
      <c r="M436" s="3" t="s">
        <v>2227</v>
      </c>
      <c r="O436" s="3" t="s">
        <v>64</v>
      </c>
      <c r="P436" s="3" t="s">
        <v>359</v>
      </c>
      <c r="R436" s="3" t="s">
        <v>67</v>
      </c>
      <c r="S436" s="4">
        <v>6</v>
      </c>
      <c r="T436" s="4">
        <v>10</v>
      </c>
      <c r="U436" s="5" t="s">
        <v>5793</v>
      </c>
      <c r="V436" s="5" t="s">
        <v>5793</v>
      </c>
      <c r="W436" s="5" t="s">
        <v>4459</v>
      </c>
      <c r="X436" s="5" t="s">
        <v>4459</v>
      </c>
      <c r="Y436" s="4">
        <v>373</v>
      </c>
      <c r="Z436" s="4">
        <v>339</v>
      </c>
      <c r="AA436" s="4">
        <v>365</v>
      </c>
      <c r="AB436" s="4">
        <v>3</v>
      </c>
      <c r="AC436" s="4">
        <v>3</v>
      </c>
      <c r="AD436" s="4">
        <v>10</v>
      </c>
      <c r="AE436" s="4">
        <v>11</v>
      </c>
      <c r="AF436" s="4">
        <v>5</v>
      </c>
      <c r="AG436" s="4">
        <v>5</v>
      </c>
      <c r="AH436" s="4">
        <v>0</v>
      </c>
      <c r="AI436" s="4">
        <v>1</v>
      </c>
      <c r="AJ436" s="4">
        <v>6</v>
      </c>
      <c r="AK436" s="4">
        <v>7</v>
      </c>
      <c r="AL436" s="4">
        <v>1</v>
      </c>
      <c r="AM436" s="4">
        <v>1</v>
      </c>
      <c r="AN436" s="4">
        <v>0</v>
      </c>
      <c r="AO436" s="4">
        <v>0</v>
      </c>
      <c r="AP436" s="3" t="s">
        <v>58</v>
      </c>
      <c r="AQ436" s="3" t="s">
        <v>86</v>
      </c>
      <c r="AR436" s="6" t="str">
        <f>HYPERLINK("http://catalog.hathitrust.org/Record/000344697","HathiTrust Record")</f>
        <v>HathiTrust Record</v>
      </c>
      <c r="AS436" s="6" t="str">
        <f>HYPERLINK("https://creighton-primo.hosted.exlibrisgroup.com/primo-explore/search?tab=default_tab&amp;search_scope=EVERYTHING&amp;vid=01CRU&amp;lang=en_US&amp;offset=0&amp;query=any,contains,991001767179702656","Catalog Record")</f>
        <v>Catalog Record</v>
      </c>
      <c r="AT436" s="6" t="str">
        <f>HYPERLINK("http://www.worldcat.org/oclc/11677210","WorldCat Record")</f>
        <v>WorldCat Record</v>
      </c>
      <c r="AU436" s="3" t="s">
        <v>5794</v>
      </c>
      <c r="AV436" s="3" t="s">
        <v>5795</v>
      </c>
      <c r="AW436" s="3" t="s">
        <v>5796</v>
      </c>
      <c r="AX436" s="3" t="s">
        <v>5796</v>
      </c>
      <c r="AY436" s="3" t="s">
        <v>5797</v>
      </c>
      <c r="AZ436" s="3" t="s">
        <v>74</v>
      </c>
      <c r="BB436" s="3" t="s">
        <v>5798</v>
      </c>
      <c r="BC436" s="3" t="s">
        <v>5799</v>
      </c>
      <c r="BD436" s="3" t="s">
        <v>5800</v>
      </c>
    </row>
    <row r="437" spans="1:56" ht="42.75" customHeight="1" x14ac:dyDescent="0.25">
      <c r="A437" s="7" t="s">
        <v>58</v>
      </c>
      <c r="B437" s="2" t="s">
        <v>5801</v>
      </c>
      <c r="C437" s="2" t="s">
        <v>5802</v>
      </c>
      <c r="D437" s="2" t="s">
        <v>5803</v>
      </c>
      <c r="F437" s="3" t="s">
        <v>58</v>
      </c>
      <c r="G437" s="3" t="s">
        <v>59</v>
      </c>
      <c r="H437" s="3" t="s">
        <v>58</v>
      </c>
      <c r="I437" s="3" t="s">
        <v>58</v>
      </c>
      <c r="J437" s="3" t="s">
        <v>60</v>
      </c>
      <c r="L437" s="2" t="s">
        <v>5804</v>
      </c>
      <c r="M437" s="3" t="s">
        <v>207</v>
      </c>
      <c r="O437" s="3" t="s">
        <v>64</v>
      </c>
      <c r="P437" s="3" t="s">
        <v>2331</v>
      </c>
      <c r="R437" s="3" t="s">
        <v>67</v>
      </c>
      <c r="S437" s="4">
        <v>7</v>
      </c>
      <c r="T437" s="4">
        <v>7</v>
      </c>
      <c r="U437" s="5" t="s">
        <v>5805</v>
      </c>
      <c r="V437" s="5" t="s">
        <v>5805</v>
      </c>
      <c r="W437" s="5" t="s">
        <v>4999</v>
      </c>
      <c r="X437" s="5" t="s">
        <v>4999</v>
      </c>
      <c r="Y437" s="4">
        <v>32</v>
      </c>
      <c r="Z437" s="4">
        <v>31</v>
      </c>
      <c r="AA437" s="4">
        <v>33</v>
      </c>
      <c r="AB437" s="4">
        <v>1</v>
      </c>
      <c r="AC437" s="4">
        <v>1</v>
      </c>
      <c r="AD437" s="4">
        <v>0</v>
      </c>
      <c r="AE437" s="4">
        <v>0</v>
      </c>
      <c r="AF437" s="4">
        <v>0</v>
      </c>
      <c r="AG437" s="4">
        <v>0</v>
      </c>
      <c r="AH437" s="4">
        <v>0</v>
      </c>
      <c r="AI437" s="4">
        <v>0</v>
      </c>
      <c r="AJ437" s="4">
        <v>0</v>
      </c>
      <c r="AK437" s="4">
        <v>0</v>
      </c>
      <c r="AL437" s="4">
        <v>0</v>
      </c>
      <c r="AM437" s="4">
        <v>0</v>
      </c>
      <c r="AN437" s="4">
        <v>0</v>
      </c>
      <c r="AO437" s="4">
        <v>0</v>
      </c>
      <c r="AP437" s="3" t="s">
        <v>58</v>
      </c>
      <c r="AQ437" s="3" t="s">
        <v>86</v>
      </c>
      <c r="AR437" s="6" t="str">
        <f>HYPERLINK("http://catalog.hathitrust.org/Record/000226905","HathiTrust Record")</f>
        <v>HathiTrust Record</v>
      </c>
      <c r="AS437" s="6" t="str">
        <f>HYPERLINK("https://creighton-primo.hosted.exlibrisgroup.com/primo-explore/search?tab=default_tab&amp;search_scope=EVERYTHING&amp;vid=01CRU&amp;lang=en_US&amp;offset=0&amp;query=any,contains,991005157039702656","Catalog Record")</f>
        <v>Catalog Record</v>
      </c>
      <c r="AT437" s="6" t="str">
        <f>HYPERLINK("http://www.worldcat.org/oclc/7741005","WorldCat Record")</f>
        <v>WorldCat Record</v>
      </c>
      <c r="AU437" s="3" t="s">
        <v>5806</v>
      </c>
      <c r="AV437" s="3" t="s">
        <v>5807</v>
      </c>
      <c r="AW437" s="3" t="s">
        <v>5808</v>
      </c>
      <c r="AX437" s="3" t="s">
        <v>5808</v>
      </c>
      <c r="AY437" s="3" t="s">
        <v>5809</v>
      </c>
      <c r="AZ437" s="3" t="s">
        <v>74</v>
      </c>
      <c r="BB437" s="3" t="s">
        <v>5810</v>
      </c>
      <c r="BC437" s="3" t="s">
        <v>5811</v>
      </c>
      <c r="BD437" s="3" t="s">
        <v>5812</v>
      </c>
    </row>
    <row r="438" spans="1:56" ht="42.75" customHeight="1" x14ac:dyDescent="0.25">
      <c r="A438" s="7" t="s">
        <v>58</v>
      </c>
      <c r="B438" s="2" t="s">
        <v>5813</v>
      </c>
      <c r="C438" s="2" t="s">
        <v>5814</v>
      </c>
      <c r="D438" s="2" t="s">
        <v>5815</v>
      </c>
      <c r="F438" s="3" t="s">
        <v>58</v>
      </c>
      <c r="G438" s="3" t="s">
        <v>59</v>
      </c>
      <c r="H438" s="3" t="s">
        <v>86</v>
      </c>
      <c r="I438" s="3" t="s">
        <v>58</v>
      </c>
      <c r="J438" s="3" t="s">
        <v>60</v>
      </c>
      <c r="L438" s="2" t="s">
        <v>5816</v>
      </c>
      <c r="M438" s="3" t="s">
        <v>238</v>
      </c>
      <c r="O438" s="3" t="s">
        <v>64</v>
      </c>
      <c r="P438" s="3" t="s">
        <v>115</v>
      </c>
      <c r="R438" s="3" t="s">
        <v>67</v>
      </c>
      <c r="S438" s="4">
        <v>4</v>
      </c>
      <c r="T438" s="4">
        <v>4</v>
      </c>
      <c r="U438" s="5" t="s">
        <v>5817</v>
      </c>
      <c r="V438" s="5" t="s">
        <v>5817</v>
      </c>
      <c r="W438" s="5" t="s">
        <v>4999</v>
      </c>
      <c r="X438" s="5" t="s">
        <v>4999</v>
      </c>
      <c r="Y438" s="4">
        <v>456</v>
      </c>
      <c r="Z438" s="4">
        <v>356</v>
      </c>
      <c r="AA438" s="4">
        <v>363</v>
      </c>
      <c r="AB438" s="4">
        <v>5</v>
      </c>
      <c r="AC438" s="4">
        <v>5</v>
      </c>
      <c r="AD438" s="4">
        <v>14</v>
      </c>
      <c r="AE438" s="4">
        <v>14</v>
      </c>
      <c r="AF438" s="4">
        <v>3</v>
      </c>
      <c r="AG438" s="4">
        <v>3</v>
      </c>
      <c r="AH438" s="4">
        <v>1</v>
      </c>
      <c r="AI438" s="4">
        <v>1</v>
      </c>
      <c r="AJ438" s="4">
        <v>10</v>
      </c>
      <c r="AK438" s="4">
        <v>10</v>
      </c>
      <c r="AL438" s="4">
        <v>3</v>
      </c>
      <c r="AM438" s="4">
        <v>3</v>
      </c>
      <c r="AN438" s="4">
        <v>0</v>
      </c>
      <c r="AO438" s="4">
        <v>0</v>
      </c>
      <c r="AP438" s="3" t="s">
        <v>58</v>
      </c>
      <c r="AQ438" s="3" t="s">
        <v>86</v>
      </c>
      <c r="AR438" s="6" t="str">
        <f>HYPERLINK("http://catalog.hathitrust.org/Record/000044450","HathiTrust Record")</f>
        <v>HathiTrust Record</v>
      </c>
      <c r="AS438" s="6" t="str">
        <f>HYPERLINK("https://creighton-primo.hosted.exlibrisgroup.com/primo-explore/search?tab=default_tab&amp;search_scope=EVERYTHING&amp;vid=01CRU&amp;lang=en_US&amp;offset=0&amp;query=any,contains,991004840159702656","Catalog Record")</f>
        <v>Catalog Record</v>
      </c>
      <c r="AT438" s="6" t="str">
        <f>HYPERLINK("http://www.worldcat.org/oclc/5496422","WorldCat Record")</f>
        <v>WorldCat Record</v>
      </c>
      <c r="AU438" s="3" t="s">
        <v>5818</v>
      </c>
      <c r="AV438" s="3" t="s">
        <v>5819</v>
      </c>
      <c r="AW438" s="3" t="s">
        <v>5820</v>
      </c>
      <c r="AX438" s="3" t="s">
        <v>5820</v>
      </c>
      <c r="AY438" s="3" t="s">
        <v>5821</v>
      </c>
      <c r="AZ438" s="3" t="s">
        <v>74</v>
      </c>
      <c r="BB438" s="3" t="s">
        <v>5822</v>
      </c>
      <c r="BC438" s="3" t="s">
        <v>5823</v>
      </c>
      <c r="BD438" s="3" t="s">
        <v>5824</v>
      </c>
    </row>
    <row r="439" spans="1:56" ht="42.75" customHeight="1" x14ac:dyDescent="0.25">
      <c r="A439" s="7" t="s">
        <v>58</v>
      </c>
      <c r="B439" s="2" t="s">
        <v>5825</v>
      </c>
      <c r="C439" s="2" t="s">
        <v>5826</v>
      </c>
      <c r="D439" s="2" t="s">
        <v>5827</v>
      </c>
      <c r="F439" s="3" t="s">
        <v>58</v>
      </c>
      <c r="G439" s="3" t="s">
        <v>59</v>
      </c>
      <c r="H439" s="3" t="s">
        <v>58</v>
      </c>
      <c r="I439" s="3" t="s">
        <v>58</v>
      </c>
      <c r="J439" s="3" t="s">
        <v>60</v>
      </c>
      <c r="K439" s="2" t="s">
        <v>5828</v>
      </c>
      <c r="L439" s="2" t="s">
        <v>5829</v>
      </c>
      <c r="M439" s="3" t="s">
        <v>805</v>
      </c>
      <c r="O439" s="3" t="s">
        <v>64</v>
      </c>
      <c r="P439" s="3" t="s">
        <v>99</v>
      </c>
      <c r="R439" s="3" t="s">
        <v>67</v>
      </c>
      <c r="S439" s="4">
        <v>6</v>
      </c>
      <c r="T439" s="4">
        <v>6</v>
      </c>
      <c r="U439" s="5" t="s">
        <v>5382</v>
      </c>
      <c r="V439" s="5" t="s">
        <v>5382</v>
      </c>
      <c r="W439" s="5" t="s">
        <v>5830</v>
      </c>
      <c r="X439" s="5" t="s">
        <v>5830</v>
      </c>
      <c r="Y439" s="4">
        <v>436</v>
      </c>
      <c r="Z439" s="4">
        <v>367</v>
      </c>
      <c r="AA439" s="4">
        <v>375</v>
      </c>
      <c r="AB439" s="4">
        <v>2</v>
      </c>
      <c r="AC439" s="4">
        <v>2</v>
      </c>
      <c r="AD439" s="4">
        <v>20</v>
      </c>
      <c r="AE439" s="4">
        <v>20</v>
      </c>
      <c r="AF439" s="4">
        <v>6</v>
      </c>
      <c r="AG439" s="4">
        <v>6</v>
      </c>
      <c r="AH439" s="4">
        <v>5</v>
      </c>
      <c r="AI439" s="4">
        <v>5</v>
      </c>
      <c r="AJ439" s="4">
        <v>13</v>
      </c>
      <c r="AK439" s="4">
        <v>13</v>
      </c>
      <c r="AL439" s="4">
        <v>1</v>
      </c>
      <c r="AM439" s="4">
        <v>1</v>
      </c>
      <c r="AN439" s="4">
        <v>0</v>
      </c>
      <c r="AO439" s="4">
        <v>0</v>
      </c>
      <c r="AP439" s="3" t="s">
        <v>58</v>
      </c>
      <c r="AQ439" s="3" t="s">
        <v>86</v>
      </c>
      <c r="AR439" s="6" t="str">
        <f>HYPERLINK("http://catalog.hathitrust.org/Record/003036626","HathiTrust Record")</f>
        <v>HathiTrust Record</v>
      </c>
      <c r="AS439" s="6" t="str">
        <f>HYPERLINK("https://creighton-primo.hosted.exlibrisgroup.com/primo-explore/search?tab=default_tab&amp;search_scope=EVERYTHING&amp;vid=01CRU&amp;lang=en_US&amp;offset=0&amp;query=any,contains,991002567379702656","Catalog Record")</f>
        <v>Catalog Record</v>
      </c>
      <c r="AT439" s="6" t="str">
        <f>HYPERLINK("http://www.worldcat.org/oclc/33360119","WorldCat Record")</f>
        <v>WorldCat Record</v>
      </c>
      <c r="AU439" s="3" t="s">
        <v>5831</v>
      </c>
      <c r="AV439" s="3" t="s">
        <v>5832</v>
      </c>
      <c r="AW439" s="3" t="s">
        <v>5833</v>
      </c>
      <c r="AX439" s="3" t="s">
        <v>5833</v>
      </c>
      <c r="AY439" s="3" t="s">
        <v>5834</v>
      </c>
      <c r="AZ439" s="3" t="s">
        <v>74</v>
      </c>
      <c r="BB439" s="3" t="s">
        <v>5835</v>
      </c>
      <c r="BC439" s="3" t="s">
        <v>5836</v>
      </c>
      <c r="BD439" s="3" t="s">
        <v>5837</v>
      </c>
    </row>
    <row r="440" spans="1:56" ht="42.75" customHeight="1" x14ac:dyDescent="0.25">
      <c r="A440" s="7" t="s">
        <v>58</v>
      </c>
      <c r="B440" s="2" t="s">
        <v>5838</v>
      </c>
      <c r="C440" s="2" t="s">
        <v>5839</v>
      </c>
      <c r="D440" s="2" t="s">
        <v>5840</v>
      </c>
      <c r="F440" s="3" t="s">
        <v>58</v>
      </c>
      <c r="G440" s="3" t="s">
        <v>59</v>
      </c>
      <c r="H440" s="3" t="s">
        <v>58</v>
      </c>
      <c r="I440" s="3" t="s">
        <v>58</v>
      </c>
      <c r="J440" s="3" t="s">
        <v>60</v>
      </c>
      <c r="K440" s="2" t="s">
        <v>5841</v>
      </c>
      <c r="L440" s="2" t="s">
        <v>5842</v>
      </c>
      <c r="M440" s="3" t="s">
        <v>888</v>
      </c>
      <c r="O440" s="3" t="s">
        <v>64</v>
      </c>
      <c r="P440" s="3" t="s">
        <v>115</v>
      </c>
      <c r="R440" s="3" t="s">
        <v>67</v>
      </c>
      <c r="S440" s="4">
        <v>1</v>
      </c>
      <c r="T440" s="4">
        <v>1</v>
      </c>
      <c r="U440" s="5" t="s">
        <v>5843</v>
      </c>
      <c r="V440" s="5" t="s">
        <v>5843</v>
      </c>
      <c r="W440" s="5" t="s">
        <v>5844</v>
      </c>
      <c r="X440" s="5" t="s">
        <v>5844</v>
      </c>
      <c r="Y440" s="4">
        <v>562</v>
      </c>
      <c r="Z440" s="4">
        <v>477</v>
      </c>
      <c r="AA440" s="4">
        <v>776</v>
      </c>
      <c r="AB440" s="4">
        <v>2</v>
      </c>
      <c r="AC440" s="4">
        <v>5</v>
      </c>
      <c r="AD440" s="4">
        <v>19</v>
      </c>
      <c r="AE440" s="4">
        <v>32</v>
      </c>
      <c r="AF440" s="4">
        <v>7</v>
      </c>
      <c r="AG440" s="4">
        <v>14</v>
      </c>
      <c r="AH440" s="4">
        <v>6</v>
      </c>
      <c r="AI440" s="4">
        <v>7</v>
      </c>
      <c r="AJ440" s="4">
        <v>11</v>
      </c>
      <c r="AK440" s="4">
        <v>16</v>
      </c>
      <c r="AL440" s="4">
        <v>1</v>
      </c>
      <c r="AM440" s="4">
        <v>4</v>
      </c>
      <c r="AN440" s="4">
        <v>0</v>
      </c>
      <c r="AO440" s="4">
        <v>0</v>
      </c>
      <c r="AP440" s="3" t="s">
        <v>58</v>
      </c>
      <c r="AQ440" s="3" t="s">
        <v>58</v>
      </c>
      <c r="AS440" s="6" t="str">
        <f>HYPERLINK("https://creighton-primo.hosted.exlibrisgroup.com/primo-explore/search?tab=default_tab&amp;search_scope=EVERYTHING&amp;vid=01CRU&amp;lang=en_US&amp;offset=0&amp;query=any,contains,991002936059702656","Catalog Record")</f>
        <v>Catalog Record</v>
      </c>
      <c r="AT440" s="6" t="str">
        <f>HYPERLINK("http://www.worldcat.org/oclc/39051751","WorldCat Record")</f>
        <v>WorldCat Record</v>
      </c>
      <c r="AU440" s="3" t="s">
        <v>5845</v>
      </c>
      <c r="AV440" s="3" t="s">
        <v>5846</v>
      </c>
      <c r="AW440" s="3" t="s">
        <v>5847</v>
      </c>
      <c r="AX440" s="3" t="s">
        <v>5847</v>
      </c>
      <c r="AY440" s="3" t="s">
        <v>5848</v>
      </c>
      <c r="AZ440" s="3" t="s">
        <v>74</v>
      </c>
      <c r="BB440" s="3" t="s">
        <v>5849</v>
      </c>
      <c r="BC440" s="3" t="s">
        <v>5850</v>
      </c>
      <c r="BD440" s="3" t="s">
        <v>5851</v>
      </c>
    </row>
    <row r="441" spans="1:56" ht="42.75" customHeight="1" x14ac:dyDescent="0.25">
      <c r="A441" s="7" t="s">
        <v>58</v>
      </c>
      <c r="B441" s="2" t="s">
        <v>5852</v>
      </c>
      <c r="C441" s="2" t="s">
        <v>5853</v>
      </c>
      <c r="D441" s="2" t="s">
        <v>5854</v>
      </c>
      <c r="F441" s="3" t="s">
        <v>58</v>
      </c>
      <c r="G441" s="3" t="s">
        <v>59</v>
      </c>
      <c r="H441" s="3" t="s">
        <v>58</v>
      </c>
      <c r="I441" s="3" t="s">
        <v>58</v>
      </c>
      <c r="J441" s="3" t="s">
        <v>60</v>
      </c>
      <c r="L441" s="2" t="s">
        <v>2240</v>
      </c>
      <c r="M441" s="3" t="s">
        <v>942</v>
      </c>
      <c r="O441" s="3" t="s">
        <v>64</v>
      </c>
      <c r="P441" s="3" t="s">
        <v>83</v>
      </c>
      <c r="R441" s="3" t="s">
        <v>67</v>
      </c>
      <c r="S441" s="4">
        <v>2</v>
      </c>
      <c r="T441" s="4">
        <v>2</v>
      </c>
      <c r="U441" s="5" t="s">
        <v>2895</v>
      </c>
      <c r="V441" s="5" t="s">
        <v>2895</v>
      </c>
      <c r="W441" s="5" t="s">
        <v>2895</v>
      </c>
      <c r="X441" s="5" t="s">
        <v>2895</v>
      </c>
      <c r="Y441" s="4">
        <v>383</v>
      </c>
      <c r="Z441" s="4">
        <v>304</v>
      </c>
      <c r="AA441" s="4">
        <v>309</v>
      </c>
      <c r="AB441" s="4">
        <v>3</v>
      </c>
      <c r="AC441" s="4">
        <v>3</v>
      </c>
      <c r="AD441" s="4">
        <v>12</v>
      </c>
      <c r="AE441" s="4">
        <v>12</v>
      </c>
      <c r="AF441" s="4">
        <v>7</v>
      </c>
      <c r="AG441" s="4">
        <v>7</v>
      </c>
      <c r="AH441" s="4">
        <v>1</v>
      </c>
      <c r="AI441" s="4">
        <v>1</v>
      </c>
      <c r="AJ441" s="4">
        <v>6</v>
      </c>
      <c r="AK441" s="4">
        <v>6</v>
      </c>
      <c r="AL441" s="4">
        <v>2</v>
      </c>
      <c r="AM441" s="4">
        <v>2</v>
      </c>
      <c r="AN441" s="4">
        <v>0</v>
      </c>
      <c r="AO441" s="4">
        <v>0</v>
      </c>
      <c r="AP441" s="3" t="s">
        <v>58</v>
      </c>
      <c r="AQ441" s="3" t="s">
        <v>58</v>
      </c>
      <c r="AS441" s="6" t="str">
        <f>HYPERLINK("https://creighton-primo.hosted.exlibrisgroup.com/primo-explore/search?tab=default_tab&amp;search_scope=EVERYTHING&amp;vid=01CRU&amp;lang=en_US&amp;offset=0&amp;query=any,contains,991004512159702656","Catalog Record")</f>
        <v>Catalog Record</v>
      </c>
      <c r="AT441" s="6" t="str">
        <f>HYPERLINK("http://www.worldcat.org/oclc/39714826","WorldCat Record")</f>
        <v>WorldCat Record</v>
      </c>
      <c r="AU441" s="3" t="s">
        <v>5855</v>
      </c>
      <c r="AV441" s="3" t="s">
        <v>5856</v>
      </c>
      <c r="AW441" s="3" t="s">
        <v>5857</v>
      </c>
      <c r="AX441" s="3" t="s">
        <v>5857</v>
      </c>
      <c r="AY441" s="3" t="s">
        <v>5858</v>
      </c>
      <c r="AZ441" s="3" t="s">
        <v>74</v>
      </c>
      <c r="BB441" s="3" t="s">
        <v>5859</v>
      </c>
      <c r="BC441" s="3" t="s">
        <v>5860</v>
      </c>
      <c r="BD441" s="3" t="s">
        <v>5861</v>
      </c>
    </row>
    <row r="442" spans="1:56" ht="42.75" customHeight="1" x14ac:dyDescent="0.25">
      <c r="A442" s="7" t="s">
        <v>58</v>
      </c>
      <c r="B442" s="2" t="s">
        <v>5862</v>
      </c>
      <c r="C442" s="2" t="s">
        <v>5863</v>
      </c>
      <c r="D442" s="2" t="s">
        <v>5864</v>
      </c>
      <c r="F442" s="3" t="s">
        <v>58</v>
      </c>
      <c r="G442" s="3" t="s">
        <v>59</v>
      </c>
      <c r="H442" s="3" t="s">
        <v>58</v>
      </c>
      <c r="I442" s="3" t="s">
        <v>58</v>
      </c>
      <c r="J442" s="3" t="s">
        <v>60</v>
      </c>
      <c r="L442" s="2" t="s">
        <v>5865</v>
      </c>
      <c r="M442" s="3" t="s">
        <v>1361</v>
      </c>
      <c r="O442" s="3" t="s">
        <v>64</v>
      </c>
      <c r="P442" s="3" t="s">
        <v>115</v>
      </c>
      <c r="R442" s="3" t="s">
        <v>67</v>
      </c>
      <c r="S442" s="4">
        <v>1</v>
      </c>
      <c r="T442" s="4">
        <v>1</v>
      </c>
      <c r="U442" s="5" t="s">
        <v>5866</v>
      </c>
      <c r="V442" s="5" t="s">
        <v>5866</v>
      </c>
      <c r="W442" s="5" t="s">
        <v>5866</v>
      </c>
      <c r="X442" s="5" t="s">
        <v>5866</v>
      </c>
      <c r="Y442" s="4">
        <v>330</v>
      </c>
      <c r="Z442" s="4">
        <v>273</v>
      </c>
      <c r="AA442" s="4">
        <v>275</v>
      </c>
      <c r="AB442" s="4">
        <v>2</v>
      </c>
      <c r="AC442" s="4">
        <v>2</v>
      </c>
      <c r="AD442" s="4">
        <v>17</v>
      </c>
      <c r="AE442" s="4">
        <v>17</v>
      </c>
      <c r="AF442" s="4">
        <v>8</v>
      </c>
      <c r="AG442" s="4">
        <v>8</v>
      </c>
      <c r="AH442" s="4">
        <v>4</v>
      </c>
      <c r="AI442" s="4">
        <v>4</v>
      </c>
      <c r="AJ442" s="4">
        <v>9</v>
      </c>
      <c r="AK442" s="4">
        <v>9</v>
      </c>
      <c r="AL442" s="4">
        <v>1</v>
      </c>
      <c r="AM442" s="4">
        <v>1</v>
      </c>
      <c r="AN442" s="4">
        <v>0</v>
      </c>
      <c r="AO442" s="4">
        <v>0</v>
      </c>
      <c r="AP442" s="3" t="s">
        <v>58</v>
      </c>
      <c r="AQ442" s="3" t="s">
        <v>86</v>
      </c>
      <c r="AR442" s="6" t="str">
        <f>HYPERLINK("http://catalog.hathitrust.org/Record/102053539","HathiTrust Record")</f>
        <v>HathiTrust Record</v>
      </c>
      <c r="AS442" s="6" t="str">
        <f>HYPERLINK("https://creighton-primo.hosted.exlibrisgroup.com/primo-explore/search?tab=default_tab&amp;search_scope=EVERYTHING&amp;vid=01CRU&amp;lang=en_US&amp;offset=0&amp;query=any,contains,991005167359702656","Catalog Record")</f>
        <v>Catalog Record</v>
      </c>
      <c r="AT442" s="6" t="str">
        <f>HYPERLINK("http://www.worldcat.org/oclc/76937265","WorldCat Record")</f>
        <v>WorldCat Record</v>
      </c>
      <c r="AU442" s="3" t="s">
        <v>5867</v>
      </c>
      <c r="AV442" s="3" t="s">
        <v>5868</v>
      </c>
      <c r="AW442" s="3" t="s">
        <v>5869</v>
      </c>
      <c r="AX442" s="3" t="s">
        <v>5869</v>
      </c>
      <c r="AY442" s="3" t="s">
        <v>5870</v>
      </c>
      <c r="AZ442" s="3" t="s">
        <v>74</v>
      </c>
      <c r="BB442" s="3" t="s">
        <v>5871</v>
      </c>
      <c r="BC442" s="3" t="s">
        <v>5872</v>
      </c>
      <c r="BD442" s="3" t="s">
        <v>5873</v>
      </c>
    </row>
    <row r="443" spans="1:56" ht="42.75" customHeight="1" x14ac:dyDescent="0.25">
      <c r="A443" s="7" t="s">
        <v>58</v>
      </c>
      <c r="B443" s="2" t="s">
        <v>5874</v>
      </c>
      <c r="C443" s="2" t="s">
        <v>5875</v>
      </c>
      <c r="D443" s="2" t="s">
        <v>5876</v>
      </c>
      <c r="F443" s="3" t="s">
        <v>58</v>
      </c>
      <c r="G443" s="3" t="s">
        <v>59</v>
      </c>
      <c r="H443" s="3" t="s">
        <v>58</v>
      </c>
      <c r="I443" s="3" t="s">
        <v>58</v>
      </c>
      <c r="J443" s="3" t="s">
        <v>60</v>
      </c>
      <c r="L443" s="2" t="s">
        <v>5877</v>
      </c>
      <c r="M443" s="3" t="s">
        <v>207</v>
      </c>
      <c r="O443" s="3" t="s">
        <v>64</v>
      </c>
      <c r="P443" s="3" t="s">
        <v>115</v>
      </c>
      <c r="R443" s="3" t="s">
        <v>67</v>
      </c>
      <c r="S443" s="4">
        <v>1</v>
      </c>
      <c r="T443" s="4">
        <v>1</v>
      </c>
      <c r="U443" s="5" t="s">
        <v>5878</v>
      </c>
      <c r="V443" s="5" t="s">
        <v>5878</v>
      </c>
      <c r="W443" s="5" t="s">
        <v>5879</v>
      </c>
      <c r="X443" s="5" t="s">
        <v>5879</v>
      </c>
      <c r="Y443" s="4">
        <v>253</v>
      </c>
      <c r="Z443" s="4">
        <v>204</v>
      </c>
      <c r="AA443" s="4">
        <v>206</v>
      </c>
      <c r="AB443" s="4">
        <v>2</v>
      </c>
      <c r="AC443" s="4">
        <v>2</v>
      </c>
      <c r="AD443" s="4">
        <v>5</v>
      </c>
      <c r="AE443" s="4">
        <v>5</v>
      </c>
      <c r="AF443" s="4">
        <v>2</v>
      </c>
      <c r="AG443" s="4">
        <v>2</v>
      </c>
      <c r="AH443" s="4">
        <v>1</v>
      </c>
      <c r="AI443" s="4">
        <v>1</v>
      </c>
      <c r="AJ443" s="4">
        <v>2</v>
      </c>
      <c r="AK443" s="4">
        <v>2</v>
      </c>
      <c r="AL443" s="4">
        <v>1</v>
      </c>
      <c r="AM443" s="4">
        <v>1</v>
      </c>
      <c r="AN443" s="4">
        <v>0</v>
      </c>
      <c r="AO443" s="4">
        <v>0</v>
      </c>
      <c r="AP443" s="3" t="s">
        <v>58</v>
      </c>
      <c r="AQ443" s="3" t="s">
        <v>86</v>
      </c>
      <c r="AR443" s="6" t="str">
        <f>HYPERLINK("http://catalog.hathitrust.org/Record/000102829","HathiTrust Record")</f>
        <v>HathiTrust Record</v>
      </c>
      <c r="AS443" s="6" t="str">
        <f>HYPERLINK("https://creighton-primo.hosted.exlibrisgroup.com/primo-explore/search?tab=default_tab&amp;search_scope=EVERYTHING&amp;vid=01CRU&amp;lang=en_US&amp;offset=0&amp;query=any,contains,991005137849702656","Catalog Record")</f>
        <v>Catalog Record</v>
      </c>
      <c r="AT443" s="6" t="str">
        <f>HYPERLINK("http://www.worldcat.org/oclc/7587097","WorldCat Record")</f>
        <v>WorldCat Record</v>
      </c>
      <c r="AU443" s="3" t="s">
        <v>5880</v>
      </c>
      <c r="AV443" s="3" t="s">
        <v>5881</v>
      </c>
      <c r="AW443" s="3" t="s">
        <v>5882</v>
      </c>
      <c r="AX443" s="3" t="s">
        <v>5882</v>
      </c>
      <c r="AY443" s="3" t="s">
        <v>5883</v>
      </c>
      <c r="AZ443" s="3" t="s">
        <v>74</v>
      </c>
      <c r="BB443" s="3" t="s">
        <v>5884</v>
      </c>
      <c r="BC443" s="3" t="s">
        <v>5885</v>
      </c>
      <c r="BD443" s="3" t="s">
        <v>5886</v>
      </c>
    </row>
    <row r="444" spans="1:56" ht="42.75" customHeight="1" x14ac:dyDescent="0.25">
      <c r="A444" s="7" t="s">
        <v>58</v>
      </c>
      <c r="B444" s="2" t="s">
        <v>5887</v>
      </c>
      <c r="C444" s="2" t="s">
        <v>5888</v>
      </c>
      <c r="D444" s="2" t="s">
        <v>5889</v>
      </c>
      <c r="F444" s="3" t="s">
        <v>58</v>
      </c>
      <c r="G444" s="3" t="s">
        <v>59</v>
      </c>
      <c r="H444" s="3" t="s">
        <v>58</v>
      </c>
      <c r="I444" s="3" t="s">
        <v>58</v>
      </c>
      <c r="J444" s="3" t="s">
        <v>60</v>
      </c>
      <c r="L444" s="2" t="s">
        <v>5890</v>
      </c>
      <c r="M444" s="3" t="s">
        <v>344</v>
      </c>
      <c r="O444" s="3" t="s">
        <v>64</v>
      </c>
      <c r="P444" s="3" t="s">
        <v>99</v>
      </c>
      <c r="Q444" s="2" t="s">
        <v>5891</v>
      </c>
      <c r="R444" s="3" t="s">
        <v>67</v>
      </c>
      <c r="S444" s="4">
        <v>4</v>
      </c>
      <c r="T444" s="4">
        <v>4</v>
      </c>
      <c r="U444" s="5" t="s">
        <v>5892</v>
      </c>
      <c r="V444" s="5" t="s">
        <v>5892</v>
      </c>
      <c r="W444" s="5" t="s">
        <v>4999</v>
      </c>
      <c r="X444" s="5" t="s">
        <v>4999</v>
      </c>
      <c r="Y444" s="4">
        <v>282</v>
      </c>
      <c r="Z444" s="4">
        <v>254</v>
      </c>
      <c r="AA444" s="4">
        <v>259</v>
      </c>
      <c r="AB444" s="4">
        <v>4</v>
      </c>
      <c r="AC444" s="4">
        <v>4</v>
      </c>
      <c r="AD444" s="4">
        <v>9</v>
      </c>
      <c r="AE444" s="4">
        <v>9</v>
      </c>
      <c r="AF444" s="4">
        <v>2</v>
      </c>
      <c r="AG444" s="4">
        <v>2</v>
      </c>
      <c r="AH444" s="4">
        <v>0</v>
      </c>
      <c r="AI444" s="4">
        <v>0</v>
      </c>
      <c r="AJ444" s="4">
        <v>5</v>
      </c>
      <c r="AK444" s="4">
        <v>5</v>
      </c>
      <c r="AL444" s="4">
        <v>3</v>
      </c>
      <c r="AM444" s="4">
        <v>3</v>
      </c>
      <c r="AN444" s="4">
        <v>0</v>
      </c>
      <c r="AO444" s="4">
        <v>0</v>
      </c>
      <c r="AP444" s="3" t="s">
        <v>58</v>
      </c>
      <c r="AQ444" s="3" t="s">
        <v>58</v>
      </c>
      <c r="AS444" s="6" t="str">
        <f>HYPERLINK("https://creighton-primo.hosted.exlibrisgroup.com/primo-explore/search?tab=default_tab&amp;search_scope=EVERYTHING&amp;vid=01CRU&amp;lang=en_US&amp;offset=0&amp;query=any,contains,991004893259702656","Catalog Record")</f>
        <v>Catalog Record</v>
      </c>
      <c r="AT444" s="6" t="str">
        <f>HYPERLINK("http://www.worldcat.org/oclc/5889385","WorldCat Record")</f>
        <v>WorldCat Record</v>
      </c>
      <c r="AU444" s="3" t="s">
        <v>5893</v>
      </c>
      <c r="AV444" s="3" t="s">
        <v>5894</v>
      </c>
      <c r="AW444" s="3" t="s">
        <v>5895</v>
      </c>
      <c r="AX444" s="3" t="s">
        <v>5895</v>
      </c>
      <c r="AY444" s="3" t="s">
        <v>5896</v>
      </c>
      <c r="AZ444" s="3" t="s">
        <v>74</v>
      </c>
      <c r="BB444" s="3" t="s">
        <v>5897</v>
      </c>
      <c r="BC444" s="3" t="s">
        <v>5898</v>
      </c>
      <c r="BD444" s="3" t="s">
        <v>5899</v>
      </c>
    </row>
    <row r="445" spans="1:56" ht="42.75" customHeight="1" x14ac:dyDescent="0.25">
      <c r="A445" s="7" t="s">
        <v>58</v>
      </c>
      <c r="B445" s="2" t="s">
        <v>5900</v>
      </c>
      <c r="C445" s="2" t="s">
        <v>5901</v>
      </c>
      <c r="D445" s="2" t="s">
        <v>5902</v>
      </c>
      <c r="F445" s="3" t="s">
        <v>58</v>
      </c>
      <c r="G445" s="3" t="s">
        <v>59</v>
      </c>
      <c r="H445" s="3" t="s">
        <v>58</v>
      </c>
      <c r="I445" s="3" t="s">
        <v>58</v>
      </c>
      <c r="J445" s="3" t="s">
        <v>60</v>
      </c>
      <c r="L445" s="2" t="s">
        <v>5903</v>
      </c>
      <c r="M445" s="3" t="s">
        <v>344</v>
      </c>
      <c r="O445" s="3" t="s">
        <v>64</v>
      </c>
      <c r="P445" s="3" t="s">
        <v>359</v>
      </c>
      <c r="R445" s="3" t="s">
        <v>67</v>
      </c>
      <c r="S445" s="4">
        <v>2</v>
      </c>
      <c r="T445" s="4">
        <v>2</v>
      </c>
      <c r="U445" s="5" t="s">
        <v>5904</v>
      </c>
      <c r="V445" s="5" t="s">
        <v>5904</v>
      </c>
      <c r="W445" s="5" t="s">
        <v>4999</v>
      </c>
      <c r="X445" s="5" t="s">
        <v>4999</v>
      </c>
      <c r="Y445" s="4">
        <v>314</v>
      </c>
      <c r="Z445" s="4">
        <v>258</v>
      </c>
      <c r="AA445" s="4">
        <v>263</v>
      </c>
      <c r="AB445" s="4">
        <v>3</v>
      </c>
      <c r="AC445" s="4">
        <v>3</v>
      </c>
      <c r="AD445" s="4">
        <v>10</v>
      </c>
      <c r="AE445" s="4">
        <v>10</v>
      </c>
      <c r="AF445" s="4">
        <v>3</v>
      </c>
      <c r="AG445" s="4">
        <v>3</v>
      </c>
      <c r="AH445" s="4">
        <v>1</v>
      </c>
      <c r="AI445" s="4">
        <v>1</v>
      </c>
      <c r="AJ445" s="4">
        <v>6</v>
      </c>
      <c r="AK445" s="4">
        <v>6</v>
      </c>
      <c r="AL445" s="4">
        <v>2</v>
      </c>
      <c r="AM445" s="4">
        <v>2</v>
      </c>
      <c r="AN445" s="4">
        <v>0</v>
      </c>
      <c r="AO445" s="4">
        <v>0</v>
      </c>
      <c r="AP445" s="3" t="s">
        <v>58</v>
      </c>
      <c r="AQ445" s="3" t="s">
        <v>58</v>
      </c>
      <c r="AS445" s="6" t="str">
        <f>HYPERLINK("https://creighton-primo.hosted.exlibrisgroup.com/primo-explore/search?tab=default_tab&amp;search_scope=EVERYTHING&amp;vid=01CRU&amp;lang=en_US&amp;offset=0&amp;query=any,contains,991004916269702656","Catalog Record")</f>
        <v>Catalog Record</v>
      </c>
      <c r="AT445" s="6" t="str">
        <f>HYPERLINK("http://www.worldcat.org/oclc/6016390","WorldCat Record")</f>
        <v>WorldCat Record</v>
      </c>
      <c r="AU445" s="3" t="s">
        <v>5905</v>
      </c>
      <c r="AV445" s="3" t="s">
        <v>5906</v>
      </c>
      <c r="AW445" s="3" t="s">
        <v>5907</v>
      </c>
      <c r="AX445" s="3" t="s">
        <v>5907</v>
      </c>
      <c r="AY445" s="3" t="s">
        <v>5908</v>
      </c>
      <c r="AZ445" s="3" t="s">
        <v>74</v>
      </c>
      <c r="BB445" s="3" t="s">
        <v>5909</v>
      </c>
      <c r="BC445" s="3" t="s">
        <v>5910</v>
      </c>
      <c r="BD445" s="3" t="s">
        <v>5911</v>
      </c>
    </row>
    <row r="446" spans="1:56" ht="42.75" customHeight="1" x14ac:dyDescent="0.25">
      <c r="A446" s="7" t="s">
        <v>58</v>
      </c>
      <c r="B446" s="2" t="s">
        <v>5912</v>
      </c>
      <c r="C446" s="2" t="s">
        <v>5913</v>
      </c>
      <c r="D446" s="2" t="s">
        <v>5914</v>
      </c>
      <c r="F446" s="3" t="s">
        <v>58</v>
      </c>
      <c r="G446" s="3" t="s">
        <v>59</v>
      </c>
      <c r="H446" s="3" t="s">
        <v>58</v>
      </c>
      <c r="I446" s="3" t="s">
        <v>58</v>
      </c>
      <c r="J446" s="3" t="s">
        <v>60</v>
      </c>
      <c r="L446" s="2" t="s">
        <v>5915</v>
      </c>
      <c r="M446" s="3" t="s">
        <v>344</v>
      </c>
      <c r="O446" s="3" t="s">
        <v>64</v>
      </c>
      <c r="P446" s="3" t="s">
        <v>115</v>
      </c>
      <c r="R446" s="3" t="s">
        <v>67</v>
      </c>
      <c r="S446" s="4">
        <v>2</v>
      </c>
      <c r="T446" s="4">
        <v>2</v>
      </c>
      <c r="U446" s="5" t="s">
        <v>5916</v>
      </c>
      <c r="V446" s="5" t="s">
        <v>5916</v>
      </c>
      <c r="W446" s="5" t="s">
        <v>5917</v>
      </c>
      <c r="X446" s="5" t="s">
        <v>5917</v>
      </c>
      <c r="Y446" s="4">
        <v>392</v>
      </c>
      <c r="Z446" s="4">
        <v>316</v>
      </c>
      <c r="AA446" s="4">
        <v>318</v>
      </c>
      <c r="AB446" s="4">
        <v>2</v>
      </c>
      <c r="AC446" s="4">
        <v>2</v>
      </c>
      <c r="AD446" s="4">
        <v>14</v>
      </c>
      <c r="AE446" s="4">
        <v>14</v>
      </c>
      <c r="AF446" s="4">
        <v>5</v>
      </c>
      <c r="AG446" s="4">
        <v>5</v>
      </c>
      <c r="AH446" s="4">
        <v>2</v>
      </c>
      <c r="AI446" s="4">
        <v>2</v>
      </c>
      <c r="AJ446" s="4">
        <v>9</v>
      </c>
      <c r="AK446" s="4">
        <v>9</v>
      </c>
      <c r="AL446" s="4">
        <v>1</v>
      </c>
      <c r="AM446" s="4">
        <v>1</v>
      </c>
      <c r="AN446" s="4">
        <v>0</v>
      </c>
      <c r="AO446" s="4">
        <v>0</v>
      </c>
      <c r="AP446" s="3" t="s">
        <v>58</v>
      </c>
      <c r="AQ446" s="3" t="s">
        <v>86</v>
      </c>
      <c r="AR446" s="6" t="str">
        <f>HYPERLINK("http://catalog.hathitrust.org/Record/000700236","HathiTrust Record")</f>
        <v>HathiTrust Record</v>
      </c>
      <c r="AS446" s="6" t="str">
        <f>HYPERLINK("https://creighton-primo.hosted.exlibrisgroup.com/primo-explore/search?tab=default_tab&amp;search_scope=EVERYTHING&amp;vid=01CRU&amp;lang=en_US&amp;offset=0&amp;query=any,contains,991004861779702656","Catalog Record")</f>
        <v>Catalog Record</v>
      </c>
      <c r="AT446" s="6" t="str">
        <f>HYPERLINK("http://www.worldcat.org/oclc/5706916","WorldCat Record")</f>
        <v>WorldCat Record</v>
      </c>
      <c r="AU446" s="3" t="s">
        <v>5918</v>
      </c>
      <c r="AV446" s="3" t="s">
        <v>5919</v>
      </c>
      <c r="AW446" s="3" t="s">
        <v>5920</v>
      </c>
      <c r="AX446" s="3" t="s">
        <v>5920</v>
      </c>
      <c r="AY446" s="3" t="s">
        <v>5921</v>
      </c>
      <c r="AZ446" s="3" t="s">
        <v>74</v>
      </c>
      <c r="BB446" s="3" t="s">
        <v>5922</v>
      </c>
      <c r="BC446" s="3" t="s">
        <v>5923</v>
      </c>
      <c r="BD446" s="3" t="s">
        <v>5924</v>
      </c>
    </row>
    <row r="447" spans="1:56" ht="42.75" customHeight="1" x14ac:dyDescent="0.25">
      <c r="A447" s="7" t="s">
        <v>58</v>
      </c>
      <c r="B447" s="2" t="s">
        <v>5925</v>
      </c>
      <c r="C447" s="2" t="s">
        <v>5926</v>
      </c>
      <c r="D447" s="2" t="s">
        <v>5927</v>
      </c>
      <c r="F447" s="3" t="s">
        <v>58</v>
      </c>
      <c r="G447" s="3" t="s">
        <v>59</v>
      </c>
      <c r="H447" s="3" t="s">
        <v>58</v>
      </c>
      <c r="I447" s="3" t="s">
        <v>58</v>
      </c>
      <c r="J447" s="3" t="s">
        <v>60</v>
      </c>
      <c r="K447" s="2" t="s">
        <v>5928</v>
      </c>
      <c r="L447" s="2" t="s">
        <v>5929</v>
      </c>
      <c r="M447" s="3" t="s">
        <v>642</v>
      </c>
      <c r="O447" s="3" t="s">
        <v>64</v>
      </c>
      <c r="P447" s="3" t="s">
        <v>115</v>
      </c>
      <c r="R447" s="3" t="s">
        <v>67</v>
      </c>
      <c r="S447" s="4">
        <v>6</v>
      </c>
      <c r="T447" s="4">
        <v>6</v>
      </c>
      <c r="U447" s="5" t="s">
        <v>3027</v>
      </c>
      <c r="V447" s="5" t="s">
        <v>3027</v>
      </c>
      <c r="W447" s="5" t="s">
        <v>5930</v>
      </c>
      <c r="X447" s="5" t="s">
        <v>5930</v>
      </c>
      <c r="Y447" s="4">
        <v>397</v>
      </c>
      <c r="Z447" s="4">
        <v>327</v>
      </c>
      <c r="AA447" s="4">
        <v>361</v>
      </c>
      <c r="AB447" s="4">
        <v>3</v>
      </c>
      <c r="AC447" s="4">
        <v>3</v>
      </c>
      <c r="AD447" s="4">
        <v>13</v>
      </c>
      <c r="AE447" s="4">
        <v>14</v>
      </c>
      <c r="AF447" s="4">
        <v>6</v>
      </c>
      <c r="AG447" s="4">
        <v>6</v>
      </c>
      <c r="AH447" s="4">
        <v>4</v>
      </c>
      <c r="AI447" s="4">
        <v>4</v>
      </c>
      <c r="AJ447" s="4">
        <v>7</v>
      </c>
      <c r="AK447" s="4">
        <v>8</v>
      </c>
      <c r="AL447" s="4">
        <v>2</v>
      </c>
      <c r="AM447" s="4">
        <v>2</v>
      </c>
      <c r="AN447" s="4">
        <v>0</v>
      </c>
      <c r="AO447" s="4">
        <v>0</v>
      </c>
      <c r="AP447" s="3" t="s">
        <v>58</v>
      </c>
      <c r="AQ447" s="3" t="s">
        <v>86</v>
      </c>
      <c r="AR447" s="6" t="str">
        <f>HYPERLINK("http://catalog.hathitrust.org/Record/002547054","HathiTrust Record")</f>
        <v>HathiTrust Record</v>
      </c>
      <c r="AS447" s="6" t="str">
        <f>HYPERLINK("https://creighton-primo.hosted.exlibrisgroup.com/primo-explore/search?tab=default_tab&amp;search_scope=EVERYTHING&amp;vid=01CRU&amp;lang=en_US&amp;offset=0&amp;query=any,contains,991001981629702656","Catalog Record")</f>
        <v>Catalog Record</v>
      </c>
      <c r="AT447" s="6" t="str">
        <f>HYPERLINK("http://www.worldcat.org/oclc/25163466","WorldCat Record")</f>
        <v>WorldCat Record</v>
      </c>
      <c r="AU447" s="3" t="s">
        <v>5931</v>
      </c>
      <c r="AV447" s="3" t="s">
        <v>5932</v>
      </c>
      <c r="AW447" s="3" t="s">
        <v>5933</v>
      </c>
      <c r="AX447" s="3" t="s">
        <v>5933</v>
      </c>
      <c r="AY447" s="3" t="s">
        <v>5934</v>
      </c>
      <c r="AZ447" s="3" t="s">
        <v>74</v>
      </c>
      <c r="BB447" s="3" t="s">
        <v>5935</v>
      </c>
      <c r="BC447" s="3" t="s">
        <v>5936</v>
      </c>
      <c r="BD447" s="3" t="s">
        <v>5937</v>
      </c>
    </row>
    <row r="448" spans="1:56" ht="42.75" customHeight="1" x14ac:dyDescent="0.25">
      <c r="A448" s="7" t="s">
        <v>58</v>
      </c>
      <c r="B448" s="2" t="s">
        <v>5938</v>
      </c>
      <c r="C448" s="2" t="s">
        <v>5939</v>
      </c>
      <c r="D448" s="2" t="s">
        <v>5940</v>
      </c>
      <c r="F448" s="3" t="s">
        <v>58</v>
      </c>
      <c r="G448" s="3" t="s">
        <v>59</v>
      </c>
      <c r="H448" s="3" t="s">
        <v>58</v>
      </c>
      <c r="I448" s="3" t="s">
        <v>58</v>
      </c>
      <c r="J448" s="3" t="s">
        <v>60</v>
      </c>
      <c r="L448" s="2" t="s">
        <v>5941</v>
      </c>
      <c r="M448" s="3" t="s">
        <v>695</v>
      </c>
      <c r="O448" s="3" t="s">
        <v>64</v>
      </c>
      <c r="P448" s="3" t="s">
        <v>65</v>
      </c>
      <c r="Q448" s="2" t="s">
        <v>5942</v>
      </c>
      <c r="R448" s="3" t="s">
        <v>67</v>
      </c>
      <c r="S448" s="4">
        <v>3</v>
      </c>
      <c r="T448" s="4">
        <v>3</v>
      </c>
      <c r="U448" s="5" t="s">
        <v>5943</v>
      </c>
      <c r="V448" s="5" t="s">
        <v>5943</v>
      </c>
      <c r="W448" s="5" t="s">
        <v>5944</v>
      </c>
      <c r="X448" s="5" t="s">
        <v>5944</v>
      </c>
      <c r="Y448" s="4">
        <v>204</v>
      </c>
      <c r="Z448" s="4">
        <v>132</v>
      </c>
      <c r="AA448" s="4">
        <v>139</v>
      </c>
      <c r="AB448" s="4">
        <v>2</v>
      </c>
      <c r="AC448" s="4">
        <v>2</v>
      </c>
      <c r="AD448" s="4">
        <v>6</v>
      </c>
      <c r="AE448" s="4">
        <v>6</v>
      </c>
      <c r="AF448" s="4">
        <v>1</v>
      </c>
      <c r="AG448" s="4">
        <v>1</v>
      </c>
      <c r="AH448" s="4">
        <v>2</v>
      </c>
      <c r="AI448" s="4">
        <v>2</v>
      </c>
      <c r="AJ448" s="4">
        <v>3</v>
      </c>
      <c r="AK448" s="4">
        <v>3</v>
      </c>
      <c r="AL448" s="4">
        <v>1</v>
      </c>
      <c r="AM448" s="4">
        <v>1</v>
      </c>
      <c r="AN448" s="4">
        <v>0</v>
      </c>
      <c r="AO448" s="4">
        <v>0</v>
      </c>
      <c r="AP448" s="3" t="s">
        <v>58</v>
      </c>
      <c r="AQ448" s="3" t="s">
        <v>86</v>
      </c>
      <c r="AR448" s="6" t="str">
        <f>HYPERLINK("http://catalog.hathitrust.org/Record/002736599","HathiTrust Record")</f>
        <v>HathiTrust Record</v>
      </c>
      <c r="AS448" s="6" t="str">
        <f>HYPERLINK("https://creighton-primo.hosted.exlibrisgroup.com/primo-explore/search?tab=default_tab&amp;search_scope=EVERYTHING&amp;vid=01CRU&amp;lang=en_US&amp;offset=0&amp;query=any,contains,991002126239702656","Catalog Record")</f>
        <v>Catalog Record</v>
      </c>
      <c r="AT448" s="6" t="str">
        <f>HYPERLINK("http://www.worldcat.org/oclc/27227982","WorldCat Record")</f>
        <v>WorldCat Record</v>
      </c>
      <c r="AU448" s="3" t="s">
        <v>5945</v>
      </c>
      <c r="AV448" s="3" t="s">
        <v>5946</v>
      </c>
      <c r="AW448" s="3" t="s">
        <v>5947</v>
      </c>
      <c r="AX448" s="3" t="s">
        <v>5947</v>
      </c>
      <c r="AY448" s="3" t="s">
        <v>5948</v>
      </c>
      <c r="AZ448" s="3" t="s">
        <v>74</v>
      </c>
      <c r="BC448" s="3" t="s">
        <v>5949</v>
      </c>
      <c r="BD448" s="3" t="s">
        <v>5950</v>
      </c>
    </row>
    <row r="449" spans="1:56" ht="42.75" customHeight="1" x14ac:dyDescent="0.25">
      <c r="A449" s="7" t="s">
        <v>58</v>
      </c>
      <c r="B449" s="2" t="s">
        <v>5951</v>
      </c>
      <c r="C449" s="2" t="s">
        <v>5952</v>
      </c>
      <c r="D449" s="2" t="s">
        <v>5953</v>
      </c>
      <c r="F449" s="3" t="s">
        <v>58</v>
      </c>
      <c r="G449" s="3" t="s">
        <v>59</v>
      </c>
      <c r="H449" s="3" t="s">
        <v>58</v>
      </c>
      <c r="I449" s="3" t="s">
        <v>58</v>
      </c>
      <c r="J449" s="3" t="s">
        <v>60</v>
      </c>
      <c r="L449" s="2" t="s">
        <v>5954</v>
      </c>
      <c r="M449" s="3" t="s">
        <v>1181</v>
      </c>
      <c r="O449" s="3" t="s">
        <v>64</v>
      </c>
      <c r="P449" s="3" t="s">
        <v>65</v>
      </c>
      <c r="R449" s="3" t="s">
        <v>67</v>
      </c>
      <c r="S449" s="4">
        <v>4</v>
      </c>
      <c r="T449" s="4">
        <v>4</v>
      </c>
      <c r="U449" s="5" t="s">
        <v>5955</v>
      </c>
      <c r="V449" s="5" t="s">
        <v>5955</v>
      </c>
      <c r="W449" s="5" t="s">
        <v>1656</v>
      </c>
      <c r="X449" s="5" t="s">
        <v>1656</v>
      </c>
      <c r="Y449" s="4">
        <v>164</v>
      </c>
      <c r="Z449" s="4">
        <v>71</v>
      </c>
      <c r="AA449" s="4">
        <v>460</v>
      </c>
      <c r="AB449" s="4">
        <v>1</v>
      </c>
      <c r="AC449" s="4">
        <v>1</v>
      </c>
      <c r="AD449" s="4">
        <v>6</v>
      </c>
      <c r="AE449" s="4">
        <v>10</v>
      </c>
      <c r="AF449" s="4">
        <v>2</v>
      </c>
      <c r="AG449" s="4">
        <v>3</v>
      </c>
      <c r="AH449" s="4">
        <v>1</v>
      </c>
      <c r="AI449" s="4">
        <v>3</v>
      </c>
      <c r="AJ449" s="4">
        <v>4</v>
      </c>
      <c r="AK449" s="4">
        <v>7</v>
      </c>
      <c r="AL449" s="4">
        <v>0</v>
      </c>
      <c r="AM449" s="4">
        <v>0</v>
      </c>
      <c r="AN449" s="4">
        <v>1</v>
      </c>
      <c r="AO449" s="4">
        <v>1</v>
      </c>
      <c r="AP449" s="3" t="s">
        <v>58</v>
      </c>
      <c r="AQ449" s="3" t="s">
        <v>86</v>
      </c>
      <c r="AR449" s="6" t="str">
        <f>HYPERLINK("http://catalog.hathitrust.org/Record/004350763","HathiTrust Record")</f>
        <v>HathiTrust Record</v>
      </c>
      <c r="AS449" s="6" t="str">
        <f>HYPERLINK("https://creighton-primo.hosted.exlibrisgroup.com/primo-explore/search?tab=default_tab&amp;search_scope=EVERYTHING&amp;vid=01CRU&amp;lang=en_US&amp;offset=0&amp;query=any,contains,991004238419702656","Catalog Record")</f>
        <v>Catalog Record</v>
      </c>
      <c r="AT449" s="6" t="str">
        <f>HYPERLINK("http://www.worldcat.org/oclc/51965370","WorldCat Record")</f>
        <v>WorldCat Record</v>
      </c>
      <c r="AU449" s="3" t="s">
        <v>5956</v>
      </c>
      <c r="AV449" s="3" t="s">
        <v>5957</v>
      </c>
      <c r="AW449" s="3" t="s">
        <v>5958</v>
      </c>
      <c r="AX449" s="3" t="s">
        <v>5958</v>
      </c>
      <c r="AY449" s="3" t="s">
        <v>5959</v>
      </c>
      <c r="AZ449" s="3" t="s">
        <v>74</v>
      </c>
      <c r="BB449" s="3" t="s">
        <v>5960</v>
      </c>
      <c r="BC449" s="3" t="s">
        <v>5961</v>
      </c>
      <c r="BD449" s="3" t="s">
        <v>5962</v>
      </c>
    </row>
    <row r="450" spans="1:56" ht="42.75" customHeight="1" x14ac:dyDescent="0.25">
      <c r="A450" s="7" t="s">
        <v>58</v>
      </c>
      <c r="B450" s="2" t="s">
        <v>5963</v>
      </c>
      <c r="C450" s="2" t="s">
        <v>5964</v>
      </c>
      <c r="D450" s="2" t="s">
        <v>5965</v>
      </c>
      <c r="F450" s="3" t="s">
        <v>58</v>
      </c>
      <c r="G450" s="3" t="s">
        <v>59</v>
      </c>
      <c r="H450" s="3" t="s">
        <v>58</v>
      </c>
      <c r="I450" s="3" t="s">
        <v>58</v>
      </c>
      <c r="J450" s="3" t="s">
        <v>60</v>
      </c>
      <c r="L450" s="2" t="s">
        <v>5966</v>
      </c>
      <c r="M450" s="3" t="s">
        <v>1035</v>
      </c>
      <c r="O450" s="3" t="s">
        <v>64</v>
      </c>
      <c r="P450" s="3" t="s">
        <v>115</v>
      </c>
      <c r="Q450" s="2" t="s">
        <v>5967</v>
      </c>
      <c r="R450" s="3" t="s">
        <v>67</v>
      </c>
      <c r="S450" s="4">
        <v>1</v>
      </c>
      <c r="T450" s="4">
        <v>1</v>
      </c>
      <c r="U450" s="5" t="s">
        <v>5968</v>
      </c>
      <c r="V450" s="5" t="s">
        <v>5968</v>
      </c>
      <c r="W450" s="5" t="s">
        <v>5968</v>
      </c>
      <c r="X450" s="5" t="s">
        <v>5968</v>
      </c>
      <c r="Y450" s="4">
        <v>440</v>
      </c>
      <c r="Z450" s="4">
        <v>380</v>
      </c>
      <c r="AA450" s="4">
        <v>463</v>
      </c>
      <c r="AB450" s="4">
        <v>4</v>
      </c>
      <c r="AC450" s="4">
        <v>5</v>
      </c>
      <c r="AD450" s="4">
        <v>13</v>
      </c>
      <c r="AE450" s="4">
        <v>21</v>
      </c>
      <c r="AF450" s="4">
        <v>3</v>
      </c>
      <c r="AG450" s="4">
        <v>6</v>
      </c>
      <c r="AH450" s="4">
        <v>2</v>
      </c>
      <c r="AI450" s="4">
        <v>2</v>
      </c>
      <c r="AJ450" s="4">
        <v>4</v>
      </c>
      <c r="AK450" s="4">
        <v>9</v>
      </c>
      <c r="AL450" s="4">
        <v>3</v>
      </c>
      <c r="AM450" s="4">
        <v>4</v>
      </c>
      <c r="AN450" s="4">
        <v>3</v>
      </c>
      <c r="AO450" s="4">
        <v>3</v>
      </c>
      <c r="AP450" s="3" t="s">
        <v>58</v>
      </c>
      <c r="AQ450" s="3" t="s">
        <v>58</v>
      </c>
      <c r="AS450" s="6" t="str">
        <f>HYPERLINK("https://creighton-primo.hosted.exlibrisgroup.com/primo-explore/search?tab=default_tab&amp;search_scope=EVERYTHING&amp;vid=01CRU&amp;lang=en_US&amp;offset=0&amp;query=any,contains,991004352849702656","Catalog Record")</f>
        <v>Catalog Record</v>
      </c>
      <c r="AT450" s="6" t="str">
        <f>HYPERLINK("http://www.worldcat.org/oclc/44420922","WorldCat Record")</f>
        <v>WorldCat Record</v>
      </c>
      <c r="AU450" s="3" t="s">
        <v>5969</v>
      </c>
      <c r="AV450" s="3" t="s">
        <v>5970</v>
      </c>
      <c r="AW450" s="3" t="s">
        <v>5971</v>
      </c>
      <c r="AX450" s="3" t="s">
        <v>5971</v>
      </c>
      <c r="AY450" s="3" t="s">
        <v>5972</v>
      </c>
      <c r="AZ450" s="3" t="s">
        <v>74</v>
      </c>
      <c r="BB450" s="3" t="s">
        <v>5973</v>
      </c>
      <c r="BC450" s="3" t="s">
        <v>5974</v>
      </c>
      <c r="BD450" s="3" t="s">
        <v>5975</v>
      </c>
    </row>
    <row r="451" spans="1:56" ht="42.75" customHeight="1" x14ac:dyDescent="0.25">
      <c r="A451" s="7" t="s">
        <v>58</v>
      </c>
      <c r="B451" s="2" t="s">
        <v>5976</v>
      </c>
      <c r="C451" s="2" t="s">
        <v>5977</v>
      </c>
      <c r="D451" s="2" t="s">
        <v>5978</v>
      </c>
      <c r="F451" s="3" t="s">
        <v>58</v>
      </c>
      <c r="G451" s="3" t="s">
        <v>59</v>
      </c>
      <c r="H451" s="3" t="s">
        <v>58</v>
      </c>
      <c r="I451" s="3" t="s">
        <v>58</v>
      </c>
      <c r="J451" s="3" t="s">
        <v>60</v>
      </c>
      <c r="L451" s="2" t="s">
        <v>5979</v>
      </c>
      <c r="M451" s="3" t="s">
        <v>996</v>
      </c>
      <c r="O451" s="3" t="s">
        <v>64</v>
      </c>
      <c r="P451" s="3" t="s">
        <v>65</v>
      </c>
      <c r="Q451" s="2" t="s">
        <v>5980</v>
      </c>
      <c r="R451" s="3" t="s">
        <v>67</v>
      </c>
      <c r="S451" s="4">
        <v>2</v>
      </c>
      <c r="T451" s="4">
        <v>2</v>
      </c>
      <c r="U451" s="5" t="s">
        <v>5981</v>
      </c>
      <c r="V451" s="5" t="s">
        <v>5981</v>
      </c>
      <c r="W451" s="5" t="s">
        <v>5982</v>
      </c>
      <c r="X451" s="5" t="s">
        <v>5982</v>
      </c>
      <c r="Y451" s="4">
        <v>236</v>
      </c>
      <c r="Z451" s="4">
        <v>158</v>
      </c>
      <c r="AA451" s="4">
        <v>171</v>
      </c>
      <c r="AB451" s="4">
        <v>1</v>
      </c>
      <c r="AC451" s="4">
        <v>1</v>
      </c>
      <c r="AD451" s="4">
        <v>9</v>
      </c>
      <c r="AE451" s="4">
        <v>9</v>
      </c>
      <c r="AF451" s="4">
        <v>5</v>
      </c>
      <c r="AG451" s="4">
        <v>5</v>
      </c>
      <c r="AH451" s="4">
        <v>0</v>
      </c>
      <c r="AI451" s="4">
        <v>0</v>
      </c>
      <c r="AJ451" s="4">
        <v>4</v>
      </c>
      <c r="AK451" s="4">
        <v>4</v>
      </c>
      <c r="AL451" s="4">
        <v>0</v>
      </c>
      <c r="AM451" s="4">
        <v>0</v>
      </c>
      <c r="AN451" s="4">
        <v>2</v>
      </c>
      <c r="AO451" s="4">
        <v>2</v>
      </c>
      <c r="AP451" s="3" t="s">
        <v>58</v>
      </c>
      <c r="AQ451" s="3" t="s">
        <v>86</v>
      </c>
      <c r="AR451" s="6" t="str">
        <f>HYPERLINK("http://catalog.hathitrust.org/Record/003498462","HathiTrust Record")</f>
        <v>HathiTrust Record</v>
      </c>
      <c r="AS451" s="6" t="str">
        <f>HYPERLINK("https://creighton-primo.hosted.exlibrisgroup.com/primo-explore/search?tab=default_tab&amp;search_scope=EVERYTHING&amp;vid=01CRU&amp;lang=en_US&amp;offset=0&amp;query=any,contains,991004510929702656","Catalog Record")</f>
        <v>Catalog Record</v>
      </c>
      <c r="AT451" s="6" t="str">
        <f>HYPERLINK("http://www.worldcat.org/oclc/42692176","WorldCat Record")</f>
        <v>WorldCat Record</v>
      </c>
      <c r="AU451" s="3" t="s">
        <v>5983</v>
      </c>
      <c r="AV451" s="3" t="s">
        <v>5984</v>
      </c>
      <c r="AW451" s="3" t="s">
        <v>5985</v>
      </c>
      <c r="AX451" s="3" t="s">
        <v>5985</v>
      </c>
      <c r="AY451" s="3" t="s">
        <v>5986</v>
      </c>
      <c r="AZ451" s="3" t="s">
        <v>74</v>
      </c>
      <c r="BB451" s="3" t="s">
        <v>5987</v>
      </c>
      <c r="BC451" s="3" t="s">
        <v>5988</v>
      </c>
      <c r="BD451" s="3" t="s">
        <v>5989</v>
      </c>
    </row>
    <row r="452" spans="1:56" ht="42.75" customHeight="1" x14ac:dyDescent="0.25">
      <c r="A452" s="7" t="s">
        <v>58</v>
      </c>
      <c r="B452" s="2" t="s">
        <v>5990</v>
      </c>
      <c r="C452" s="2" t="s">
        <v>5991</v>
      </c>
      <c r="D452" s="2" t="s">
        <v>5992</v>
      </c>
      <c r="F452" s="3" t="s">
        <v>58</v>
      </c>
      <c r="G452" s="3" t="s">
        <v>59</v>
      </c>
      <c r="H452" s="3" t="s">
        <v>58</v>
      </c>
      <c r="I452" s="3" t="s">
        <v>58</v>
      </c>
      <c r="J452" s="3" t="s">
        <v>60</v>
      </c>
      <c r="L452" s="2" t="s">
        <v>5993</v>
      </c>
      <c r="M452" s="3" t="s">
        <v>269</v>
      </c>
      <c r="O452" s="3" t="s">
        <v>64</v>
      </c>
      <c r="P452" s="3" t="s">
        <v>115</v>
      </c>
      <c r="R452" s="3" t="s">
        <v>67</v>
      </c>
      <c r="S452" s="4">
        <v>3</v>
      </c>
      <c r="T452" s="4">
        <v>3</v>
      </c>
      <c r="U452" s="5" t="s">
        <v>5994</v>
      </c>
      <c r="V452" s="5" t="s">
        <v>5994</v>
      </c>
      <c r="W452" s="5" t="s">
        <v>3917</v>
      </c>
      <c r="X452" s="5" t="s">
        <v>3917</v>
      </c>
      <c r="Y452" s="4">
        <v>291</v>
      </c>
      <c r="Z452" s="4">
        <v>260</v>
      </c>
      <c r="AA452" s="4">
        <v>283</v>
      </c>
      <c r="AB452" s="4">
        <v>3</v>
      </c>
      <c r="AC452" s="4">
        <v>3</v>
      </c>
      <c r="AD452" s="4">
        <v>13</v>
      </c>
      <c r="AE452" s="4">
        <v>13</v>
      </c>
      <c r="AF452" s="4">
        <v>3</v>
      </c>
      <c r="AG452" s="4">
        <v>3</v>
      </c>
      <c r="AH452" s="4">
        <v>3</v>
      </c>
      <c r="AI452" s="4">
        <v>3</v>
      </c>
      <c r="AJ452" s="4">
        <v>7</v>
      </c>
      <c r="AK452" s="4">
        <v>7</v>
      </c>
      <c r="AL452" s="4">
        <v>1</v>
      </c>
      <c r="AM452" s="4">
        <v>1</v>
      </c>
      <c r="AN452" s="4">
        <v>0</v>
      </c>
      <c r="AO452" s="4">
        <v>0</v>
      </c>
      <c r="AP452" s="3" t="s">
        <v>58</v>
      </c>
      <c r="AQ452" s="3" t="s">
        <v>58</v>
      </c>
      <c r="AS452" s="6" t="str">
        <f>HYPERLINK("https://creighton-primo.hosted.exlibrisgroup.com/primo-explore/search?tab=default_tab&amp;search_scope=EVERYTHING&amp;vid=01CRU&amp;lang=en_US&amp;offset=0&amp;query=any,contains,991005273259702656","Catalog Record")</f>
        <v>Catalog Record</v>
      </c>
      <c r="AT452" s="6" t="str">
        <f>HYPERLINK("http://www.worldcat.org/oclc/1967","WorldCat Record")</f>
        <v>WorldCat Record</v>
      </c>
      <c r="AU452" s="3" t="s">
        <v>5995</v>
      </c>
      <c r="AV452" s="3" t="s">
        <v>329</v>
      </c>
      <c r="AW452" s="3" t="s">
        <v>5996</v>
      </c>
      <c r="AX452" s="3" t="s">
        <v>5996</v>
      </c>
      <c r="AY452" s="3" t="s">
        <v>5997</v>
      </c>
      <c r="AZ452" s="3" t="s">
        <v>74</v>
      </c>
      <c r="BC452" s="3" t="s">
        <v>5998</v>
      </c>
      <c r="BD452" s="3" t="s">
        <v>5999</v>
      </c>
    </row>
    <row r="453" spans="1:56" ht="42.75" customHeight="1" x14ac:dyDescent="0.25">
      <c r="A453" s="7" t="s">
        <v>58</v>
      </c>
      <c r="B453" s="2" t="s">
        <v>6000</v>
      </c>
      <c r="C453" s="2" t="s">
        <v>6001</v>
      </c>
      <c r="D453" s="2" t="s">
        <v>6002</v>
      </c>
      <c r="F453" s="3" t="s">
        <v>58</v>
      </c>
      <c r="G453" s="3" t="s">
        <v>59</v>
      </c>
      <c r="H453" s="3" t="s">
        <v>58</v>
      </c>
      <c r="I453" s="3" t="s">
        <v>58</v>
      </c>
      <c r="J453" s="3" t="s">
        <v>60</v>
      </c>
      <c r="K453" s="2" t="s">
        <v>6003</v>
      </c>
      <c r="L453" s="2" t="s">
        <v>6004</v>
      </c>
      <c r="M453" s="3" t="s">
        <v>371</v>
      </c>
      <c r="O453" s="3" t="s">
        <v>64</v>
      </c>
      <c r="P453" s="3" t="s">
        <v>208</v>
      </c>
      <c r="R453" s="3" t="s">
        <v>67</v>
      </c>
      <c r="S453" s="4">
        <v>3</v>
      </c>
      <c r="T453" s="4">
        <v>3</v>
      </c>
      <c r="U453" s="5" t="s">
        <v>6005</v>
      </c>
      <c r="V453" s="5" t="s">
        <v>6005</v>
      </c>
      <c r="W453" s="5" t="s">
        <v>4999</v>
      </c>
      <c r="X453" s="5" t="s">
        <v>4999</v>
      </c>
      <c r="Y453" s="4">
        <v>547</v>
      </c>
      <c r="Z453" s="4">
        <v>507</v>
      </c>
      <c r="AA453" s="4">
        <v>514</v>
      </c>
      <c r="AB453" s="4">
        <v>2</v>
      </c>
      <c r="AC453" s="4">
        <v>2</v>
      </c>
      <c r="AD453" s="4">
        <v>17</v>
      </c>
      <c r="AE453" s="4">
        <v>17</v>
      </c>
      <c r="AF453" s="4">
        <v>4</v>
      </c>
      <c r="AG453" s="4">
        <v>4</v>
      </c>
      <c r="AH453" s="4">
        <v>5</v>
      </c>
      <c r="AI453" s="4">
        <v>5</v>
      </c>
      <c r="AJ453" s="4">
        <v>13</v>
      </c>
      <c r="AK453" s="4">
        <v>13</v>
      </c>
      <c r="AL453" s="4">
        <v>1</v>
      </c>
      <c r="AM453" s="4">
        <v>1</v>
      </c>
      <c r="AN453" s="4">
        <v>0</v>
      </c>
      <c r="AO453" s="4">
        <v>0</v>
      </c>
      <c r="AP453" s="3" t="s">
        <v>58</v>
      </c>
      <c r="AQ453" s="3" t="s">
        <v>86</v>
      </c>
      <c r="AR453" s="6" t="str">
        <f>HYPERLINK("http://catalog.hathitrust.org/Record/000589921","HathiTrust Record")</f>
        <v>HathiTrust Record</v>
      </c>
      <c r="AS453" s="6" t="str">
        <f>HYPERLINK("https://creighton-primo.hosted.exlibrisgroup.com/primo-explore/search?tab=default_tab&amp;search_scope=EVERYTHING&amp;vid=01CRU&amp;lang=en_US&amp;offset=0&amp;query=any,contains,991000760759702656","Catalog Record")</f>
        <v>Catalog Record</v>
      </c>
      <c r="AT453" s="6" t="str">
        <f>HYPERLINK("http://www.worldcat.org/oclc/12972991","WorldCat Record")</f>
        <v>WorldCat Record</v>
      </c>
      <c r="AU453" s="3" t="s">
        <v>6006</v>
      </c>
      <c r="AV453" s="3" t="s">
        <v>6007</v>
      </c>
      <c r="AW453" s="3" t="s">
        <v>6008</v>
      </c>
      <c r="AX453" s="3" t="s">
        <v>6008</v>
      </c>
      <c r="AY453" s="3" t="s">
        <v>6009</v>
      </c>
      <c r="AZ453" s="3" t="s">
        <v>74</v>
      </c>
      <c r="BB453" s="3" t="s">
        <v>6010</v>
      </c>
      <c r="BC453" s="3" t="s">
        <v>6011</v>
      </c>
      <c r="BD453" s="3" t="s">
        <v>6012</v>
      </c>
    </row>
    <row r="454" spans="1:56" ht="42.75" customHeight="1" x14ac:dyDescent="0.25">
      <c r="A454" s="7" t="s">
        <v>58</v>
      </c>
      <c r="B454" s="2" t="s">
        <v>6013</v>
      </c>
      <c r="C454" s="2" t="s">
        <v>6014</v>
      </c>
      <c r="D454" s="2" t="s">
        <v>6015</v>
      </c>
      <c r="F454" s="3" t="s">
        <v>58</v>
      </c>
      <c r="G454" s="3" t="s">
        <v>59</v>
      </c>
      <c r="H454" s="3" t="s">
        <v>58</v>
      </c>
      <c r="I454" s="3" t="s">
        <v>58</v>
      </c>
      <c r="J454" s="3" t="s">
        <v>60</v>
      </c>
      <c r="K454" s="2" t="s">
        <v>6016</v>
      </c>
      <c r="L454" s="2" t="s">
        <v>6017</v>
      </c>
      <c r="M454" s="3" t="s">
        <v>5200</v>
      </c>
      <c r="N454" s="2" t="s">
        <v>3823</v>
      </c>
      <c r="O454" s="3" t="s">
        <v>64</v>
      </c>
      <c r="P454" s="3" t="s">
        <v>115</v>
      </c>
      <c r="R454" s="3" t="s">
        <v>67</v>
      </c>
      <c r="S454" s="4">
        <v>2</v>
      </c>
      <c r="T454" s="4">
        <v>2</v>
      </c>
      <c r="U454" s="5" t="s">
        <v>6018</v>
      </c>
      <c r="V454" s="5" t="s">
        <v>6018</v>
      </c>
      <c r="W454" s="5" t="s">
        <v>3917</v>
      </c>
      <c r="X454" s="5" t="s">
        <v>3917</v>
      </c>
      <c r="Y454" s="4">
        <v>931</v>
      </c>
      <c r="Z454" s="4">
        <v>857</v>
      </c>
      <c r="AA454" s="4">
        <v>1696</v>
      </c>
      <c r="AB454" s="4">
        <v>4</v>
      </c>
      <c r="AC454" s="4">
        <v>8</v>
      </c>
      <c r="AD454" s="4">
        <v>31</v>
      </c>
      <c r="AE454" s="4">
        <v>53</v>
      </c>
      <c r="AF454" s="4">
        <v>17</v>
      </c>
      <c r="AG454" s="4">
        <v>24</v>
      </c>
      <c r="AH454" s="4">
        <v>5</v>
      </c>
      <c r="AI454" s="4">
        <v>10</v>
      </c>
      <c r="AJ454" s="4">
        <v>15</v>
      </c>
      <c r="AK454" s="4">
        <v>22</v>
      </c>
      <c r="AL454" s="4">
        <v>3</v>
      </c>
      <c r="AM454" s="4">
        <v>7</v>
      </c>
      <c r="AN454" s="4">
        <v>0</v>
      </c>
      <c r="AO454" s="4">
        <v>1</v>
      </c>
      <c r="AP454" s="3" t="s">
        <v>58</v>
      </c>
      <c r="AQ454" s="3" t="s">
        <v>86</v>
      </c>
      <c r="AR454" s="6" t="str">
        <f>HYPERLINK("http://catalog.hathitrust.org/Record/001563845","HathiTrust Record")</f>
        <v>HathiTrust Record</v>
      </c>
      <c r="AS454" s="6" t="str">
        <f>HYPERLINK("https://creighton-primo.hosted.exlibrisgroup.com/primo-explore/search?tab=default_tab&amp;search_scope=EVERYTHING&amp;vid=01CRU&amp;lang=en_US&amp;offset=0&amp;query=any,contains,991002875079702656","Catalog Record")</f>
        <v>Catalog Record</v>
      </c>
      <c r="AT454" s="6" t="str">
        <f>HYPERLINK("http://www.worldcat.org/oclc/502052","WorldCat Record")</f>
        <v>WorldCat Record</v>
      </c>
      <c r="AU454" s="3" t="s">
        <v>6019</v>
      </c>
      <c r="AV454" s="3" t="s">
        <v>6020</v>
      </c>
      <c r="AW454" s="3" t="s">
        <v>6021</v>
      </c>
      <c r="AX454" s="3" t="s">
        <v>6021</v>
      </c>
      <c r="AY454" s="3" t="s">
        <v>6022</v>
      </c>
      <c r="AZ454" s="3" t="s">
        <v>74</v>
      </c>
      <c r="BB454" s="3" t="s">
        <v>6023</v>
      </c>
      <c r="BC454" s="3" t="s">
        <v>6024</v>
      </c>
      <c r="BD454" s="3" t="s">
        <v>6025</v>
      </c>
    </row>
    <row r="455" spans="1:56" ht="42.75" customHeight="1" x14ac:dyDescent="0.25">
      <c r="A455" s="7" t="s">
        <v>58</v>
      </c>
      <c r="B455" s="2" t="s">
        <v>6026</v>
      </c>
      <c r="C455" s="2" t="s">
        <v>6027</v>
      </c>
      <c r="D455" s="2" t="s">
        <v>6028</v>
      </c>
      <c r="F455" s="3" t="s">
        <v>58</v>
      </c>
      <c r="G455" s="3" t="s">
        <v>59</v>
      </c>
      <c r="H455" s="3" t="s">
        <v>58</v>
      </c>
      <c r="I455" s="3" t="s">
        <v>58</v>
      </c>
      <c r="J455" s="3" t="s">
        <v>60</v>
      </c>
      <c r="K455" s="2" t="s">
        <v>6029</v>
      </c>
      <c r="L455" s="2" t="s">
        <v>6030</v>
      </c>
      <c r="M455" s="3" t="s">
        <v>98</v>
      </c>
      <c r="O455" s="3" t="s">
        <v>64</v>
      </c>
      <c r="P455" s="3" t="s">
        <v>1898</v>
      </c>
      <c r="R455" s="3" t="s">
        <v>67</v>
      </c>
      <c r="S455" s="4">
        <v>14</v>
      </c>
      <c r="T455" s="4">
        <v>14</v>
      </c>
      <c r="U455" s="5" t="s">
        <v>6031</v>
      </c>
      <c r="V455" s="5" t="s">
        <v>6031</v>
      </c>
      <c r="W455" s="5" t="s">
        <v>2973</v>
      </c>
      <c r="X455" s="5" t="s">
        <v>2973</v>
      </c>
      <c r="Y455" s="4">
        <v>370</v>
      </c>
      <c r="Z455" s="4">
        <v>336</v>
      </c>
      <c r="AA455" s="4">
        <v>650</v>
      </c>
      <c r="AB455" s="4">
        <v>3</v>
      </c>
      <c r="AC455" s="4">
        <v>5</v>
      </c>
      <c r="AD455" s="4">
        <v>15</v>
      </c>
      <c r="AE455" s="4">
        <v>25</v>
      </c>
      <c r="AF455" s="4">
        <v>7</v>
      </c>
      <c r="AG455" s="4">
        <v>10</v>
      </c>
      <c r="AH455" s="4">
        <v>2</v>
      </c>
      <c r="AI455" s="4">
        <v>3</v>
      </c>
      <c r="AJ455" s="4">
        <v>8</v>
      </c>
      <c r="AK455" s="4">
        <v>16</v>
      </c>
      <c r="AL455" s="4">
        <v>2</v>
      </c>
      <c r="AM455" s="4">
        <v>3</v>
      </c>
      <c r="AN455" s="4">
        <v>0</v>
      </c>
      <c r="AO455" s="4">
        <v>0</v>
      </c>
      <c r="AP455" s="3" t="s">
        <v>58</v>
      </c>
      <c r="AQ455" s="3" t="s">
        <v>86</v>
      </c>
      <c r="AR455" s="6" t="str">
        <f>HYPERLINK("http://catalog.hathitrust.org/Record/000928940","HathiTrust Record")</f>
        <v>HathiTrust Record</v>
      </c>
      <c r="AS455" s="6" t="str">
        <f>HYPERLINK("https://creighton-primo.hosted.exlibrisgroup.com/primo-explore/search?tab=default_tab&amp;search_scope=EVERYTHING&amp;vid=01CRU&amp;lang=en_US&amp;offset=0&amp;query=any,contains,991001114859702656","Catalog Record")</f>
        <v>Catalog Record</v>
      </c>
      <c r="AT455" s="6" t="str">
        <f>HYPERLINK("http://www.worldcat.org/oclc/16525022","WorldCat Record")</f>
        <v>WorldCat Record</v>
      </c>
      <c r="AU455" s="3" t="s">
        <v>6032</v>
      </c>
      <c r="AV455" s="3" t="s">
        <v>6033</v>
      </c>
      <c r="AW455" s="3" t="s">
        <v>6034</v>
      </c>
      <c r="AX455" s="3" t="s">
        <v>6034</v>
      </c>
      <c r="AY455" s="3" t="s">
        <v>6035</v>
      </c>
      <c r="AZ455" s="3" t="s">
        <v>74</v>
      </c>
      <c r="BB455" s="3" t="s">
        <v>6036</v>
      </c>
      <c r="BC455" s="3" t="s">
        <v>6037</v>
      </c>
      <c r="BD455" s="3" t="s">
        <v>6038</v>
      </c>
    </row>
    <row r="456" spans="1:56" ht="42.75" customHeight="1" x14ac:dyDescent="0.25">
      <c r="A456" s="7" t="s">
        <v>58</v>
      </c>
      <c r="B456" s="2" t="s">
        <v>6039</v>
      </c>
      <c r="C456" s="2" t="s">
        <v>6040</v>
      </c>
      <c r="D456" s="2" t="s">
        <v>6041</v>
      </c>
      <c r="F456" s="3" t="s">
        <v>58</v>
      </c>
      <c r="G456" s="3" t="s">
        <v>59</v>
      </c>
      <c r="H456" s="3" t="s">
        <v>58</v>
      </c>
      <c r="I456" s="3" t="s">
        <v>58</v>
      </c>
      <c r="J456" s="3" t="s">
        <v>60</v>
      </c>
      <c r="L456" s="2" t="s">
        <v>6042</v>
      </c>
      <c r="M456" s="3" t="s">
        <v>1574</v>
      </c>
      <c r="O456" s="3" t="s">
        <v>64</v>
      </c>
      <c r="P456" s="3" t="s">
        <v>99</v>
      </c>
      <c r="Q456" s="2" t="s">
        <v>6043</v>
      </c>
      <c r="R456" s="3" t="s">
        <v>67</v>
      </c>
      <c r="S456" s="4">
        <v>11</v>
      </c>
      <c r="T456" s="4">
        <v>11</v>
      </c>
      <c r="U456" s="5" t="s">
        <v>6044</v>
      </c>
      <c r="V456" s="5" t="s">
        <v>6044</v>
      </c>
      <c r="W456" s="5" t="s">
        <v>6045</v>
      </c>
      <c r="X456" s="5" t="s">
        <v>6045</v>
      </c>
      <c r="Y456" s="4">
        <v>643</v>
      </c>
      <c r="Z456" s="4">
        <v>532</v>
      </c>
      <c r="AA456" s="4">
        <v>540</v>
      </c>
      <c r="AB456" s="4">
        <v>2</v>
      </c>
      <c r="AC456" s="4">
        <v>2</v>
      </c>
      <c r="AD456" s="4">
        <v>20</v>
      </c>
      <c r="AE456" s="4">
        <v>20</v>
      </c>
      <c r="AF456" s="4">
        <v>7</v>
      </c>
      <c r="AG456" s="4">
        <v>7</v>
      </c>
      <c r="AH456" s="4">
        <v>4</v>
      </c>
      <c r="AI456" s="4">
        <v>4</v>
      </c>
      <c r="AJ456" s="4">
        <v>12</v>
      </c>
      <c r="AK456" s="4">
        <v>12</v>
      </c>
      <c r="AL456" s="4">
        <v>1</v>
      </c>
      <c r="AM456" s="4">
        <v>1</v>
      </c>
      <c r="AN456" s="4">
        <v>0</v>
      </c>
      <c r="AO456" s="4">
        <v>0</v>
      </c>
      <c r="AP456" s="3" t="s">
        <v>58</v>
      </c>
      <c r="AQ456" s="3" t="s">
        <v>86</v>
      </c>
      <c r="AR456" s="6" t="str">
        <f>HYPERLINK("http://catalog.hathitrust.org/Record/000764502","HathiTrust Record")</f>
        <v>HathiTrust Record</v>
      </c>
      <c r="AS456" s="6" t="str">
        <f>HYPERLINK("https://creighton-primo.hosted.exlibrisgroup.com/primo-explore/search?tab=default_tab&amp;search_scope=EVERYTHING&amp;vid=01CRU&amp;lang=en_US&amp;offset=0&amp;query=any,contains,991005183909702656","Catalog Record")</f>
        <v>Catalog Record</v>
      </c>
      <c r="AT456" s="6" t="str">
        <f>HYPERLINK("http://www.worldcat.org/oclc/7948588","WorldCat Record")</f>
        <v>WorldCat Record</v>
      </c>
      <c r="AU456" s="3" t="s">
        <v>6046</v>
      </c>
      <c r="AV456" s="3" t="s">
        <v>6047</v>
      </c>
      <c r="AW456" s="3" t="s">
        <v>6048</v>
      </c>
      <c r="AX456" s="3" t="s">
        <v>6048</v>
      </c>
      <c r="AY456" s="3" t="s">
        <v>6049</v>
      </c>
      <c r="AZ456" s="3" t="s">
        <v>74</v>
      </c>
      <c r="BB456" s="3" t="s">
        <v>6050</v>
      </c>
      <c r="BC456" s="3" t="s">
        <v>6051</v>
      </c>
      <c r="BD456" s="3" t="s">
        <v>6052</v>
      </c>
    </row>
    <row r="457" spans="1:56" ht="42.75" customHeight="1" x14ac:dyDescent="0.25">
      <c r="A457" s="7" t="s">
        <v>58</v>
      </c>
      <c r="B457" s="2" t="s">
        <v>6053</v>
      </c>
      <c r="C457" s="2" t="s">
        <v>6054</v>
      </c>
      <c r="D457" s="2" t="s">
        <v>6055</v>
      </c>
      <c r="F457" s="3" t="s">
        <v>58</v>
      </c>
      <c r="G457" s="3" t="s">
        <v>59</v>
      </c>
      <c r="H457" s="3" t="s">
        <v>58</v>
      </c>
      <c r="I457" s="3" t="s">
        <v>58</v>
      </c>
      <c r="J457" s="3" t="s">
        <v>60</v>
      </c>
      <c r="L457" s="2" t="s">
        <v>6056</v>
      </c>
      <c r="M457" s="3" t="s">
        <v>344</v>
      </c>
      <c r="O457" s="3" t="s">
        <v>64</v>
      </c>
      <c r="P457" s="3" t="s">
        <v>115</v>
      </c>
      <c r="Q457" s="2" t="s">
        <v>6057</v>
      </c>
      <c r="R457" s="3" t="s">
        <v>67</v>
      </c>
      <c r="S457" s="4">
        <v>9</v>
      </c>
      <c r="T457" s="4">
        <v>9</v>
      </c>
      <c r="U457" s="5" t="s">
        <v>6058</v>
      </c>
      <c r="V457" s="5" t="s">
        <v>6058</v>
      </c>
      <c r="W457" s="5" t="s">
        <v>6059</v>
      </c>
      <c r="X457" s="5" t="s">
        <v>6059</v>
      </c>
      <c r="Y457" s="4">
        <v>422</v>
      </c>
      <c r="Z457" s="4">
        <v>302</v>
      </c>
      <c r="AA457" s="4">
        <v>310</v>
      </c>
      <c r="AB457" s="4">
        <v>2</v>
      </c>
      <c r="AC457" s="4">
        <v>2</v>
      </c>
      <c r="AD457" s="4">
        <v>15</v>
      </c>
      <c r="AE457" s="4">
        <v>15</v>
      </c>
      <c r="AF457" s="4">
        <v>4</v>
      </c>
      <c r="AG457" s="4">
        <v>4</v>
      </c>
      <c r="AH457" s="4">
        <v>6</v>
      </c>
      <c r="AI457" s="4">
        <v>6</v>
      </c>
      <c r="AJ457" s="4">
        <v>9</v>
      </c>
      <c r="AK457" s="4">
        <v>9</v>
      </c>
      <c r="AL457" s="4">
        <v>1</v>
      </c>
      <c r="AM457" s="4">
        <v>1</v>
      </c>
      <c r="AN457" s="4">
        <v>0</v>
      </c>
      <c r="AO457" s="4">
        <v>0</v>
      </c>
      <c r="AP457" s="3" t="s">
        <v>58</v>
      </c>
      <c r="AQ457" s="3" t="s">
        <v>86</v>
      </c>
      <c r="AR457" s="6" t="str">
        <f>HYPERLINK("http://catalog.hathitrust.org/Record/000700409","HathiTrust Record")</f>
        <v>HathiTrust Record</v>
      </c>
      <c r="AS457" s="6" t="str">
        <f>HYPERLINK("https://creighton-primo.hosted.exlibrisgroup.com/primo-explore/search?tab=default_tab&amp;search_scope=EVERYTHING&amp;vid=01CRU&amp;lang=en_US&amp;offset=0&amp;query=any,contains,991004928619702656","Catalog Record")</f>
        <v>Catalog Record</v>
      </c>
      <c r="AT457" s="6" t="str">
        <f>HYPERLINK("http://www.worldcat.org/oclc/6088088","WorldCat Record")</f>
        <v>WorldCat Record</v>
      </c>
      <c r="AU457" s="3" t="s">
        <v>6060</v>
      </c>
      <c r="AV457" s="3" t="s">
        <v>6061</v>
      </c>
      <c r="AW457" s="3" t="s">
        <v>6062</v>
      </c>
      <c r="AX457" s="3" t="s">
        <v>6062</v>
      </c>
      <c r="AY457" s="3" t="s">
        <v>6063</v>
      </c>
      <c r="AZ457" s="3" t="s">
        <v>74</v>
      </c>
      <c r="BB457" s="3" t="s">
        <v>6064</v>
      </c>
      <c r="BC457" s="3" t="s">
        <v>6065</v>
      </c>
      <c r="BD457" s="3" t="s">
        <v>6066</v>
      </c>
    </row>
    <row r="458" spans="1:56" ht="42.75" customHeight="1" x14ac:dyDescent="0.25">
      <c r="A458" s="7" t="s">
        <v>58</v>
      </c>
      <c r="B458" s="2" t="s">
        <v>6067</v>
      </c>
      <c r="C458" s="2" t="s">
        <v>6068</v>
      </c>
      <c r="D458" s="2" t="s">
        <v>6069</v>
      </c>
      <c r="F458" s="3" t="s">
        <v>58</v>
      </c>
      <c r="G458" s="3" t="s">
        <v>59</v>
      </c>
      <c r="H458" s="3" t="s">
        <v>58</v>
      </c>
      <c r="I458" s="3" t="s">
        <v>58</v>
      </c>
      <c r="J458" s="3" t="s">
        <v>60</v>
      </c>
      <c r="L458" s="2" t="s">
        <v>6070</v>
      </c>
      <c r="M458" s="3" t="s">
        <v>114</v>
      </c>
      <c r="O458" s="3" t="s">
        <v>64</v>
      </c>
      <c r="P458" s="3" t="s">
        <v>99</v>
      </c>
      <c r="Q458" s="2" t="s">
        <v>6071</v>
      </c>
      <c r="R458" s="3" t="s">
        <v>67</v>
      </c>
      <c r="S458" s="4">
        <v>4</v>
      </c>
      <c r="T458" s="4">
        <v>4</v>
      </c>
      <c r="U458" s="5" t="s">
        <v>6072</v>
      </c>
      <c r="V458" s="5" t="s">
        <v>6072</v>
      </c>
      <c r="W458" s="5" t="s">
        <v>4999</v>
      </c>
      <c r="X458" s="5" t="s">
        <v>4999</v>
      </c>
      <c r="Y458" s="4">
        <v>355</v>
      </c>
      <c r="Z458" s="4">
        <v>277</v>
      </c>
      <c r="AA458" s="4">
        <v>285</v>
      </c>
      <c r="AB458" s="4">
        <v>3</v>
      </c>
      <c r="AC458" s="4">
        <v>3</v>
      </c>
      <c r="AD458" s="4">
        <v>13</v>
      </c>
      <c r="AE458" s="4">
        <v>13</v>
      </c>
      <c r="AF458" s="4">
        <v>5</v>
      </c>
      <c r="AG458" s="4">
        <v>5</v>
      </c>
      <c r="AH458" s="4">
        <v>2</v>
      </c>
      <c r="AI458" s="4">
        <v>2</v>
      </c>
      <c r="AJ458" s="4">
        <v>8</v>
      </c>
      <c r="AK458" s="4">
        <v>8</v>
      </c>
      <c r="AL458" s="4">
        <v>2</v>
      </c>
      <c r="AM458" s="4">
        <v>2</v>
      </c>
      <c r="AN458" s="4">
        <v>0</v>
      </c>
      <c r="AO458" s="4">
        <v>0</v>
      </c>
      <c r="AP458" s="3" t="s">
        <v>58</v>
      </c>
      <c r="AQ458" s="3" t="s">
        <v>86</v>
      </c>
      <c r="AR458" s="6" t="str">
        <f>HYPERLINK("http://catalog.hathitrust.org/Record/000612116","HathiTrust Record")</f>
        <v>HathiTrust Record</v>
      </c>
      <c r="AS458" s="6" t="str">
        <f>HYPERLINK("https://creighton-primo.hosted.exlibrisgroup.com/primo-explore/search?tab=default_tab&amp;search_scope=EVERYTHING&amp;vid=01CRU&amp;lang=en_US&amp;offset=0&amp;query=any,contains,991000426039702656","Catalog Record")</f>
        <v>Catalog Record</v>
      </c>
      <c r="AT458" s="6" t="str">
        <f>HYPERLINK("http://www.worldcat.org/oclc/10753369","WorldCat Record")</f>
        <v>WorldCat Record</v>
      </c>
      <c r="AU458" s="3" t="s">
        <v>6073</v>
      </c>
      <c r="AV458" s="3" t="s">
        <v>6074</v>
      </c>
      <c r="AW458" s="3" t="s">
        <v>6075</v>
      </c>
      <c r="AX458" s="3" t="s">
        <v>6075</v>
      </c>
      <c r="AY458" s="3" t="s">
        <v>6076</v>
      </c>
      <c r="AZ458" s="3" t="s">
        <v>74</v>
      </c>
      <c r="BB458" s="3" t="s">
        <v>6077</v>
      </c>
      <c r="BC458" s="3" t="s">
        <v>6078</v>
      </c>
      <c r="BD458" s="3" t="s">
        <v>6079</v>
      </c>
    </row>
    <row r="459" spans="1:56" ht="42.75" customHeight="1" x14ac:dyDescent="0.25">
      <c r="A459" s="7" t="s">
        <v>58</v>
      </c>
      <c r="B459" s="2" t="s">
        <v>6080</v>
      </c>
      <c r="C459" s="2" t="s">
        <v>6081</v>
      </c>
      <c r="D459" s="2" t="s">
        <v>6082</v>
      </c>
      <c r="F459" s="3" t="s">
        <v>58</v>
      </c>
      <c r="G459" s="3" t="s">
        <v>59</v>
      </c>
      <c r="H459" s="3" t="s">
        <v>58</v>
      </c>
      <c r="I459" s="3" t="s">
        <v>58</v>
      </c>
      <c r="J459" s="3" t="s">
        <v>60</v>
      </c>
      <c r="L459" s="2" t="s">
        <v>6083</v>
      </c>
      <c r="M459" s="3" t="s">
        <v>344</v>
      </c>
      <c r="O459" s="3" t="s">
        <v>64</v>
      </c>
      <c r="P459" s="3" t="s">
        <v>115</v>
      </c>
      <c r="R459" s="3" t="s">
        <v>67</v>
      </c>
      <c r="S459" s="4">
        <v>4</v>
      </c>
      <c r="T459" s="4">
        <v>4</v>
      </c>
      <c r="U459" s="5" t="s">
        <v>6084</v>
      </c>
      <c r="V459" s="5" t="s">
        <v>6084</v>
      </c>
      <c r="W459" s="5" t="s">
        <v>4999</v>
      </c>
      <c r="X459" s="5" t="s">
        <v>4999</v>
      </c>
      <c r="Y459" s="4">
        <v>762</v>
      </c>
      <c r="Z459" s="4">
        <v>670</v>
      </c>
      <c r="AA459" s="4">
        <v>673</v>
      </c>
      <c r="AB459" s="4">
        <v>5</v>
      </c>
      <c r="AC459" s="4">
        <v>5</v>
      </c>
      <c r="AD459" s="4">
        <v>30</v>
      </c>
      <c r="AE459" s="4">
        <v>30</v>
      </c>
      <c r="AF459" s="4">
        <v>11</v>
      </c>
      <c r="AG459" s="4">
        <v>11</v>
      </c>
      <c r="AH459" s="4">
        <v>10</v>
      </c>
      <c r="AI459" s="4">
        <v>10</v>
      </c>
      <c r="AJ459" s="4">
        <v>14</v>
      </c>
      <c r="AK459" s="4">
        <v>14</v>
      </c>
      <c r="AL459" s="4">
        <v>4</v>
      </c>
      <c r="AM459" s="4">
        <v>4</v>
      </c>
      <c r="AN459" s="4">
        <v>0</v>
      </c>
      <c r="AO459" s="4">
        <v>0</v>
      </c>
      <c r="AP459" s="3" t="s">
        <v>58</v>
      </c>
      <c r="AQ459" s="3" t="s">
        <v>58</v>
      </c>
      <c r="AS459" s="6" t="str">
        <f>HYPERLINK("https://creighton-primo.hosted.exlibrisgroup.com/primo-explore/search?tab=default_tab&amp;search_scope=EVERYTHING&amp;vid=01CRU&amp;lang=en_US&amp;offset=0&amp;query=any,contains,991004955079702656","Catalog Record")</f>
        <v>Catalog Record</v>
      </c>
      <c r="AT459" s="6" t="str">
        <f>HYPERLINK("http://www.worldcat.org/oclc/6277724","WorldCat Record")</f>
        <v>WorldCat Record</v>
      </c>
      <c r="AU459" s="3" t="s">
        <v>6085</v>
      </c>
      <c r="AV459" s="3" t="s">
        <v>6086</v>
      </c>
      <c r="AW459" s="3" t="s">
        <v>6087</v>
      </c>
      <c r="AX459" s="3" t="s">
        <v>6087</v>
      </c>
      <c r="AY459" s="3" t="s">
        <v>6088</v>
      </c>
      <c r="AZ459" s="3" t="s">
        <v>74</v>
      </c>
      <c r="BB459" s="3" t="s">
        <v>6089</v>
      </c>
      <c r="BC459" s="3" t="s">
        <v>6090</v>
      </c>
      <c r="BD459" s="3" t="s">
        <v>6091</v>
      </c>
    </row>
    <row r="460" spans="1:56" ht="42.75" customHeight="1" x14ac:dyDescent="0.25">
      <c r="A460" s="7" t="s">
        <v>58</v>
      </c>
      <c r="B460" s="2" t="s">
        <v>6092</v>
      </c>
      <c r="C460" s="2" t="s">
        <v>6093</v>
      </c>
      <c r="D460" s="2" t="s">
        <v>6094</v>
      </c>
      <c r="F460" s="3" t="s">
        <v>58</v>
      </c>
      <c r="G460" s="3" t="s">
        <v>59</v>
      </c>
      <c r="H460" s="3" t="s">
        <v>86</v>
      </c>
      <c r="I460" s="3" t="s">
        <v>58</v>
      </c>
      <c r="J460" s="3" t="s">
        <v>60</v>
      </c>
      <c r="L460" s="2" t="s">
        <v>385</v>
      </c>
      <c r="M460" s="3" t="s">
        <v>371</v>
      </c>
      <c r="O460" s="3" t="s">
        <v>64</v>
      </c>
      <c r="P460" s="3" t="s">
        <v>316</v>
      </c>
      <c r="R460" s="3" t="s">
        <v>67</v>
      </c>
      <c r="S460" s="4">
        <v>4</v>
      </c>
      <c r="T460" s="4">
        <v>4</v>
      </c>
      <c r="U460" s="5" t="s">
        <v>6095</v>
      </c>
      <c r="V460" s="5" t="s">
        <v>6095</v>
      </c>
      <c r="W460" s="5" t="s">
        <v>374</v>
      </c>
      <c r="X460" s="5" t="s">
        <v>374</v>
      </c>
      <c r="Y460" s="4">
        <v>360</v>
      </c>
      <c r="Z460" s="4">
        <v>298</v>
      </c>
      <c r="AA460" s="4">
        <v>305</v>
      </c>
      <c r="AB460" s="4">
        <v>4</v>
      </c>
      <c r="AC460" s="4">
        <v>4</v>
      </c>
      <c r="AD460" s="4">
        <v>16</v>
      </c>
      <c r="AE460" s="4">
        <v>16</v>
      </c>
      <c r="AF460" s="4">
        <v>5</v>
      </c>
      <c r="AG460" s="4">
        <v>5</v>
      </c>
      <c r="AH460" s="4">
        <v>3</v>
      </c>
      <c r="AI460" s="4">
        <v>3</v>
      </c>
      <c r="AJ460" s="4">
        <v>11</v>
      </c>
      <c r="AK460" s="4">
        <v>11</v>
      </c>
      <c r="AL460" s="4">
        <v>2</v>
      </c>
      <c r="AM460" s="4">
        <v>2</v>
      </c>
      <c r="AN460" s="4">
        <v>0</v>
      </c>
      <c r="AO460" s="4">
        <v>0</v>
      </c>
      <c r="AP460" s="3" t="s">
        <v>58</v>
      </c>
      <c r="AQ460" s="3" t="s">
        <v>86</v>
      </c>
      <c r="AR460" s="6" t="str">
        <f>HYPERLINK("http://catalog.hathitrust.org/Record/000482941","HathiTrust Record")</f>
        <v>HathiTrust Record</v>
      </c>
      <c r="AS460" s="6" t="str">
        <f>HYPERLINK("https://creighton-primo.hosted.exlibrisgroup.com/primo-explore/search?tab=default_tab&amp;search_scope=EVERYTHING&amp;vid=01CRU&amp;lang=en_US&amp;offset=0&amp;query=any,contains,991000821249702656","Catalog Record")</f>
        <v>Catalog Record</v>
      </c>
      <c r="AT460" s="6" t="str">
        <f>HYPERLINK("http://www.worldcat.org/oclc/13395427","WorldCat Record")</f>
        <v>WorldCat Record</v>
      </c>
      <c r="AU460" s="3" t="s">
        <v>6096</v>
      </c>
      <c r="AV460" s="3" t="s">
        <v>6097</v>
      </c>
      <c r="AW460" s="3" t="s">
        <v>6098</v>
      </c>
      <c r="AX460" s="3" t="s">
        <v>6098</v>
      </c>
      <c r="AY460" s="3" t="s">
        <v>6099</v>
      </c>
      <c r="AZ460" s="3" t="s">
        <v>74</v>
      </c>
      <c r="BB460" s="3" t="s">
        <v>6100</v>
      </c>
      <c r="BC460" s="3" t="s">
        <v>6101</v>
      </c>
      <c r="BD460" s="3" t="s">
        <v>6102</v>
      </c>
    </row>
    <row r="461" spans="1:56" ht="42.75" customHeight="1" x14ac:dyDescent="0.25">
      <c r="A461" s="7" t="s">
        <v>58</v>
      </c>
      <c r="B461" s="2" t="s">
        <v>6103</v>
      </c>
      <c r="C461" s="2" t="s">
        <v>6104</v>
      </c>
      <c r="D461" s="2" t="s">
        <v>6105</v>
      </c>
      <c r="F461" s="3" t="s">
        <v>58</v>
      </c>
      <c r="G461" s="3" t="s">
        <v>59</v>
      </c>
      <c r="H461" s="3" t="s">
        <v>58</v>
      </c>
      <c r="I461" s="3" t="s">
        <v>86</v>
      </c>
      <c r="J461" s="3" t="s">
        <v>60</v>
      </c>
      <c r="L461" s="2" t="s">
        <v>6106</v>
      </c>
      <c r="M461" s="3" t="s">
        <v>238</v>
      </c>
      <c r="O461" s="3" t="s">
        <v>64</v>
      </c>
      <c r="P461" s="3" t="s">
        <v>1763</v>
      </c>
      <c r="R461" s="3" t="s">
        <v>67</v>
      </c>
      <c r="S461" s="4">
        <v>5</v>
      </c>
      <c r="T461" s="4">
        <v>5</v>
      </c>
      <c r="U461" s="5" t="s">
        <v>6107</v>
      </c>
      <c r="V461" s="5" t="s">
        <v>6107</v>
      </c>
      <c r="W461" s="5" t="s">
        <v>4999</v>
      </c>
      <c r="X461" s="5" t="s">
        <v>4999</v>
      </c>
      <c r="Y461" s="4">
        <v>168</v>
      </c>
      <c r="Z461" s="4">
        <v>161</v>
      </c>
      <c r="AA461" s="4">
        <v>716</v>
      </c>
      <c r="AB461" s="4">
        <v>1</v>
      </c>
      <c r="AC461" s="4">
        <v>8</v>
      </c>
      <c r="AD461" s="4">
        <v>3</v>
      </c>
      <c r="AE461" s="4">
        <v>32</v>
      </c>
      <c r="AF461" s="4">
        <v>1</v>
      </c>
      <c r="AG461" s="4">
        <v>10</v>
      </c>
      <c r="AH461" s="4">
        <v>1</v>
      </c>
      <c r="AI461" s="4">
        <v>5</v>
      </c>
      <c r="AJ461" s="4">
        <v>2</v>
      </c>
      <c r="AK461" s="4">
        <v>17</v>
      </c>
      <c r="AL461" s="4">
        <v>0</v>
      </c>
      <c r="AM461" s="4">
        <v>7</v>
      </c>
      <c r="AN461" s="4">
        <v>0</v>
      </c>
      <c r="AO461" s="4">
        <v>0</v>
      </c>
      <c r="AP461" s="3" t="s">
        <v>58</v>
      </c>
      <c r="AQ461" s="3" t="s">
        <v>58</v>
      </c>
      <c r="AS461" s="6" t="str">
        <f>HYPERLINK("https://creighton-primo.hosted.exlibrisgroup.com/primo-explore/search?tab=default_tab&amp;search_scope=EVERYTHING&amp;vid=01CRU&amp;lang=en_US&amp;offset=0&amp;query=any,contains,991004780119702656","Catalog Record")</f>
        <v>Catalog Record</v>
      </c>
      <c r="AT461" s="6" t="str">
        <f>HYPERLINK("http://www.worldcat.org/oclc/5103257","WorldCat Record")</f>
        <v>WorldCat Record</v>
      </c>
      <c r="AU461" s="3" t="s">
        <v>6108</v>
      </c>
      <c r="AV461" s="3" t="s">
        <v>6109</v>
      </c>
      <c r="AW461" s="3" t="s">
        <v>6110</v>
      </c>
      <c r="AX461" s="3" t="s">
        <v>6110</v>
      </c>
      <c r="AY461" s="3" t="s">
        <v>6111</v>
      </c>
      <c r="AZ461" s="3" t="s">
        <v>74</v>
      </c>
      <c r="BB461" s="3" t="s">
        <v>6112</v>
      </c>
      <c r="BC461" s="3" t="s">
        <v>6113</v>
      </c>
      <c r="BD461" s="3" t="s">
        <v>6114</v>
      </c>
    </row>
    <row r="462" spans="1:56" ht="42.75" customHeight="1" x14ac:dyDescent="0.25">
      <c r="A462" s="7" t="s">
        <v>58</v>
      </c>
      <c r="B462" s="2" t="s">
        <v>6115</v>
      </c>
      <c r="C462" s="2" t="s">
        <v>6116</v>
      </c>
      <c r="D462" s="2" t="s">
        <v>6117</v>
      </c>
      <c r="F462" s="3" t="s">
        <v>58</v>
      </c>
      <c r="G462" s="3" t="s">
        <v>59</v>
      </c>
      <c r="H462" s="3" t="s">
        <v>58</v>
      </c>
      <c r="I462" s="3" t="s">
        <v>86</v>
      </c>
      <c r="J462" s="3" t="s">
        <v>60</v>
      </c>
      <c r="L462" s="2" t="s">
        <v>6118</v>
      </c>
      <c r="M462" s="3" t="s">
        <v>63</v>
      </c>
      <c r="N462" s="2" t="s">
        <v>1844</v>
      </c>
      <c r="O462" s="3" t="s">
        <v>64</v>
      </c>
      <c r="P462" s="3" t="s">
        <v>1763</v>
      </c>
      <c r="R462" s="3" t="s">
        <v>67</v>
      </c>
      <c r="S462" s="4">
        <v>16</v>
      </c>
      <c r="T462" s="4">
        <v>16</v>
      </c>
      <c r="U462" s="5" t="s">
        <v>6119</v>
      </c>
      <c r="V462" s="5" t="s">
        <v>6119</v>
      </c>
      <c r="W462" s="5" t="s">
        <v>6120</v>
      </c>
      <c r="X462" s="5" t="s">
        <v>6120</v>
      </c>
      <c r="Y462" s="4">
        <v>162</v>
      </c>
      <c r="Z462" s="4">
        <v>156</v>
      </c>
      <c r="AA462" s="4">
        <v>716</v>
      </c>
      <c r="AB462" s="4">
        <v>3</v>
      </c>
      <c r="AC462" s="4">
        <v>8</v>
      </c>
      <c r="AD462" s="4">
        <v>5</v>
      </c>
      <c r="AE462" s="4">
        <v>32</v>
      </c>
      <c r="AF462" s="4">
        <v>0</v>
      </c>
      <c r="AG462" s="4">
        <v>10</v>
      </c>
      <c r="AH462" s="4">
        <v>1</v>
      </c>
      <c r="AI462" s="4">
        <v>5</v>
      </c>
      <c r="AJ462" s="4">
        <v>2</v>
      </c>
      <c r="AK462" s="4">
        <v>17</v>
      </c>
      <c r="AL462" s="4">
        <v>2</v>
      </c>
      <c r="AM462" s="4">
        <v>7</v>
      </c>
      <c r="AN462" s="4">
        <v>0</v>
      </c>
      <c r="AO462" s="4">
        <v>0</v>
      </c>
      <c r="AP462" s="3" t="s">
        <v>58</v>
      </c>
      <c r="AQ462" s="3" t="s">
        <v>58</v>
      </c>
      <c r="AS462" s="6" t="str">
        <f>HYPERLINK("https://creighton-primo.hosted.exlibrisgroup.com/primo-explore/search?tab=default_tab&amp;search_scope=EVERYTHING&amp;vid=01CRU&amp;lang=en_US&amp;offset=0&amp;query=any,contains,991005402519702656","Catalog Record")</f>
        <v>Catalog Record</v>
      </c>
      <c r="AT462" s="6" t="str">
        <f>HYPERLINK("http://www.worldcat.org/oclc/9459429","WorldCat Record")</f>
        <v>WorldCat Record</v>
      </c>
      <c r="AU462" s="3" t="s">
        <v>6108</v>
      </c>
      <c r="AV462" s="3" t="s">
        <v>6121</v>
      </c>
      <c r="AW462" s="3" t="s">
        <v>6122</v>
      </c>
      <c r="AX462" s="3" t="s">
        <v>6122</v>
      </c>
      <c r="AY462" s="3" t="s">
        <v>6123</v>
      </c>
      <c r="AZ462" s="3" t="s">
        <v>74</v>
      </c>
      <c r="BB462" s="3" t="s">
        <v>6124</v>
      </c>
      <c r="BC462" s="3" t="s">
        <v>6125</v>
      </c>
      <c r="BD462" s="3" t="s">
        <v>6126</v>
      </c>
    </row>
    <row r="463" spans="1:56" ht="42.75" customHeight="1" x14ac:dyDescent="0.25">
      <c r="A463" s="7" t="s">
        <v>58</v>
      </c>
      <c r="B463" s="2" t="s">
        <v>6127</v>
      </c>
      <c r="C463" s="2" t="s">
        <v>6128</v>
      </c>
      <c r="D463" s="2" t="s">
        <v>6129</v>
      </c>
      <c r="F463" s="3" t="s">
        <v>58</v>
      </c>
      <c r="G463" s="3" t="s">
        <v>59</v>
      </c>
      <c r="H463" s="3" t="s">
        <v>86</v>
      </c>
      <c r="I463" s="3" t="s">
        <v>86</v>
      </c>
      <c r="J463" s="3" t="s">
        <v>60</v>
      </c>
      <c r="L463" s="2" t="s">
        <v>6130</v>
      </c>
      <c r="M463" s="3" t="s">
        <v>1574</v>
      </c>
      <c r="O463" s="3" t="s">
        <v>64</v>
      </c>
      <c r="P463" s="3" t="s">
        <v>115</v>
      </c>
      <c r="Q463" s="2" t="s">
        <v>6131</v>
      </c>
      <c r="R463" s="3" t="s">
        <v>67</v>
      </c>
      <c r="S463" s="4">
        <v>62</v>
      </c>
      <c r="T463" s="4">
        <v>62</v>
      </c>
      <c r="U463" s="5" t="s">
        <v>6132</v>
      </c>
      <c r="V463" s="5" t="s">
        <v>6132</v>
      </c>
      <c r="W463" s="5" t="s">
        <v>6133</v>
      </c>
      <c r="X463" s="5" t="s">
        <v>6133</v>
      </c>
      <c r="Y463" s="4">
        <v>787</v>
      </c>
      <c r="Z463" s="4">
        <v>676</v>
      </c>
      <c r="AA463" s="4">
        <v>1450</v>
      </c>
      <c r="AB463" s="4">
        <v>4</v>
      </c>
      <c r="AC463" s="4">
        <v>12</v>
      </c>
      <c r="AD463" s="4">
        <v>24</v>
      </c>
      <c r="AE463" s="4">
        <v>56</v>
      </c>
      <c r="AF463" s="4">
        <v>8</v>
      </c>
      <c r="AG463" s="4">
        <v>21</v>
      </c>
      <c r="AH463" s="4">
        <v>7</v>
      </c>
      <c r="AI463" s="4">
        <v>11</v>
      </c>
      <c r="AJ463" s="4">
        <v>13</v>
      </c>
      <c r="AK463" s="4">
        <v>25</v>
      </c>
      <c r="AL463" s="4">
        <v>2</v>
      </c>
      <c r="AM463" s="4">
        <v>10</v>
      </c>
      <c r="AN463" s="4">
        <v>0</v>
      </c>
      <c r="AO463" s="4">
        <v>0</v>
      </c>
      <c r="AP463" s="3" t="s">
        <v>58</v>
      </c>
      <c r="AQ463" s="3" t="s">
        <v>58</v>
      </c>
      <c r="AS463" s="6" t="str">
        <f>HYPERLINK("https://creighton-primo.hosted.exlibrisgroup.com/primo-explore/search?tab=default_tab&amp;search_scope=EVERYTHING&amp;vid=01CRU&amp;lang=en_US&amp;offset=0&amp;query=any,contains,991005203659702656","Catalog Record")</f>
        <v>Catalog Record</v>
      </c>
      <c r="AT463" s="6" t="str">
        <f>HYPERLINK("http://www.worldcat.org/oclc/8110040","WorldCat Record")</f>
        <v>WorldCat Record</v>
      </c>
      <c r="AU463" s="3" t="s">
        <v>6134</v>
      </c>
      <c r="AV463" s="3" t="s">
        <v>6135</v>
      </c>
      <c r="AW463" s="3" t="s">
        <v>6136</v>
      </c>
      <c r="AX463" s="3" t="s">
        <v>6136</v>
      </c>
      <c r="AY463" s="3" t="s">
        <v>6137</v>
      </c>
      <c r="AZ463" s="3" t="s">
        <v>74</v>
      </c>
      <c r="BB463" s="3" t="s">
        <v>6138</v>
      </c>
      <c r="BC463" s="3" t="s">
        <v>6139</v>
      </c>
      <c r="BD463" s="3" t="s">
        <v>6140</v>
      </c>
    </row>
    <row r="464" spans="1:56" ht="42.75" customHeight="1" x14ac:dyDescent="0.25">
      <c r="A464" s="7" t="s">
        <v>58</v>
      </c>
      <c r="B464" s="2" t="s">
        <v>6141</v>
      </c>
      <c r="C464" s="2" t="s">
        <v>6142</v>
      </c>
      <c r="D464" s="2" t="s">
        <v>6143</v>
      </c>
      <c r="F464" s="3" t="s">
        <v>58</v>
      </c>
      <c r="G464" s="3" t="s">
        <v>59</v>
      </c>
      <c r="H464" s="3" t="s">
        <v>58</v>
      </c>
      <c r="I464" s="3" t="s">
        <v>58</v>
      </c>
      <c r="J464" s="3" t="s">
        <v>60</v>
      </c>
      <c r="K464" s="2" t="s">
        <v>6144</v>
      </c>
      <c r="L464" s="2" t="s">
        <v>6145</v>
      </c>
      <c r="M464" s="3" t="s">
        <v>586</v>
      </c>
      <c r="O464" s="3" t="s">
        <v>64</v>
      </c>
      <c r="P464" s="3" t="s">
        <v>83</v>
      </c>
      <c r="R464" s="3" t="s">
        <v>67</v>
      </c>
      <c r="S464" s="4">
        <v>17</v>
      </c>
      <c r="T464" s="4">
        <v>17</v>
      </c>
      <c r="U464" s="5" t="s">
        <v>6146</v>
      </c>
      <c r="V464" s="5" t="s">
        <v>6146</v>
      </c>
      <c r="W464" s="5" t="s">
        <v>497</v>
      </c>
      <c r="X464" s="5" t="s">
        <v>497</v>
      </c>
      <c r="Y464" s="4">
        <v>259</v>
      </c>
      <c r="Z464" s="4">
        <v>227</v>
      </c>
      <c r="AA464" s="4">
        <v>230</v>
      </c>
      <c r="AB464" s="4">
        <v>4</v>
      </c>
      <c r="AC464" s="4">
        <v>4</v>
      </c>
      <c r="AD464" s="4">
        <v>16</v>
      </c>
      <c r="AE464" s="4">
        <v>16</v>
      </c>
      <c r="AF464" s="4">
        <v>5</v>
      </c>
      <c r="AG464" s="4">
        <v>5</v>
      </c>
      <c r="AH464" s="4">
        <v>3</v>
      </c>
      <c r="AI464" s="4">
        <v>3</v>
      </c>
      <c r="AJ464" s="4">
        <v>10</v>
      </c>
      <c r="AK464" s="4">
        <v>10</v>
      </c>
      <c r="AL464" s="4">
        <v>3</v>
      </c>
      <c r="AM464" s="4">
        <v>3</v>
      </c>
      <c r="AN464" s="4">
        <v>0</v>
      </c>
      <c r="AO464" s="4">
        <v>0</v>
      </c>
      <c r="AP464" s="3" t="s">
        <v>58</v>
      </c>
      <c r="AQ464" s="3" t="s">
        <v>86</v>
      </c>
      <c r="AR464" s="6" t="str">
        <f>HYPERLINK("http://catalog.hathitrust.org/Record/101929099","HathiTrust Record")</f>
        <v>HathiTrust Record</v>
      </c>
      <c r="AS464" s="6" t="str">
        <f>HYPERLINK("https://creighton-primo.hosted.exlibrisgroup.com/primo-explore/search?tab=default_tab&amp;search_scope=EVERYTHING&amp;vid=01CRU&amp;lang=en_US&amp;offset=0&amp;query=any,contains,991005412739702656","Catalog Record")</f>
        <v>Catalog Record</v>
      </c>
      <c r="AT464" s="6" t="str">
        <f>HYPERLINK("http://www.worldcat.org/oclc/22380578","WorldCat Record")</f>
        <v>WorldCat Record</v>
      </c>
      <c r="AU464" s="3" t="s">
        <v>6147</v>
      </c>
      <c r="AV464" s="3" t="s">
        <v>6148</v>
      </c>
      <c r="AW464" s="3" t="s">
        <v>6149</v>
      </c>
      <c r="AX464" s="3" t="s">
        <v>6149</v>
      </c>
      <c r="AY464" s="3" t="s">
        <v>6150</v>
      </c>
      <c r="AZ464" s="3" t="s">
        <v>74</v>
      </c>
      <c r="BB464" s="3" t="s">
        <v>6151</v>
      </c>
      <c r="BC464" s="3" t="s">
        <v>6152</v>
      </c>
      <c r="BD464" s="3" t="s">
        <v>6153</v>
      </c>
    </row>
    <row r="465" spans="1:56" ht="42.75" customHeight="1" x14ac:dyDescent="0.25">
      <c r="A465" s="7" t="s">
        <v>58</v>
      </c>
      <c r="B465" s="2" t="s">
        <v>6154</v>
      </c>
      <c r="C465" s="2" t="s">
        <v>6155</v>
      </c>
      <c r="D465" s="2" t="s">
        <v>6156</v>
      </c>
      <c r="F465" s="3" t="s">
        <v>58</v>
      </c>
      <c r="G465" s="3" t="s">
        <v>59</v>
      </c>
      <c r="H465" s="3" t="s">
        <v>58</v>
      </c>
      <c r="I465" s="3" t="s">
        <v>58</v>
      </c>
      <c r="J465" s="3" t="s">
        <v>60</v>
      </c>
      <c r="K465" s="2" t="s">
        <v>6157</v>
      </c>
      <c r="L465" s="2" t="s">
        <v>6158</v>
      </c>
      <c r="M465" s="3" t="s">
        <v>1361</v>
      </c>
      <c r="O465" s="3" t="s">
        <v>64</v>
      </c>
      <c r="P465" s="3" t="s">
        <v>115</v>
      </c>
      <c r="R465" s="3" t="s">
        <v>67</v>
      </c>
      <c r="S465" s="4">
        <v>2</v>
      </c>
      <c r="T465" s="4">
        <v>2</v>
      </c>
      <c r="U465" s="5" t="s">
        <v>4499</v>
      </c>
      <c r="V465" s="5" t="s">
        <v>4499</v>
      </c>
      <c r="W465" s="5" t="s">
        <v>4405</v>
      </c>
      <c r="X465" s="5" t="s">
        <v>4405</v>
      </c>
      <c r="Y465" s="4">
        <v>55</v>
      </c>
      <c r="Z465" s="4">
        <v>48</v>
      </c>
      <c r="AA465" s="4">
        <v>80</v>
      </c>
      <c r="AB465" s="4">
        <v>1</v>
      </c>
      <c r="AC465" s="4">
        <v>1</v>
      </c>
      <c r="AD465" s="4">
        <v>1</v>
      </c>
      <c r="AE465" s="4">
        <v>1</v>
      </c>
      <c r="AF465" s="4">
        <v>0</v>
      </c>
      <c r="AG465" s="4">
        <v>0</v>
      </c>
      <c r="AH465" s="4">
        <v>0</v>
      </c>
      <c r="AI465" s="4">
        <v>0</v>
      </c>
      <c r="AJ465" s="4">
        <v>1</v>
      </c>
      <c r="AK465" s="4">
        <v>1</v>
      </c>
      <c r="AL465" s="4">
        <v>0</v>
      </c>
      <c r="AM465" s="4">
        <v>0</v>
      </c>
      <c r="AN465" s="4">
        <v>0</v>
      </c>
      <c r="AO465" s="4">
        <v>0</v>
      </c>
      <c r="AP465" s="3" t="s">
        <v>58</v>
      </c>
      <c r="AQ465" s="3" t="s">
        <v>58</v>
      </c>
      <c r="AS465" s="6" t="str">
        <f>HYPERLINK("https://creighton-primo.hosted.exlibrisgroup.com/primo-explore/search?tab=default_tab&amp;search_scope=EVERYTHING&amp;vid=01CRU&amp;lang=en_US&amp;offset=0&amp;query=any,contains,991005269589702656","Catalog Record")</f>
        <v>Catalog Record</v>
      </c>
      <c r="AT465" s="6" t="str">
        <f>HYPERLINK("http://www.worldcat.org/oclc/71173770","WorldCat Record")</f>
        <v>WorldCat Record</v>
      </c>
      <c r="AU465" s="3" t="s">
        <v>6159</v>
      </c>
      <c r="AV465" s="3" t="s">
        <v>6160</v>
      </c>
      <c r="AW465" s="3" t="s">
        <v>6161</v>
      </c>
      <c r="AX465" s="3" t="s">
        <v>6161</v>
      </c>
      <c r="AY465" s="3" t="s">
        <v>6162</v>
      </c>
      <c r="AZ465" s="3" t="s">
        <v>74</v>
      </c>
      <c r="BB465" s="3" t="s">
        <v>6163</v>
      </c>
      <c r="BC465" s="3" t="s">
        <v>6164</v>
      </c>
      <c r="BD465" s="3" t="s">
        <v>6165</v>
      </c>
    </row>
    <row r="466" spans="1:56" ht="42.75" customHeight="1" x14ac:dyDescent="0.25">
      <c r="A466" s="7" t="s">
        <v>58</v>
      </c>
      <c r="B466" s="2" t="s">
        <v>6166</v>
      </c>
      <c r="C466" s="2" t="s">
        <v>6167</v>
      </c>
      <c r="D466" s="2" t="s">
        <v>6168</v>
      </c>
      <c r="F466" s="3" t="s">
        <v>58</v>
      </c>
      <c r="G466" s="3" t="s">
        <v>59</v>
      </c>
      <c r="H466" s="3" t="s">
        <v>58</v>
      </c>
      <c r="I466" s="3" t="s">
        <v>58</v>
      </c>
      <c r="J466" s="3" t="s">
        <v>60</v>
      </c>
      <c r="K466" s="2" t="s">
        <v>6169</v>
      </c>
      <c r="L466" s="2" t="s">
        <v>6170</v>
      </c>
      <c r="M466" s="3" t="s">
        <v>888</v>
      </c>
      <c r="O466" s="3" t="s">
        <v>64</v>
      </c>
      <c r="P466" s="3" t="s">
        <v>115</v>
      </c>
      <c r="Q466" s="2" t="s">
        <v>6131</v>
      </c>
      <c r="R466" s="3" t="s">
        <v>67</v>
      </c>
      <c r="S466" s="4">
        <v>5</v>
      </c>
      <c r="T466" s="4">
        <v>5</v>
      </c>
      <c r="U466" s="5" t="s">
        <v>6171</v>
      </c>
      <c r="V466" s="5" t="s">
        <v>6171</v>
      </c>
      <c r="W466" s="5" t="s">
        <v>6172</v>
      </c>
      <c r="X466" s="5" t="s">
        <v>6172</v>
      </c>
      <c r="Y466" s="4">
        <v>554</v>
      </c>
      <c r="Z466" s="4">
        <v>519</v>
      </c>
      <c r="AA466" s="4">
        <v>698</v>
      </c>
      <c r="AB466" s="4">
        <v>2</v>
      </c>
      <c r="AC466" s="4">
        <v>4</v>
      </c>
      <c r="AD466" s="4">
        <v>22</v>
      </c>
      <c r="AE466" s="4">
        <v>32</v>
      </c>
      <c r="AF466" s="4">
        <v>8</v>
      </c>
      <c r="AG466" s="4">
        <v>14</v>
      </c>
      <c r="AH466" s="4">
        <v>5</v>
      </c>
      <c r="AI466" s="4">
        <v>6</v>
      </c>
      <c r="AJ466" s="4">
        <v>12</v>
      </c>
      <c r="AK466" s="4">
        <v>13</v>
      </c>
      <c r="AL466" s="4">
        <v>1</v>
      </c>
      <c r="AM466" s="4">
        <v>3</v>
      </c>
      <c r="AN466" s="4">
        <v>0</v>
      </c>
      <c r="AO466" s="4">
        <v>1</v>
      </c>
      <c r="AP466" s="3" t="s">
        <v>58</v>
      </c>
      <c r="AQ466" s="3" t="s">
        <v>58</v>
      </c>
      <c r="AS466" s="6" t="str">
        <f>HYPERLINK("https://creighton-primo.hosted.exlibrisgroup.com/primo-explore/search?tab=default_tab&amp;search_scope=EVERYTHING&amp;vid=01CRU&amp;lang=en_US&amp;offset=0&amp;query=any,contains,991005427739702656","Catalog Record")</f>
        <v>Catalog Record</v>
      </c>
      <c r="AT466" s="6" t="str">
        <f>HYPERLINK("http://www.worldcat.org/oclc/38249601","WorldCat Record")</f>
        <v>WorldCat Record</v>
      </c>
      <c r="AU466" s="3" t="s">
        <v>6173</v>
      </c>
      <c r="AV466" s="3" t="s">
        <v>6174</v>
      </c>
      <c r="AW466" s="3" t="s">
        <v>6175</v>
      </c>
      <c r="AX466" s="3" t="s">
        <v>6175</v>
      </c>
      <c r="AY466" s="3" t="s">
        <v>6176</v>
      </c>
      <c r="AZ466" s="3" t="s">
        <v>74</v>
      </c>
      <c r="BB466" s="3" t="s">
        <v>6177</v>
      </c>
      <c r="BC466" s="3" t="s">
        <v>6178</v>
      </c>
      <c r="BD466" s="3" t="s">
        <v>6179</v>
      </c>
    </row>
    <row r="467" spans="1:56" ht="42.75" customHeight="1" x14ac:dyDescent="0.25">
      <c r="A467" s="7" t="s">
        <v>58</v>
      </c>
      <c r="B467" s="2" t="s">
        <v>6180</v>
      </c>
      <c r="C467" s="2" t="s">
        <v>6181</v>
      </c>
      <c r="D467" s="2" t="s">
        <v>6182</v>
      </c>
      <c r="F467" s="3" t="s">
        <v>58</v>
      </c>
      <c r="G467" s="3" t="s">
        <v>59</v>
      </c>
      <c r="H467" s="3" t="s">
        <v>58</v>
      </c>
      <c r="I467" s="3" t="s">
        <v>58</v>
      </c>
      <c r="J467" s="3" t="s">
        <v>60</v>
      </c>
      <c r="K467" s="2" t="s">
        <v>6183</v>
      </c>
      <c r="L467" s="2" t="s">
        <v>6184</v>
      </c>
      <c r="M467" s="3" t="s">
        <v>344</v>
      </c>
      <c r="O467" s="3" t="s">
        <v>64</v>
      </c>
      <c r="P467" s="3" t="s">
        <v>99</v>
      </c>
      <c r="R467" s="3" t="s">
        <v>67</v>
      </c>
      <c r="S467" s="4">
        <v>6</v>
      </c>
      <c r="T467" s="4">
        <v>6</v>
      </c>
      <c r="U467" s="5" t="s">
        <v>6185</v>
      </c>
      <c r="V467" s="5" t="s">
        <v>6185</v>
      </c>
      <c r="W467" s="5" t="s">
        <v>6186</v>
      </c>
      <c r="X467" s="5" t="s">
        <v>6186</v>
      </c>
      <c r="Y467" s="4">
        <v>229</v>
      </c>
      <c r="Z467" s="4">
        <v>211</v>
      </c>
      <c r="AA467" s="4">
        <v>213</v>
      </c>
      <c r="AB467" s="4">
        <v>3</v>
      </c>
      <c r="AC467" s="4">
        <v>3</v>
      </c>
      <c r="AD467" s="4">
        <v>6</v>
      </c>
      <c r="AE467" s="4">
        <v>6</v>
      </c>
      <c r="AF467" s="4">
        <v>1</v>
      </c>
      <c r="AG467" s="4">
        <v>1</v>
      </c>
      <c r="AH467" s="4">
        <v>2</v>
      </c>
      <c r="AI467" s="4">
        <v>2</v>
      </c>
      <c r="AJ467" s="4">
        <v>3</v>
      </c>
      <c r="AK467" s="4">
        <v>3</v>
      </c>
      <c r="AL467" s="4">
        <v>2</v>
      </c>
      <c r="AM467" s="4">
        <v>2</v>
      </c>
      <c r="AN467" s="4">
        <v>0</v>
      </c>
      <c r="AO467" s="4">
        <v>0</v>
      </c>
      <c r="AP467" s="3" t="s">
        <v>58</v>
      </c>
      <c r="AQ467" s="3" t="s">
        <v>86</v>
      </c>
      <c r="AR467" s="6" t="str">
        <f>HYPERLINK("http://catalog.hathitrust.org/Record/000690140","HathiTrust Record")</f>
        <v>HathiTrust Record</v>
      </c>
      <c r="AS467" s="6" t="str">
        <f>HYPERLINK("https://creighton-primo.hosted.exlibrisgroup.com/primo-explore/search?tab=default_tab&amp;search_scope=EVERYTHING&amp;vid=01CRU&amp;lang=en_US&amp;offset=0&amp;query=any,contains,991004802329702656","Catalog Record")</f>
        <v>Catalog Record</v>
      </c>
      <c r="AT467" s="6" t="str">
        <f>HYPERLINK("http://www.worldcat.org/oclc/5219661","WorldCat Record")</f>
        <v>WorldCat Record</v>
      </c>
      <c r="AU467" s="3" t="s">
        <v>6187</v>
      </c>
      <c r="AV467" s="3" t="s">
        <v>6188</v>
      </c>
      <c r="AW467" s="3" t="s">
        <v>6189</v>
      </c>
      <c r="AX467" s="3" t="s">
        <v>6189</v>
      </c>
      <c r="AY467" s="3" t="s">
        <v>6190</v>
      </c>
      <c r="AZ467" s="3" t="s">
        <v>74</v>
      </c>
      <c r="BB467" s="3" t="s">
        <v>6191</v>
      </c>
      <c r="BC467" s="3" t="s">
        <v>6192</v>
      </c>
      <c r="BD467" s="3" t="s">
        <v>6193</v>
      </c>
    </row>
    <row r="468" spans="1:56" ht="42.75" customHeight="1" x14ac:dyDescent="0.25">
      <c r="A468" s="7" t="s">
        <v>58</v>
      </c>
      <c r="B468" s="2" t="s">
        <v>6194</v>
      </c>
      <c r="C468" s="2" t="s">
        <v>6195</v>
      </c>
      <c r="D468" s="2" t="s">
        <v>6196</v>
      </c>
      <c r="F468" s="3" t="s">
        <v>58</v>
      </c>
      <c r="G468" s="3" t="s">
        <v>59</v>
      </c>
      <c r="H468" s="3" t="s">
        <v>58</v>
      </c>
      <c r="I468" s="3" t="s">
        <v>58</v>
      </c>
      <c r="J468" s="3" t="s">
        <v>60</v>
      </c>
      <c r="K468" s="2" t="s">
        <v>6197</v>
      </c>
      <c r="L468" s="2" t="s">
        <v>6198</v>
      </c>
      <c r="M468" s="3" t="s">
        <v>480</v>
      </c>
      <c r="N468" s="2" t="s">
        <v>6199</v>
      </c>
      <c r="O468" s="3" t="s">
        <v>64</v>
      </c>
      <c r="P468" s="3" t="s">
        <v>254</v>
      </c>
      <c r="R468" s="3" t="s">
        <v>67</v>
      </c>
      <c r="S468" s="4">
        <v>3</v>
      </c>
      <c r="T468" s="4">
        <v>3</v>
      </c>
      <c r="U468" s="5" t="s">
        <v>6185</v>
      </c>
      <c r="V468" s="5" t="s">
        <v>6185</v>
      </c>
      <c r="W468" s="5" t="s">
        <v>5560</v>
      </c>
      <c r="X468" s="5" t="s">
        <v>5560</v>
      </c>
      <c r="Y468" s="4">
        <v>292</v>
      </c>
      <c r="Z468" s="4">
        <v>280</v>
      </c>
      <c r="AA468" s="4">
        <v>287</v>
      </c>
      <c r="AB468" s="4">
        <v>3</v>
      </c>
      <c r="AC468" s="4">
        <v>3</v>
      </c>
      <c r="AD468" s="4">
        <v>13</v>
      </c>
      <c r="AE468" s="4">
        <v>13</v>
      </c>
      <c r="AF468" s="4">
        <v>2</v>
      </c>
      <c r="AG468" s="4">
        <v>2</v>
      </c>
      <c r="AH468" s="4">
        <v>4</v>
      </c>
      <c r="AI468" s="4">
        <v>4</v>
      </c>
      <c r="AJ468" s="4">
        <v>8</v>
      </c>
      <c r="AK468" s="4">
        <v>8</v>
      </c>
      <c r="AL468" s="4">
        <v>2</v>
      </c>
      <c r="AM468" s="4">
        <v>2</v>
      </c>
      <c r="AN468" s="4">
        <v>0</v>
      </c>
      <c r="AO468" s="4">
        <v>0</v>
      </c>
      <c r="AP468" s="3" t="s">
        <v>58</v>
      </c>
      <c r="AQ468" s="3" t="s">
        <v>86</v>
      </c>
      <c r="AR468" s="6" t="str">
        <f>HYPERLINK("http://catalog.hathitrust.org/Record/001816445","HathiTrust Record")</f>
        <v>HathiTrust Record</v>
      </c>
      <c r="AS468" s="6" t="str">
        <f>HYPERLINK("https://creighton-primo.hosted.exlibrisgroup.com/primo-explore/search?tab=default_tab&amp;search_scope=EVERYTHING&amp;vid=01CRU&amp;lang=en_US&amp;offset=0&amp;query=any,contains,991001415779702656","Catalog Record")</f>
        <v>Catalog Record</v>
      </c>
      <c r="AT468" s="6" t="str">
        <f>HYPERLINK("http://www.worldcat.org/oclc/18948463","WorldCat Record")</f>
        <v>WorldCat Record</v>
      </c>
      <c r="AU468" s="3" t="s">
        <v>6200</v>
      </c>
      <c r="AV468" s="3" t="s">
        <v>6201</v>
      </c>
      <c r="AW468" s="3" t="s">
        <v>6202</v>
      </c>
      <c r="AX468" s="3" t="s">
        <v>6202</v>
      </c>
      <c r="AY468" s="3" t="s">
        <v>6203</v>
      </c>
      <c r="AZ468" s="3" t="s">
        <v>74</v>
      </c>
      <c r="BB468" s="3" t="s">
        <v>6204</v>
      </c>
      <c r="BC468" s="3" t="s">
        <v>6205</v>
      </c>
      <c r="BD468" s="3" t="s">
        <v>6206</v>
      </c>
    </row>
    <row r="469" spans="1:56" ht="42.75" customHeight="1" x14ac:dyDescent="0.25">
      <c r="A469" s="7" t="s">
        <v>58</v>
      </c>
      <c r="B469" s="2" t="s">
        <v>6207</v>
      </c>
      <c r="C469" s="2" t="s">
        <v>6208</v>
      </c>
      <c r="D469" s="2" t="s">
        <v>6209</v>
      </c>
      <c r="F469" s="3" t="s">
        <v>58</v>
      </c>
      <c r="G469" s="3" t="s">
        <v>59</v>
      </c>
      <c r="H469" s="3" t="s">
        <v>58</v>
      </c>
      <c r="I469" s="3" t="s">
        <v>58</v>
      </c>
      <c r="J469" s="3" t="s">
        <v>60</v>
      </c>
      <c r="K469" s="2" t="s">
        <v>6210</v>
      </c>
      <c r="L469" s="2" t="s">
        <v>6211</v>
      </c>
      <c r="M469" s="3" t="s">
        <v>1035</v>
      </c>
      <c r="O469" s="3" t="s">
        <v>64</v>
      </c>
      <c r="P469" s="3" t="s">
        <v>115</v>
      </c>
      <c r="Q469" s="2" t="s">
        <v>6212</v>
      </c>
      <c r="R469" s="3" t="s">
        <v>67</v>
      </c>
      <c r="S469" s="4">
        <v>1</v>
      </c>
      <c r="T469" s="4">
        <v>1</v>
      </c>
      <c r="U469" s="5" t="s">
        <v>6213</v>
      </c>
      <c r="V469" s="5" t="s">
        <v>6213</v>
      </c>
      <c r="W469" s="5" t="s">
        <v>6213</v>
      </c>
      <c r="X469" s="5" t="s">
        <v>6213</v>
      </c>
      <c r="Y469" s="4">
        <v>241</v>
      </c>
      <c r="Z469" s="4">
        <v>214</v>
      </c>
      <c r="AA469" s="4">
        <v>417</v>
      </c>
      <c r="AB469" s="4">
        <v>2</v>
      </c>
      <c r="AC469" s="4">
        <v>2</v>
      </c>
      <c r="AD469" s="4">
        <v>10</v>
      </c>
      <c r="AE469" s="4">
        <v>22</v>
      </c>
      <c r="AF469" s="4">
        <v>3</v>
      </c>
      <c r="AG469" s="4">
        <v>10</v>
      </c>
      <c r="AH469" s="4">
        <v>3</v>
      </c>
      <c r="AI469" s="4">
        <v>7</v>
      </c>
      <c r="AJ469" s="4">
        <v>6</v>
      </c>
      <c r="AK469" s="4">
        <v>12</v>
      </c>
      <c r="AL469" s="4">
        <v>1</v>
      </c>
      <c r="AM469" s="4">
        <v>1</v>
      </c>
      <c r="AN469" s="4">
        <v>0</v>
      </c>
      <c r="AO469" s="4">
        <v>0</v>
      </c>
      <c r="AP469" s="3" t="s">
        <v>58</v>
      </c>
      <c r="AQ469" s="3" t="s">
        <v>86</v>
      </c>
      <c r="AR469" s="6" t="str">
        <f>HYPERLINK("http://catalog.hathitrust.org/Record/004198103","HathiTrust Record")</f>
        <v>HathiTrust Record</v>
      </c>
      <c r="AS469" s="6" t="str">
        <f>HYPERLINK("https://creighton-primo.hosted.exlibrisgroup.com/primo-explore/search?tab=default_tab&amp;search_scope=EVERYTHING&amp;vid=01CRU&amp;lang=en_US&amp;offset=0&amp;query=any,contains,991003869649702656","Catalog Record")</f>
        <v>Catalog Record</v>
      </c>
      <c r="AT469" s="6" t="str">
        <f>HYPERLINK("http://www.worldcat.org/oclc/46359708","WorldCat Record")</f>
        <v>WorldCat Record</v>
      </c>
      <c r="AU469" s="3" t="s">
        <v>6214</v>
      </c>
      <c r="AV469" s="3" t="s">
        <v>6215</v>
      </c>
      <c r="AW469" s="3" t="s">
        <v>6216</v>
      </c>
      <c r="AX469" s="3" t="s">
        <v>6216</v>
      </c>
      <c r="AY469" s="3" t="s">
        <v>6217</v>
      </c>
      <c r="AZ469" s="3" t="s">
        <v>74</v>
      </c>
      <c r="BB469" s="3" t="s">
        <v>6218</v>
      </c>
      <c r="BC469" s="3" t="s">
        <v>6219</v>
      </c>
      <c r="BD469" s="3" t="s">
        <v>6220</v>
      </c>
    </row>
    <row r="470" spans="1:56" ht="42.75" customHeight="1" x14ac:dyDescent="0.25">
      <c r="A470" s="7" t="s">
        <v>58</v>
      </c>
      <c r="B470" s="2" t="s">
        <v>6221</v>
      </c>
      <c r="C470" s="2" t="s">
        <v>6222</v>
      </c>
      <c r="D470" s="2" t="s">
        <v>6223</v>
      </c>
      <c r="F470" s="3" t="s">
        <v>58</v>
      </c>
      <c r="G470" s="3" t="s">
        <v>59</v>
      </c>
      <c r="H470" s="3" t="s">
        <v>58</v>
      </c>
      <c r="I470" s="3" t="s">
        <v>58</v>
      </c>
      <c r="J470" s="3" t="s">
        <v>60</v>
      </c>
      <c r="K470" s="2" t="s">
        <v>6224</v>
      </c>
      <c r="L470" s="2" t="s">
        <v>6225</v>
      </c>
      <c r="M470" s="3" t="s">
        <v>765</v>
      </c>
      <c r="O470" s="3" t="s">
        <v>64</v>
      </c>
      <c r="P470" s="3" t="s">
        <v>65</v>
      </c>
      <c r="R470" s="3" t="s">
        <v>67</v>
      </c>
      <c r="S470" s="4">
        <v>3</v>
      </c>
      <c r="T470" s="4">
        <v>3</v>
      </c>
      <c r="U470" s="5" t="s">
        <v>6226</v>
      </c>
      <c r="V470" s="5" t="s">
        <v>6226</v>
      </c>
      <c r="W470" s="5" t="s">
        <v>6227</v>
      </c>
      <c r="X470" s="5" t="s">
        <v>6227</v>
      </c>
      <c r="Y470" s="4">
        <v>290</v>
      </c>
      <c r="Z470" s="4">
        <v>187</v>
      </c>
      <c r="AA470" s="4">
        <v>202</v>
      </c>
      <c r="AB470" s="4">
        <v>1</v>
      </c>
      <c r="AC470" s="4">
        <v>1</v>
      </c>
      <c r="AD470" s="4">
        <v>9</v>
      </c>
      <c r="AE470" s="4">
        <v>9</v>
      </c>
      <c r="AF470" s="4">
        <v>2</v>
      </c>
      <c r="AG470" s="4">
        <v>2</v>
      </c>
      <c r="AH470" s="4">
        <v>4</v>
      </c>
      <c r="AI470" s="4">
        <v>4</v>
      </c>
      <c r="AJ470" s="4">
        <v>7</v>
      </c>
      <c r="AK470" s="4">
        <v>7</v>
      </c>
      <c r="AL470" s="4">
        <v>0</v>
      </c>
      <c r="AM470" s="4">
        <v>0</v>
      </c>
      <c r="AN470" s="4">
        <v>0</v>
      </c>
      <c r="AO470" s="4">
        <v>0</v>
      </c>
      <c r="AP470" s="3" t="s">
        <v>58</v>
      </c>
      <c r="AQ470" s="3" t="s">
        <v>86</v>
      </c>
      <c r="AR470" s="6" t="str">
        <f>HYPERLINK("http://catalog.hathitrust.org/Record/002958027","HathiTrust Record")</f>
        <v>HathiTrust Record</v>
      </c>
      <c r="AS470" s="6" t="str">
        <f>HYPERLINK("https://creighton-primo.hosted.exlibrisgroup.com/primo-explore/search?tab=default_tab&amp;search_scope=EVERYTHING&amp;vid=01CRU&amp;lang=en_US&amp;offset=0&amp;query=any,contains,991002321229702656","Catalog Record")</f>
        <v>Catalog Record</v>
      </c>
      <c r="AT470" s="6" t="str">
        <f>HYPERLINK("http://www.worldcat.org/oclc/30110035","WorldCat Record")</f>
        <v>WorldCat Record</v>
      </c>
      <c r="AU470" s="3" t="s">
        <v>6228</v>
      </c>
      <c r="AV470" s="3" t="s">
        <v>6229</v>
      </c>
      <c r="AW470" s="3" t="s">
        <v>6230</v>
      </c>
      <c r="AX470" s="3" t="s">
        <v>6230</v>
      </c>
      <c r="AY470" s="3" t="s">
        <v>6231</v>
      </c>
      <c r="AZ470" s="3" t="s">
        <v>74</v>
      </c>
      <c r="BB470" s="3" t="s">
        <v>6232</v>
      </c>
      <c r="BC470" s="3" t="s">
        <v>6233</v>
      </c>
      <c r="BD470" s="3" t="s">
        <v>6234</v>
      </c>
    </row>
    <row r="471" spans="1:56" ht="42.75" customHeight="1" x14ac:dyDescent="0.25">
      <c r="A471" s="7" t="s">
        <v>58</v>
      </c>
      <c r="B471" s="2" t="s">
        <v>6235</v>
      </c>
      <c r="C471" s="2" t="s">
        <v>6236</v>
      </c>
      <c r="D471" s="2" t="s">
        <v>6237</v>
      </c>
      <c r="F471" s="3" t="s">
        <v>58</v>
      </c>
      <c r="G471" s="3" t="s">
        <v>59</v>
      </c>
      <c r="H471" s="3" t="s">
        <v>58</v>
      </c>
      <c r="I471" s="3" t="s">
        <v>58</v>
      </c>
      <c r="J471" s="3" t="s">
        <v>60</v>
      </c>
      <c r="L471" s="2" t="s">
        <v>6238</v>
      </c>
      <c r="M471" s="3" t="s">
        <v>344</v>
      </c>
      <c r="O471" s="3" t="s">
        <v>64</v>
      </c>
      <c r="P471" s="3" t="s">
        <v>239</v>
      </c>
      <c r="Q471" s="2" t="s">
        <v>6239</v>
      </c>
      <c r="R471" s="3" t="s">
        <v>67</v>
      </c>
      <c r="S471" s="4">
        <v>11</v>
      </c>
      <c r="T471" s="4">
        <v>11</v>
      </c>
      <c r="U471" s="5" t="s">
        <v>6240</v>
      </c>
      <c r="V471" s="5" t="s">
        <v>6240</v>
      </c>
      <c r="W471" s="5" t="s">
        <v>117</v>
      </c>
      <c r="X471" s="5" t="s">
        <v>117</v>
      </c>
      <c r="Y471" s="4">
        <v>306</v>
      </c>
      <c r="Z471" s="4">
        <v>215</v>
      </c>
      <c r="AA471" s="4">
        <v>235</v>
      </c>
      <c r="AB471" s="4">
        <v>3</v>
      </c>
      <c r="AC471" s="4">
        <v>3</v>
      </c>
      <c r="AD471" s="4">
        <v>6</v>
      </c>
      <c r="AE471" s="4">
        <v>7</v>
      </c>
      <c r="AF471" s="4">
        <v>0</v>
      </c>
      <c r="AG471" s="4">
        <v>1</v>
      </c>
      <c r="AH471" s="4">
        <v>2</v>
      </c>
      <c r="AI471" s="4">
        <v>2</v>
      </c>
      <c r="AJ471" s="4">
        <v>3</v>
      </c>
      <c r="AK471" s="4">
        <v>4</v>
      </c>
      <c r="AL471" s="4">
        <v>2</v>
      </c>
      <c r="AM471" s="4">
        <v>2</v>
      </c>
      <c r="AN471" s="4">
        <v>0</v>
      </c>
      <c r="AO471" s="4">
        <v>0</v>
      </c>
      <c r="AP471" s="3" t="s">
        <v>58</v>
      </c>
      <c r="AQ471" s="3" t="s">
        <v>58</v>
      </c>
      <c r="AS471" s="6" t="str">
        <f>HYPERLINK("https://creighton-primo.hosted.exlibrisgroup.com/primo-explore/search?tab=default_tab&amp;search_scope=EVERYTHING&amp;vid=01CRU&amp;lang=en_US&amp;offset=0&amp;query=any,contains,991005138819702656","Catalog Record")</f>
        <v>Catalog Record</v>
      </c>
      <c r="AT471" s="6" t="str">
        <f>HYPERLINK("http://www.worldcat.org/oclc/7596559","WorldCat Record")</f>
        <v>WorldCat Record</v>
      </c>
      <c r="AU471" s="3" t="s">
        <v>6241</v>
      </c>
      <c r="AV471" s="3" t="s">
        <v>6242</v>
      </c>
      <c r="AW471" s="3" t="s">
        <v>6243</v>
      </c>
      <c r="AX471" s="3" t="s">
        <v>6243</v>
      </c>
      <c r="AY471" s="3" t="s">
        <v>6244</v>
      </c>
      <c r="AZ471" s="3" t="s">
        <v>74</v>
      </c>
      <c r="BB471" s="3" t="s">
        <v>6245</v>
      </c>
      <c r="BC471" s="3" t="s">
        <v>6246</v>
      </c>
      <c r="BD471" s="3" t="s">
        <v>6247</v>
      </c>
    </row>
    <row r="472" spans="1:56" ht="42.75" customHeight="1" x14ac:dyDescent="0.25">
      <c r="A472" s="7" t="s">
        <v>58</v>
      </c>
      <c r="B472" s="2" t="s">
        <v>6248</v>
      </c>
      <c r="C472" s="2" t="s">
        <v>6249</v>
      </c>
      <c r="D472" s="2" t="s">
        <v>6250</v>
      </c>
      <c r="F472" s="3" t="s">
        <v>58</v>
      </c>
      <c r="G472" s="3" t="s">
        <v>59</v>
      </c>
      <c r="H472" s="3" t="s">
        <v>58</v>
      </c>
      <c r="I472" s="3" t="s">
        <v>58</v>
      </c>
      <c r="J472" s="3" t="s">
        <v>60</v>
      </c>
      <c r="K472" s="2" t="s">
        <v>6251</v>
      </c>
      <c r="L472" s="2" t="s">
        <v>3899</v>
      </c>
      <c r="M472" s="3" t="s">
        <v>207</v>
      </c>
      <c r="O472" s="3" t="s">
        <v>64</v>
      </c>
      <c r="P472" s="3" t="s">
        <v>115</v>
      </c>
      <c r="R472" s="3" t="s">
        <v>67</v>
      </c>
      <c r="S472" s="4">
        <v>3</v>
      </c>
      <c r="T472" s="4">
        <v>3</v>
      </c>
      <c r="U472" s="5" t="s">
        <v>1493</v>
      </c>
      <c r="V472" s="5" t="s">
        <v>1493</v>
      </c>
      <c r="W472" s="5" t="s">
        <v>117</v>
      </c>
      <c r="X472" s="5" t="s">
        <v>117</v>
      </c>
      <c r="Y472" s="4">
        <v>347</v>
      </c>
      <c r="Z472" s="4">
        <v>332</v>
      </c>
      <c r="AA472" s="4">
        <v>334</v>
      </c>
      <c r="AB472" s="4">
        <v>3</v>
      </c>
      <c r="AC472" s="4">
        <v>3</v>
      </c>
      <c r="AD472" s="4">
        <v>13</v>
      </c>
      <c r="AE472" s="4">
        <v>13</v>
      </c>
      <c r="AF472" s="4">
        <v>2</v>
      </c>
      <c r="AG472" s="4">
        <v>2</v>
      </c>
      <c r="AH472" s="4">
        <v>3</v>
      </c>
      <c r="AI472" s="4">
        <v>3</v>
      </c>
      <c r="AJ472" s="4">
        <v>9</v>
      </c>
      <c r="AK472" s="4">
        <v>9</v>
      </c>
      <c r="AL472" s="4">
        <v>2</v>
      </c>
      <c r="AM472" s="4">
        <v>2</v>
      </c>
      <c r="AN472" s="4">
        <v>0</v>
      </c>
      <c r="AO472" s="4">
        <v>0</v>
      </c>
      <c r="AP472" s="3" t="s">
        <v>58</v>
      </c>
      <c r="AQ472" s="3" t="s">
        <v>86</v>
      </c>
      <c r="AR472" s="6" t="str">
        <f>HYPERLINK("http://catalog.hathitrust.org/Record/000139380","HathiTrust Record")</f>
        <v>HathiTrust Record</v>
      </c>
      <c r="AS472" s="6" t="str">
        <f>HYPERLINK("https://creighton-primo.hosted.exlibrisgroup.com/primo-explore/search?tab=default_tab&amp;search_scope=EVERYTHING&amp;vid=01CRU&amp;lang=en_US&amp;offset=0&amp;query=any,contains,991005115359702656","Catalog Record")</f>
        <v>Catalog Record</v>
      </c>
      <c r="AT472" s="6" t="str">
        <f>HYPERLINK("http://www.worldcat.org/oclc/7461946","WorldCat Record")</f>
        <v>WorldCat Record</v>
      </c>
      <c r="AU472" s="3" t="s">
        <v>6252</v>
      </c>
      <c r="AV472" s="3" t="s">
        <v>6253</v>
      </c>
      <c r="AW472" s="3" t="s">
        <v>6254</v>
      </c>
      <c r="AX472" s="3" t="s">
        <v>6254</v>
      </c>
      <c r="AY472" s="3" t="s">
        <v>6255</v>
      </c>
      <c r="AZ472" s="3" t="s">
        <v>74</v>
      </c>
      <c r="BB472" s="3" t="s">
        <v>6256</v>
      </c>
      <c r="BC472" s="3" t="s">
        <v>6257</v>
      </c>
      <c r="BD472" s="3" t="s">
        <v>6258</v>
      </c>
    </row>
    <row r="473" spans="1:56" ht="42.75" customHeight="1" x14ac:dyDescent="0.25">
      <c r="A473" s="7" t="s">
        <v>58</v>
      </c>
      <c r="B473" s="2" t="s">
        <v>6259</v>
      </c>
      <c r="C473" s="2" t="s">
        <v>6260</v>
      </c>
      <c r="D473" s="2" t="s">
        <v>6261</v>
      </c>
      <c r="F473" s="3" t="s">
        <v>58</v>
      </c>
      <c r="G473" s="3" t="s">
        <v>59</v>
      </c>
      <c r="H473" s="3" t="s">
        <v>58</v>
      </c>
      <c r="I473" s="3" t="s">
        <v>58</v>
      </c>
      <c r="J473" s="3" t="s">
        <v>60</v>
      </c>
      <c r="K473" s="2" t="s">
        <v>6262</v>
      </c>
      <c r="L473" s="2" t="s">
        <v>6263</v>
      </c>
      <c r="M473" s="3" t="s">
        <v>1035</v>
      </c>
      <c r="O473" s="3" t="s">
        <v>64</v>
      </c>
      <c r="P473" s="3" t="s">
        <v>6264</v>
      </c>
      <c r="R473" s="3" t="s">
        <v>67</v>
      </c>
      <c r="S473" s="4">
        <v>2</v>
      </c>
      <c r="T473" s="4">
        <v>2</v>
      </c>
      <c r="U473" s="5" t="s">
        <v>6265</v>
      </c>
      <c r="V473" s="5" t="s">
        <v>6265</v>
      </c>
      <c r="W473" s="5" t="s">
        <v>6266</v>
      </c>
      <c r="X473" s="5" t="s">
        <v>6266</v>
      </c>
      <c r="Y473" s="4">
        <v>78</v>
      </c>
      <c r="Z473" s="4">
        <v>58</v>
      </c>
      <c r="AA473" s="4">
        <v>673</v>
      </c>
      <c r="AB473" s="4">
        <v>3</v>
      </c>
      <c r="AC473" s="4">
        <v>8</v>
      </c>
      <c r="AD473" s="4">
        <v>2</v>
      </c>
      <c r="AE473" s="4">
        <v>22</v>
      </c>
      <c r="AF473" s="4">
        <v>0</v>
      </c>
      <c r="AG473" s="4">
        <v>6</v>
      </c>
      <c r="AH473" s="4">
        <v>0</v>
      </c>
      <c r="AI473" s="4">
        <v>5</v>
      </c>
      <c r="AJ473" s="4">
        <v>0</v>
      </c>
      <c r="AK473" s="4">
        <v>10</v>
      </c>
      <c r="AL473" s="4">
        <v>2</v>
      </c>
      <c r="AM473" s="4">
        <v>6</v>
      </c>
      <c r="AN473" s="4">
        <v>0</v>
      </c>
      <c r="AO473" s="4">
        <v>0</v>
      </c>
      <c r="AP473" s="3" t="s">
        <v>58</v>
      </c>
      <c r="AQ473" s="3" t="s">
        <v>58</v>
      </c>
      <c r="AS473" s="6" t="str">
        <f>HYPERLINK("https://creighton-primo.hosted.exlibrisgroup.com/primo-explore/search?tab=default_tab&amp;search_scope=EVERYTHING&amp;vid=01CRU&amp;lang=en_US&amp;offset=0&amp;query=any,contains,991005289979702656","Catalog Record")</f>
        <v>Catalog Record</v>
      </c>
      <c r="AT473" s="6" t="str">
        <f>HYPERLINK("http://www.worldcat.org/oclc/66502637","WorldCat Record")</f>
        <v>WorldCat Record</v>
      </c>
      <c r="AU473" s="3" t="s">
        <v>6267</v>
      </c>
      <c r="AV473" s="3" t="s">
        <v>6268</v>
      </c>
      <c r="AW473" s="3" t="s">
        <v>6269</v>
      </c>
      <c r="AX473" s="3" t="s">
        <v>6269</v>
      </c>
      <c r="AY473" s="3" t="s">
        <v>6270</v>
      </c>
      <c r="AZ473" s="3" t="s">
        <v>74</v>
      </c>
      <c r="BB473" s="3" t="s">
        <v>6271</v>
      </c>
      <c r="BC473" s="3" t="s">
        <v>6272</v>
      </c>
      <c r="BD473" s="3" t="s">
        <v>6273</v>
      </c>
    </row>
    <row r="474" spans="1:56" ht="42.75" customHeight="1" x14ac:dyDescent="0.25">
      <c r="A474" s="7" t="s">
        <v>58</v>
      </c>
      <c r="B474" s="2" t="s">
        <v>6274</v>
      </c>
      <c r="C474" s="2" t="s">
        <v>6275</v>
      </c>
      <c r="D474" s="2" t="s">
        <v>6276</v>
      </c>
      <c r="F474" s="3" t="s">
        <v>58</v>
      </c>
      <c r="G474" s="3" t="s">
        <v>59</v>
      </c>
      <c r="H474" s="3" t="s">
        <v>58</v>
      </c>
      <c r="I474" s="3" t="s">
        <v>58</v>
      </c>
      <c r="J474" s="3" t="s">
        <v>60</v>
      </c>
      <c r="L474" s="2" t="s">
        <v>6277</v>
      </c>
      <c r="M474" s="3" t="s">
        <v>114</v>
      </c>
      <c r="O474" s="3" t="s">
        <v>64</v>
      </c>
      <c r="P474" s="3" t="s">
        <v>115</v>
      </c>
      <c r="Q474" s="2" t="s">
        <v>6278</v>
      </c>
      <c r="R474" s="3" t="s">
        <v>67</v>
      </c>
      <c r="S474" s="4">
        <v>5</v>
      </c>
      <c r="T474" s="4">
        <v>5</v>
      </c>
      <c r="U474" s="5" t="s">
        <v>6279</v>
      </c>
      <c r="V474" s="5" t="s">
        <v>6279</v>
      </c>
      <c r="W474" s="5" t="s">
        <v>6280</v>
      </c>
      <c r="X474" s="5" t="s">
        <v>6280</v>
      </c>
      <c r="Y474" s="4">
        <v>435</v>
      </c>
      <c r="Z474" s="4">
        <v>356</v>
      </c>
      <c r="AA474" s="4">
        <v>1045</v>
      </c>
      <c r="AB474" s="4">
        <v>2</v>
      </c>
      <c r="AC474" s="4">
        <v>9</v>
      </c>
      <c r="AD474" s="4">
        <v>12</v>
      </c>
      <c r="AE474" s="4">
        <v>45</v>
      </c>
      <c r="AF474" s="4">
        <v>3</v>
      </c>
      <c r="AG474" s="4">
        <v>17</v>
      </c>
      <c r="AH474" s="4">
        <v>4</v>
      </c>
      <c r="AI474" s="4">
        <v>11</v>
      </c>
      <c r="AJ474" s="4">
        <v>8</v>
      </c>
      <c r="AK474" s="4">
        <v>20</v>
      </c>
      <c r="AL474" s="4">
        <v>1</v>
      </c>
      <c r="AM474" s="4">
        <v>7</v>
      </c>
      <c r="AN474" s="4">
        <v>0</v>
      </c>
      <c r="AO474" s="4">
        <v>1</v>
      </c>
      <c r="AP474" s="3" t="s">
        <v>58</v>
      </c>
      <c r="AQ474" s="3" t="s">
        <v>86</v>
      </c>
      <c r="AR474" s="6" t="str">
        <f>HYPERLINK("http://catalog.hathitrust.org/Record/000283366","HathiTrust Record")</f>
        <v>HathiTrust Record</v>
      </c>
      <c r="AS474" s="6" t="str">
        <f>HYPERLINK("https://creighton-primo.hosted.exlibrisgroup.com/primo-explore/search?tab=default_tab&amp;search_scope=EVERYTHING&amp;vid=01CRU&amp;lang=en_US&amp;offset=0&amp;query=any,contains,991000276409702656","Catalog Record")</f>
        <v>Catalog Record</v>
      </c>
      <c r="AT474" s="6" t="str">
        <f>HYPERLINK("http://www.worldcat.org/oclc/9894976","WorldCat Record")</f>
        <v>WorldCat Record</v>
      </c>
      <c r="AU474" s="3" t="s">
        <v>6281</v>
      </c>
      <c r="AV474" s="3" t="s">
        <v>6282</v>
      </c>
      <c r="AW474" s="3" t="s">
        <v>6283</v>
      </c>
      <c r="AX474" s="3" t="s">
        <v>6283</v>
      </c>
      <c r="AY474" s="3" t="s">
        <v>6284</v>
      </c>
      <c r="AZ474" s="3" t="s">
        <v>74</v>
      </c>
      <c r="BB474" s="3" t="s">
        <v>6285</v>
      </c>
      <c r="BC474" s="3" t="s">
        <v>6286</v>
      </c>
      <c r="BD474" s="3" t="s">
        <v>6287</v>
      </c>
    </row>
    <row r="475" spans="1:56" ht="42.75" customHeight="1" x14ac:dyDescent="0.25">
      <c r="A475" s="7" t="s">
        <v>58</v>
      </c>
      <c r="B475" s="2" t="s">
        <v>6288</v>
      </c>
      <c r="C475" s="2" t="s">
        <v>6289</v>
      </c>
      <c r="D475" s="2" t="s">
        <v>6290</v>
      </c>
      <c r="F475" s="3" t="s">
        <v>58</v>
      </c>
      <c r="G475" s="3" t="s">
        <v>59</v>
      </c>
      <c r="H475" s="3" t="s">
        <v>58</v>
      </c>
      <c r="I475" s="3" t="s">
        <v>58</v>
      </c>
      <c r="J475" s="3" t="s">
        <v>60</v>
      </c>
      <c r="K475" s="2" t="s">
        <v>6291</v>
      </c>
      <c r="L475" s="2" t="s">
        <v>6292</v>
      </c>
      <c r="M475" s="3" t="s">
        <v>2770</v>
      </c>
      <c r="O475" s="3" t="s">
        <v>64</v>
      </c>
      <c r="P475" s="3" t="s">
        <v>115</v>
      </c>
      <c r="R475" s="3" t="s">
        <v>67</v>
      </c>
      <c r="S475" s="4">
        <v>2</v>
      </c>
      <c r="T475" s="4">
        <v>2</v>
      </c>
      <c r="U475" s="5" t="s">
        <v>286</v>
      </c>
      <c r="V475" s="5" t="s">
        <v>286</v>
      </c>
      <c r="W475" s="5" t="s">
        <v>4999</v>
      </c>
      <c r="X475" s="5" t="s">
        <v>4999</v>
      </c>
      <c r="Y475" s="4">
        <v>320</v>
      </c>
      <c r="Z475" s="4">
        <v>241</v>
      </c>
      <c r="AA475" s="4">
        <v>243</v>
      </c>
      <c r="AB475" s="4">
        <v>2</v>
      </c>
      <c r="AC475" s="4">
        <v>2</v>
      </c>
      <c r="AD475" s="4">
        <v>11</v>
      </c>
      <c r="AE475" s="4">
        <v>11</v>
      </c>
      <c r="AF475" s="4">
        <v>4</v>
      </c>
      <c r="AG475" s="4">
        <v>4</v>
      </c>
      <c r="AH475" s="4">
        <v>3</v>
      </c>
      <c r="AI475" s="4">
        <v>3</v>
      </c>
      <c r="AJ475" s="4">
        <v>9</v>
      </c>
      <c r="AK475" s="4">
        <v>9</v>
      </c>
      <c r="AL475" s="4">
        <v>1</v>
      </c>
      <c r="AM475" s="4">
        <v>1</v>
      </c>
      <c r="AN475" s="4">
        <v>0</v>
      </c>
      <c r="AO475" s="4">
        <v>0</v>
      </c>
      <c r="AP475" s="3" t="s">
        <v>58</v>
      </c>
      <c r="AQ475" s="3" t="s">
        <v>86</v>
      </c>
      <c r="AR475" s="6" t="str">
        <f>HYPERLINK("http://catalog.hathitrust.org/Record/000143092","HathiTrust Record")</f>
        <v>HathiTrust Record</v>
      </c>
      <c r="AS475" s="6" t="str">
        <f>HYPERLINK("https://creighton-primo.hosted.exlibrisgroup.com/primo-explore/search?tab=default_tab&amp;search_scope=EVERYTHING&amp;vid=01CRU&amp;lang=en_US&amp;offset=0&amp;query=any,contains,991004254749702656","Catalog Record")</f>
        <v>Catalog Record</v>
      </c>
      <c r="AT475" s="6" t="str">
        <f>HYPERLINK("http://www.worldcat.org/oclc/2818933","WorldCat Record")</f>
        <v>WorldCat Record</v>
      </c>
      <c r="AU475" s="3" t="s">
        <v>6293</v>
      </c>
      <c r="AV475" s="3" t="s">
        <v>6294</v>
      </c>
      <c r="AW475" s="3" t="s">
        <v>6295</v>
      </c>
      <c r="AX475" s="3" t="s">
        <v>6295</v>
      </c>
      <c r="AY475" s="3" t="s">
        <v>6296</v>
      </c>
      <c r="AZ475" s="3" t="s">
        <v>74</v>
      </c>
      <c r="BB475" s="3" t="s">
        <v>6297</v>
      </c>
      <c r="BC475" s="3" t="s">
        <v>6298</v>
      </c>
      <c r="BD475" s="3" t="s">
        <v>6299</v>
      </c>
    </row>
    <row r="476" spans="1:56" ht="42.75" customHeight="1" x14ac:dyDescent="0.25">
      <c r="A476" s="7" t="s">
        <v>58</v>
      </c>
      <c r="B476" s="2" t="s">
        <v>6300</v>
      </c>
      <c r="C476" s="2" t="s">
        <v>6301</v>
      </c>
      <c r="D476" s="2" t="s">
        <v>6302</v>
      </c>
      <c r="F476" s="3" t="s">
        <v>58</v>
      </c>
      <c r="G476" s="3" t="s">
        <v>59</v>
      </c>
      <c r="H476" s="3" t="s">
        <v>58</v>
      </c>
      <c r="I476" s="3" t="s">
        <v>58</v>
      </c>
      <c r="J476" s="3" t="s">
        <v>60</v>
      </c>
      <c r="K476" s="2" t="s">
        <v>6303</v>
      </c>
      <c r="L476" s="2" t="s">
        <v>6304</v>
      </c>
      <c r="M476" s="3" t="s">
        <v>3215</v>
      </c>
      <c r="O476" s="3" t="s">
        <v>64</v>
      </c>
      <c r="P476" s="3" t="s">
        <v>115</v>
      </c>
      <c r="R476" s="3" t="s">
        <v>67</v>
      </c>
      <c r="S476" s="4">
        <v>0</v>
      </c>
      <c r="T476" s="4">
        <v>0</v>
      </c>
      <c r="U476" s="5" t="s">
        <v>6305</v>
      </c>
      <c r="V476" s="5" t="s">
        <v>6305</v>
      </c>
      <c r="W476" s="5" t="s">
        <v>3917</v>
      </c>
      <c r="X476" s="5" t="s">
        <v>3917</v>
      </c>
      <c r="Y476" s="4">
        <v>549</v>
      </c>
      <c r="Z476" s="4">
        <v>404</v>
      </c>
      <c r="AA476" s="4">
        <v>416</v>
      </c>
      <c r="AB476" s="4">
        <v>4</v>
      </c>
      <c r="AC476" s="4">
        <v>4</v>
      </c>
      <c r="AD476" s="4">
        <v>20</v>
      </c>
      <c r="AE476" s="4">
        <v>20</v>
      </c>
      <c r="AF476" s="4">
        <v>7</v>
      </c>
      <c r="AG476" s="4">
        <v>7</v>
      </c>
      <c r="AH476" s="4">
        <v>4</v>
      </c>
      <c r="AI476" s="4">
        <v>4</v>
      </c>
      <c r="AJ476" s="4">
        <v>11</v>
      </c>
      <c r="AK476" s="4">
        <v>11</v>
      </c>
      <c r="AL476" s="4">
        <v>3</v>
      </c>
      <c r="AM476" s="4">
        <v>3</v>
      </c>
      <c r="AN476" s="4">
        <v>0</v>
      </c>
      <c r="AO476" s="4">
        <v>0</v>
      </c>
      <c r="AP476" s="3" t="s">
        <v>58</v>
      </c>
      <c r="AQ476" s="3" t="s">
        <v>86</v>
      </c>
      <c r="AR476" s="6" t="str">
        <f>HYPERLINK("http://catalog.hathitrust.org/Record/001563875","HathiTrust Record")</f>
        <v>HathiTrust Record</v>
      </c>
      <c r="AS476" s="6" t="str">
        <f>HYPERLINK("https://creighton-primo.hosted.exlibrisgroup.com/primo-explore/search?tab=default_tab&amp;search_scope=EVERYTHING&amp;vid=01CRU&amp;lang=en_US&amp;offset=0&amp;query=any,contains,991001916219702656","Catalog Record")</f>
        <v>Catalog Record</v>
      </c>
      <c r="AT476" s="6" t="str">
        <f>HYPERLINK("http://www.worldcat.org/oclc/243718","WorldCat Record")</f>
        <v>WorldCat Record</v>
      </c>
      <c r="AU476" s="3" t="s">
        <v>6306</v>
      </c>
      <c r="AV476" s="3" t="s">
        <v>6307</v>
      </c>
      <c r="AW476" s="3" t="s">
        <v>6308</v>
      </c>
      <c r="AX476" s="3" t="s">
        <v>6308</v>
      </c>
      <c r="AY476" s="3" t="s">
        <v>6309</v>
      </c>
      <c r="AZ476" s="3" t="s">
        <v>74</v>
      </c>
      <c r="BC476" s="3" t="s">
        <v>6310</v>
      </c>
      <c r="BD476" s="3" t="s">
        <v>6311</v>
      </c>
    </row>
    <row r="477" spans="1:56" ht="42.75" customHeight="1" x14ac:dyDescent="0.25">
      <c r="A477" s="7" t="s">
        <v>58</v>
      </c>
      <c r="B477" s="2" t="s">
        <v>6312</v>
      </c>
      <c r="C477" s="2" t="s">
        <v>6313</v>
      </c>
      <c r="D477" s="2" t="s">
        <v>6314</v>
      </c>
      <c r="F477" s="3" t="s">
        <v>58</v>
      </c>
      <c r="G477" s="3" t="s">
        <v>59</v>
      </c>
      <c r="H477" s="3" t="s">
        <v>58</v>
      </c>
      <c r="I477" s="3" t="s">
        <v>58</v>
      </c>
      <c r="J477" s="3" t="s">
        <v>60</v>
      </c>
      <c r="K477" s="2" t="s">
        <v>6315</v>
      </c>
      <c r="L477" s="2" t="s">
        <v>6316</v>
      </c>
      <c r="M477" s="3" t="s">
        <v>2853</v>
      </c>
      <c r="O477" s="3" t="s">
        <v>64</v>
      </c>
      <c r="P477" s="3" t="s">
        <v>208</v>
      </c>
      <c r="R477" s="3" t="s">
        <v>67</v>
      </c>
      <c r="S477" s="4">
        <v>5</v>
      </c>
      <c r="T477" s="4">
        <v>5</v>
      </c>
      <c r="U477" s="5" t="s">
        <v>6317</v>
      </c>
      <c r="V477" s="5" t="s">
        <v>6317</v>
      </c>
      <c r="W477" s="5" t="s">
        <v>3917</v>
      </c>
      <c r="X477" s="5" t="s">
        <v>3917</v>
      </c>
      <c r="Y477" s="4">
        <v>710</v>
      </c>
      <c r="Z477" s="4">
        <v>580</v>
      </c>
      <c r="AA477" s="4">
        <v>701</v>
      </c>
      <c r="AB477" s="4">
        <v>5</v>
      </c>
      <c r="AC477" s="4">
        <v>5</v>
      </c>
      <c r="AD477" s="4">
        <v>25</v>
      </c>
      <c r="AE477" s="4">
        <v>30</v>
      </c>
      <c r="AF477" s="4">
        <v>10</v>
      </c>
      <c r="AG477" s="4">
        <v>12</v>
      </c>
      <c r="AH477" s="4">
        <v>5</v>
      </c>
      <c r="AI477" s="4">
        <v>6</v>
      </c>
      <c r="AJ477" s="4">
        <v>14</v>
      </c>
      <c r="AK477" s="4">
        <v>16</v>
      </c>
      <c r="AL477" s="4">
        <v>3</v>
      </c>
      <c r="AM477" s="4">
        <v>3</v>
      </c>
      <c r="AN477" s="4">
        <v>0</v>
      </c>
      <c r="AO477" s="4">
        <v>0</v>
      </c>
      <c r="AP477" s="3" t="s">
        <v>58</v>
      </c>
      <c r="AQ477" s="3" t="s">
        <v>86</v>
      </c>
      <c r="AR477" s="6" t="str">
        <f>HYPERLINK("http://catalog.hathitrust.org/Record/001578118","HathiTrust Record")</f>
        <v>HathiTrust Record</v>
      </c>
      <c r="AS477" s="6" t="str">
        <f>HYPERLINK("https://creighton-primo.hosted.exlibrisgroup.com/primo-explore/search?tab=default_tab&amp;search_scope=EVERYTHING&amp;vid=01CRU&amp;lang=en_US&amp;offset=0&amp;query=any,contains,991005265229702656","Catalog Record")</f>
        <v>Catalog Record</v>
      </c>
      <c r="AT477" s="6" t="str">
        <f>HYPERLINK("http://www.worldcat.org/oclc/710258","WorldCat Record")</f>
        <v>WorldCat Record</v>
      </c>
      <c r="AU477" s="3" t="s">
        <v>6318</v>
      </c>
      <c r="AV477" s="3" t="s">
        <v>6319</v>
      </c>
      <c r="AW477" s="3" t="s">
        <v>6320</v>
      </c>
      <c r="AX477" s="3" t="s">
        <v>6320</v>
      </c>
      <c r="AY477" s="3" t="s">
        <v>6321</v>
      </c>
      <c r="AZ477" s="3" t="s">
        <v>74</v>
      </c>
      <c r="BC477" s="3" t="s">
        <v>6322</v>
      </c>
      <c r="BD477" s="3" t="s">
        <v>6323</v>
      </c>
    </row>
    <row r="478" spans="1:56" ht="42.75" customHeight="1" x14ac:dyDescent="0.25">
      <c r="A478" s="7" t="s">
        <v>58</v>
      </c>
      <c r="B478" s="2" t="s">
        <v>6324</v>
      </c>
      <c r="C478" s="2" t="s">
        <v>6325</v>
      </c>
      <c r="D478" s="2" t="s">
        <v>6326</v>
      </c>
      <c r="F478" s="3" t="s">
        <v>58</v>
      </c>
      <c r="G478" s="3" t="s">
        <v>59</v>
      </c>
      <c r="H478" s="3" t="s">
        <v>58</v>
      </c>
      <c r="I478" s="3" t="s">
        <v>58</v>
      </c>
      <c r="J478" s="3" t="s">
        <v>60</v>
      </c>
      <c r="K478" s="2" t="s">
        <v>6327</v>
      </c>
      <c r="L478" s="2" t="s">
        <v>6328</v>
      </c>
      <c r="M478" s="3" t="s">
        <v>3124</v>
      </c>
      <c r="O478" s="3" t="s">
        <v>64</v>
      </c>
      <c r="P478" s="3" t="s">
        <v>115</v>
      </c>
      <c r="R478" s="3" t="s">
        <v>67</v>
      </c>
      <c r="S478" s="4">
        <v>8</v>
      </c>
      <c r="T478" s="4">
        <v>8</v>
      </c>
      <c r="U478" s="5" t="s">
        <v>6329</v>
      </c>
      <c r="V478" s="5" t="s">
        <v>6329</v>
      </c>
      <c r="W478" s="5" t="s">
        <v>4984</v>
      </c>
      <c r="X478" s="5" t="s">
        <v>4984</v>
      </c>
      <c r="Y478" s="4">
        <v>541</v>
      </c>
      <c r="Z478" s="4">
        <v>405</v>
      </c>
      <c r="AA478" s="4">
        <v>409</v>
      </c>
      <c r="AB478" s="4">
        <v>5</v>
      </c>
      <c r="AC478" s="4">
        <v>5</v>
      </c>
      <c r="AD478" s="4">
        <v>23</v>
      </c>
      <c r="AE478" s="4">
        <v>23</v>
      </c>
      <c r="AF478" s="4">
        <v>8</v>
      </c>
      <c r="AG478" s="4">
        <v>8</v>
      </c>
      <c r="AH478" s="4">
        <v>4</v>
      </c>
      <c r="AI478" s="4">
        <v>4</v>
      </c>
      <c r="AJ478" s="4">
        <v>13</v>
      </c>
      <c r="AK478" s="4">
        <v>13</v>
      </c>
      <c r="AL478" s="4">
        <v>4</v>
      </c>
      <c r="AM478" s="4">
        <v>4</v>
      </c>
      <c r="AN478" s="4">
        <v>0</v>
      </c>
      <c r="AO478" s="4">
        <v>0</v>
      </c>
      <c r="AP478" s="3" t="s">
        <v>58</v>
      </c>
      <c r="AQ478" s="3" t="s">
        <v>86</v>
      </c>
      <c r="AR478" s="6" t="str">
        <f>HYPERLINK("http://catalog.hathitrust.org/Record/001563885","HathiTrust Record")</f>
        <v>HathiTrust Record</v>
      </c>
      <c r="AS478" s="6" t="str">
        <f>HYPERLINK("https://creighton-primo.hosted.exlibrisgroup.com/primo-explore/search?tab=default_tab&amp;search_scope=EVERYTHING&amp;vid=01CRU&amp;lang=en_US&amp;offset=0&amp;query=any,contains,991000122379702656","Catalog Record")</f>
        <v>Catalog Record</v>
      </c>
      <c r="AT478" s="6" t="str">
        <f>HYPERLINK("http://www.worldcat.org/oclc/50653","WorldCat Record")</f>
        <v>WorldCat Record</v>
      </c>
      <c r="AU478" s="3" t="s">
        <v>6330</v>
      </c>
      <c r="AV478" s="3" t="s">
        <v>6331</v>
      </c>
      <c r="AW478" s="3" t="s">
        <v>6332</v>
      </c>
      <c r="AX478" s="3" t="s">
        <v>6332</v>
      </c>
      <c r="AY478" s="3" t="s">
        <v>6333</v>
      </c>
      <c r="AZ478" s="3" t="s">
        <v>74</v>
      </c>
      <c r="BB478" s="3" t="s">
        <v>6334</v>
      </c>
      <c r="BC478" s="3" t="s">
        <v>6335</v>
      </c>
      <c r="BD478" s="3" t="s">
        <v>6336</v>
      </c>
    </row>
    <row r="479" spans="1:56" ht="42.75" customHeight="1" x14ac:dyDescent="0.25">
      <c r="A479" s="7" t="s">
        <v>58</v>
      </c>
      <c r="B479" s="2" t="s">
        <v>6337</v>
      </c>
      <c r="C479" s="2" t="s">
        <v>6338</v>
      </c>
      <c r="D479" s="2" t="s">
        <v>6339</v>
      </c>
      <c r="F479" s="3" t="s">
        <v>58</v>
      </c>
      <c r="G479" s="3" t="s">
        <v>59</v>
      </c>
      <c r="H479" s="3" t="s">
        <v>58</v>
      </c>
      <c r="I479" s="3" t="s">
        <v>58</v>
      </c>
      <c r="J479" s="3" t="s">
        <v>60</v>
      </c>
      <c r="L479" s="2" t="s">
        <v>6340</v>
      </c>
      <c r="M479" s="3" t="s">
        <v>1404</v>
      </c>
      <c r="O479" s="3" t="s">
        <v>64</v>
      </c>
      <c r="P479" s="3" t="s">
        <v>178</v>
      </c>
      <c r="R479" s="3" t="s">
        <v>67</v>
      </c>
      <c r="S479" s="4">
        <v>1</v>
      </c>
      <c r="T479" s="4">
        <v>1</v>
      </c>
      <c r="U479" s="5" t="s">
        <v>6341</v>
      </c>
      <c r="V479" s="5" t="s">
        <v>6341</v>
      </c>
      <c r="W479" s="5" t="s">
        <v>6341</v>
      </c>
      <c r="X479" s="5" t="s">
        <v>6341</v>
      </c>
      <c r="Y479" s="4">
        <v>34</v>
      </c>
      <c r="Z479" s="4">
        <v>34</v>
      </c>
      <c r="AA479" s="4">
        <v>39</v>
      </c>
      <c r="AB479" s="4">
        <v>1</v>
      </c>
      <c r="AC479" s="4">
        <v>1</v>
      </c>
      <c r="AD479" s="4">
        <v>0</v>
      </c>
      <c r="AE479" s="4">
        <v>0</v>
      </c>
      <c r="AF479" s="4">
        <v>0</v>
      </c>
      <c r="AG479" s="4">
        <v>0</v>
      </c>
      <c r="AH479" s="4">
        <v>0</v>
      </c>
      <c r="AI479" s="4">
        <v>0</v>
      </c>
      <c r="AJ479" s="4">
        <v>0</v>
      </c>
      <c r="AK479" s="4">
        <v>0</v>
      </c>
      <c r="AL479" s="4">
        <v>0</v>
      </c>
      <c r="AM479" s="4">
        <v>0</v>
      </c>
      <c r="AN479" s="4">
        <v>0</v>
      </c>
      <c r="AO479" s="4">
        <v>0</v>
      </c>
      <c r="AP479" s="3" t="s">
        <v>58</v>
      </c>
      <c r="AQ479" s="3" t="s">
        <v>58</v>
      </c>
      <c r="AS479" s="6" t="str">
        <f>HYPERLINK("https://creighton-primo.hosted.exlibrisgroup.com/primo-explore/search?tab=default_tab&amp;search_scope=EVERYTHING&amp;vid=01CRU&amp;lang=en_US&amp;offset=0&amp;query=any,contains,991005327699702656","Catalog Record")</f>
        <v>Catalog Record</v>
      </c>
      <c r="AT479" s="6" t="str">
        <f>HYPERLINK("http://www.worldcat.org/oclc/426917887","WorldCat Record")</f>
        <v>WorldCat Record</v>
      </c>
      <c r="AU479" s="3" t="s">
        <v>6342</v>
      </c>
      <c r="AV479" s="3" t="s">
        <v>6343</v>
      </c>
      <c r="AW479" s="3" t="s">
        <v>6344</v>
      </c>
      <c r="AX479" s="3" t="s">
        <v>6344</v>
      </c>
      <c r="AY479" s="3" t="s">
        <v>6345</v>
      </c>
      <c r="AZ479" s="3" t="s">
        <v>74</v>
      </c>
      <c r="BB479" s="3" t="s">
        <v>6346</v>
      </c>
      <c r="BC479" s="3" t="s">
        <v>6347</v>
      </c>
      <c r="BD479" s="3" t="s">
        <v>6348</v>
      </c>
    </row>
    <row r="480" spans="1:56" ht="42.75" customHeight="1" x14ac:dyDescent="0.25">
      <c r="A480" s="7" t="s">
        <v>58</v>
      </c>
      <c r="B480" s="2" t="s">
        <v>6349</v>
      </c>
      <c r="C480" s="2" t="s">
        <v>6350</v>
      </c>
      <c r="D480" s="2" t="s">
        <v>6351</v>
      </c>
      <c r="F480" s="3" t="s">
        <v>58</v>
      </c>
      <c r="G480" s="3" t="s">
        <v>59</v>
      </c>
      <c r="H480" s="3" t="s">
        <v>58</v>
      </c>
      <c r="I480" s="3" t="s">
        <v>58</v>
      </c>
      <c r="J480" s="3" t="s">
        <v>60</v>
      </c>
      <c r="K480" s="2" t="s">
        <v>6352</v>
      </c>
      <c r="L480" s="2" t="s">
        <v>6353</v>
      </c>
      <c r="M480" s="3" t="s">
        <v>3914</v>
      </c>
      <c r="N480" s="2" t="s">
        <v>315</v>
      </c>
      <c r="O480" s="3" t="s">
        <v>64</v>
      </c>
      <c r="P480" s="3" t="s">
        <v>115</v>
      </c>
      <c r="Q480" s="2" t="s">
        <v>6354</v>
      </c>
      <c r="R480" s="3" t="s">
        <v>67</v>
      </c>
      <c r="S480" s="4">
        <v>1</v>
      </c>
      <c r="T480" s="4">
        <v>1</v>
      </c>
      <c r="U480" s="5" t="s">
        <v>6355</v>
      </c>
      <c r="V480" s="5" t="s">
        <v>6355</v>
      </c>
      <c r="W480" s="5" t="s">
        <v>6356</v>
      </c>
      <c r="X480" s="5" t="s">
        <v>6356</v>
      </c>
      <c r="Y480" s="4">
        <v>153</v>
      </c>
      <c r="Z480" s="4">
        <v>130</v>
      </c>
      <c r="AA480" s="4">
        <v>264</v>
      </c>
      <c r="AB480" s="4">
        <v>3</v>
      </c>
      <c r="AC480" s="4">
        <v>5</v>
      </c>
      <c r="AD480" s="4">
        <v>5</v>
      </c>
      <c r="AE480" s="4">
        <v>12</v>
      </c>
      <c r="AF480" s="4">
        <v>1</v>
      </c>
      <c r="AG480" s="4">
        <v>3</v>
      </c>
      <c r="AH480" s="4">
        <v>1</v>
      </c>
      <c r="AI480" s="4">
        <v>2</v>
      </c>
      <c r="AJ480" s="4">
        <v>3</v>
      </c>
      <c r="AK480" s="4">
        <v>6</v>
      </c>
      <c r="AL480" s="4">
        <v>1</v>
      </c>
      <c r="AM480" s="4">
        <v>3</v>
      </c>
      <c r="AN480" s="4">
        <v>0</v>
      </c>
      <c r="AO480" s="4">
        <v>0</v>
      </c>
      <c r="AP480" s="3" t="s">
        <v>58</v>
      </c>
      <c r="AQ480" s="3" t="s">
        <v>86</v>
      </c>
      <c r="AR480" s="6" t="str">
        <f>HYPERLINK("http://catalog.hathitrust.org/Record/000729710","HathiTrust Record")</f>
        <v>HathiTrust Record</v>
      </c>
      <c r="AS480" s="6" t="str">
        <f>HYPERLINK("https://creighton-primo.hosted.exlibrisgroup.com/primo-explore/search?tab=default_tab&amp;search_scope=EVERYTHING&amp;vid=01CRU&amp;lang=en_US&amp;offset=0&amp;query=any,contains,991005265239702656","Catalog Record")</f>
        <v>Catalog Record</v>
      </c>
      <c r="AT480" s="6" t="str">
        <f>HYPERLINK("http://www.worldcat.org/oclc/2541449","WorldCat Record")</f>
        <v>WorldCat Record</v>
      </c>
      <c r="AU480" s="3" t="s">
        <v>6357</v>
      </c>
      <c r="AV480" s="3" t="s">
        <v>6358</v>
      </c>
      <c r="AW480" s="3" t="s">
        <v>6359</v>
      </c>
      <c r="AX480" s="3" t="s">
        <v>6359</v>
      </c>
      <c r="AY480" s="3" t="s">
        <v>6360</v>
      </c>
      <c r="AZ480" s="3" t="s">
        <v>74</v>
      </c>
      <c r="BB480" s="3" t="s">
        <v>6361</v>
      </c>
      <c r="BC480" s="3" t="s">
        <v>6362</v>
      </c>
      <c r="BD480" s="3" t="s">
        <v>6363</v>
      </c>
    </row>
    <row r="481" spans="1:56" ht="42.75" customHeight="1" x14ac:dyDescent="0.25">
      <c r="A481" s="7" t="s">
        <v>58</v>
      </c>
      <c r="B481" s="2" t="s">
        <v>6364</v>
      </c>
      <c r="C481" s="2" t="s">
        <v>6365</v>
      </c>
      <c r="D481" s="2" t="s">
        <v>6366</v>
      </c>
      <c r="F481" s="3" t="s">
        <v>58</v>
      </c>
      <c r="G481" s="3" t="s">
        <v>59</v>
      </c>
      <c r="H481" s="3" t="s">
        <v>58</v>
      </c>
      <c r="I481" s="3" t="s">
        <v>58</v>
      </c>
      <c r="J481" s="3" t="s">
        <v>60</v>
      </c>
      <c r="K481" s="2" t="s">
        <v>6367</v>
      </c>
      <c r="L481" s="2" t="s">
        <v>6368</v>
      </c>
      <c r="M481" s="3" t="s">
        <v>4218</v>
      </c>
      <c r="N481" s="2" t="s">
        <v>6369</v>
      </c>
      <c r="O481" s="3" t="s">
        <v>64</v>
      </c>
      <c r="P481" s="3" t="s">
        <v>115</v>
      </c>
      <c r="R481" s="3" t="s">
        <v>67</v>
      </c>
      <c r="S481" s="4">
        <v>6</v>
      </c>
      <c r="T481" s="4">
        <v>6</v>
      </c>
      <c r="U481" s="5" t="s">
        <v>6370</v>
      </c>
      <c r="V481" s="5" t="s">
        <v>6370</v>
      </c>
      <c r="W481" s="5" t="s">
        <v>4221</v>
      </c>
      <c r="X481" s="5" t="s">
        <v>4221</v>
      </c>
      <c r="Y481" s="4">
        <v>266</v>
      </c>
      <c r="Z481" s="4">
        <v>248</v>
      </c>
      <c r="AA481" s="4">
        <v>362</v>
      </c>
      <c r="AB481" s="4">
        <v>2</v>
      </c>
      <c r="AC481" s="4">
        <v>3</v>
      </c>
      <c r="AD481" s="4">
        <v>8</v>
      </c>
      <c r="AE481" s="4">
        <v>14</v>
      </c>
      <c r="AF481" s="4">
        <v>2</v>
      </c>
      <c r="AG481" s="4">
        <v>2</v>
      </c>
      <c r="AH481" s="4">
        <v>1</v>
      </c>
      <c r="AI481" s="4">
        <v>3</v>
      </c>
      <c r="AJ481" s="4">
        <v>5</v>
      </c>
      <c r="AK481" s="4">
        <v>8</v>
      </c>
      <c r="AL481" s="4">
        <v>1</v>
      </c>
      <c r="AM481" s="4">
        <v>2</v>
      </c>
      <c r="AN481" s="4">
        <v>0</v>
      </c>
      <c r="AO481" s="4">
        <v>0</v>
      </c>
      <c r="AP481" s="3" t="s">
        <v>58</v>
      </c>
      <c r="AQ481" s="3" t="s">
        <v>58</v>
      </c>
      <c r="AS481" s="6" t="str">
        <f>HYPERLINK("https://creighton-primo.hosted.exlibrisgroup.com/primo-explore/search?tab=default_tab&amp;search_scope=EVERYTHING&amp;vid=01CRU&amp;lang=en_US&amp;offset=0&amp;query=any,contains,991002745239702656","Catalog Record")</f>
        <v>Catalog Record</v>
      </c>
      <c r="AT481" s="6" t="str">
        <f>HYPERLINK("http://www.worldcat.org/oclc/422575","WorldCat Record")</f>
        <v>WorldCat Record</v>
      </c>
      <c r="AU481" s="3" t="s">
        <v>6371</v>
      </c>
      <c r="AV481" s="3" t="s">
        <v>6372</v>
      </c>
      <c r="AW481" s="3" t="s">
        <v>6373</v>
      </c>
      <c r="AX481" s="3" t="s">
        <v>6373</v>
      </c>
      <c r="AY481" s="3" t="s">
        <v>6374</v>
      </c>
      <c r="AZ481" s="3" t="s">
        <v>74</v>
      </c>
      <c r="BC481" s="3" t="s">
        <v>6375</v>
      </c>
      <c r="BD481" s="3" t="s">
        <v>6376</v>
      </c>
    </row>
    <row r="482" spans="1:56" ht="42.75" customHeight="1" x14ac:dyDescent="0.25">
      <c r="A482" s="7" t="s">
        <v>58</v>
      </c>
      <c r="B482" s="2" t="s">
        <v>6377</v>
      </c>
      <c r="C482" s="2" t="s">
        <v>6378</v>
      </c>
      <c r="D482" s="2" t="s">
        <v>6379</v>
      </c>
      <c r="F482" s="3" t="s">
        <v>58</v>
      </c>
      <c r="G482" s="3" t="s">
        <v>59</v>
      </c>
      <c r="H482" s="3" t="s">
        <v>58</v>
      </c>
      <c r="I482" s="3" t="s">
        <v>58</v>
      </c>
      <c r="J482" s="3" t="s">
        <v>60</v>
      </c>
      <c r="K482" s="2" t="s">
        <v>6380</v>
      </c>
      <c r="L482" s="2" t="s">
        <v>6381</v>
      </c>
      <c r="M482" s="3" t="s">
        <v>3914</v>
      </c>
      <c r="N482" s="2" t="s">
        <v>4027</v>
      </c>
      <c r="O482" s="3" t="s">
        <v>64</v>
      </c>
      <c r="P482" s="3" t="s">
        <v>359</v>
      </c>
      <c r="R482" s="3" t="s">
        <v>67</v>
      </c>
      <c r="S482" s="4">
        <v>8</v>
      </c>
      <c r="T482" s="4">
        <v>8</v>
      </c>
      <c r="U482" s="5" t="s">
        <v>6382</v>
      </c>
      <c r="V482" s="5" t="s">
        <v>6382</v>
      </c>
      <c r="W482" s="5" t="s">
        <v>4221</v>
      </c>
      <c r="X482" s="5" t="s">
        <v>4221</v>
      </c>
      <c r="Y482" s="4">
        <v>262</v>
      </c>
      <c r="Z482" s="4">
        <v>199</v>
      </c>
      <c r="AA482" s="4">
        <v>343</v>
      </c>
      <c r="AB482" s="4">
        <v>2</v>
      </c>
      <c r="AC482" s="4">
        <v>3</v>
      </c>
      <c r="AD482" s="4">
        <v>1</v>
      </c>
      <c r="AE482" s="4">
        <v>7</v>
      </c>
      <c r="AF482" s="4">
        <v>0</v>
      </c>
      <c r="AG482" s="4">
        <v>1</v>
      </c>
      <c r="AH482" s="4">
        <v>0</v>
      </c>
      <c r="AI482" s="4">
        <v>0</v>
      </c>
      <c r="AJ482" s="4">
        <v>1</v>
      </c>
      <c r="AK482" s="4">
        <v>6</v>
      </c>
      <c r="AL482" s="4">
        <v>0</v>
      </c>
      <c r="AM482" s="4">
        <v>1</v>
      </c>
      <c r="AN482" s="4">
        <v>0</v>
      </c>
      <c r="AO482" s="4">
        <v>0</v>
      </c>
      <c r="AP482" s="3" t="s">
        <v>58</v>
      </c>
      <c r="AQ482" s="3" t="s">
        <v>86</v>
      </c>
      <c r="AR482" s="6" t="str">
        <f>HYPERLINK("http://catalog.hathitrust.org/Record/000086852","HathiTrust Record")</f>
        <v>HathiTrust Record</v>
      </c>
      <c r="AS482" s="6" t="str">
        <f>HYPERLINK("https://creighton-primo.hosted.exlibrisgroup.com/primo-explore/search?tab=default_tab&amp;search_scope=EVERYTHING&amp;vid=01CRU&amp;lang=en_US&amp;offset=0&amp;query=any,contains,991004178539702656","Catalog Record")</f>
        <v>Catalog Record</v>
      </c>
      <c r="AT482" s="6" t="str">
        <f>HYPERLINK("http://www.worldcat.org/oclc/2598449","WorldCat Record")</f>
        <v>WorldCat Record</v>
      </c>
      <c r="AU482" s="3" t="s">
        <v>6383</v>
      </c>
      <c r="AV482" s="3" t="s">
        <v>6384</v>
      </c>
      <c r="AW482" s="3" t="s">
        <v>6385</v>
      </c>
      <c r="AX482" s="3" t="s">
        <v>6385</v>
      </c>
      <c r="AY482" s="3" t="s">
        <v>6386</v>
      </c>
      <c r="AZ482" s="3" t="s">
        <v>74</v>
      </c>
      <c r="BB482" s="3" t="s">
        <v>6387</v>
      </c>
      <c r="BC482" s="3" t="s">
        <v>6388</v>
      </c>
      <c r="BD482" s="3" t="s">
        <v>6389</v>
      </c>
    </row>
    <row r="483" spans="1:56" ht="42.75" customHeight="1" x14ac:dyDescent="0.25">
      <c r="A483" s="7" t="s">
        <v>58</v>
      </c>
      <c r="B483" s="2" t="s">
        <v>6390</v>
      </c>
      <c r="C483" s="2" t="s">
        <v>6391</v>
      </c>
      <c r="D483" s="2" t="s">
        <v>6392</v>
      </c>
      <c r="E483" s="3" t="s">
        <v>2397</v>
      </c>
      <c r="F483" s="3" t="s">
        <v>58</v>
      </c>
      <c r="G483" s="3" t="s">
        <v>59</v>
      </c>
      <c r="H483" s="3" t="s">
        <v>86</v>
      </c>
      <c r="I483" s="3" t="s">
        <v>58</v>
      </c>
      <c r="J483" s="3" t="s">
        <v>60</v>
      </c>
      <c r="L483" s="2" t="s">
        <v>6393</v>
      </c>
      <c r="M483" s="3" t="s">
        <v>1574</v>
      </c>
      <c r="O483" s="3" t="s">
        <v>64</v>
      </c>
      <c r="P483" s="3" t="s">
        <v>1898</v>
      </c>
      <c r="Q483" s="2" t="s">
        <v>6394</v>
      </c>
      <c r="R483" s="3" t="s">
        <v>67</v>
      </c>
      <c r="S483" s="4">
        <v>1</v>
      </c>
      <c r="T483" s="4">
        <v>1</v>
      </c>
      <c r="U483" s="5" t="s">
        <v>6395</v>
      </c>
      <c r="V483" s="5" t="s">
        <v>6395</v>
      </c>
      <c r="W483" s="5" t="s">
        <v>4999</v>
      </c>
      <c r="X483" s="5" t="s">
        <v>4999</v>
      </c>
      <c r="Y483" s="4">
        <v>347</v>
      </c>
      <c r="Z483" s="4">
        <v>295</v>
      </c>
      <c r="AA483" s="4">
        <v>296</v>
      </c>
      <c r="AB483" s="4">
        <v>3</v>
      </c>
      <c r="AC483" s="4">
        <v>3</v>
      </c>
      <c r="AD483" s="4">
        <v>13</v>
      </c>
      <c r="AE483" s="4">
        <v>13</v>
      </c>
      <c r="AF483" s="4">
        <v>3</v>
      </c>
      <c r="AG483" s="4">
        <v>3</v>
      </c>
      <c r="AH483" s="4">
        <v>4</v>
      </c>
      <c r="AI483" s="4">
        <v>4</v>
      </c>
      <c r="AJ483" s="4">
        <v>9</v>
      </c>
      <c r="AK483" s="4">
        <v>9</v>
      </c>
      <c r="AL483" s="4">
        <v>1</v>
      </c>
      <c r="AM483" s="4">
        <v>1</v>
      </c>
      <c r="AN483" s="4">
        <v>0</v>
      </c>
      <c r="AO483" s="4">
        <v>0</v>
      </c>
      <c r="AP483" s="3" t="s">
        <v>58</v>
      </c>
      <c r="AQ483" s="3" t="s">
        <v>86</v>
      </c>
      <c r="AR483" s="6" t="str">
        <f>HYPERLINK("http://catalog.hathitrust.org/Record/009918642","HathiTrust Record")</f>
        <v>HathiTrust Record</v>
      </c>
      <c r="AS483" s="6" t="str">
        <f>HYPERLINK("https://creighton-primo.hosted.exlibrisgroup.com/primo-explore/search?tab=default_tab&amp;search_scope=EVERYTHING&amp;vid=01CRU&amp;lang=en_US&amp;offset=0&amp;query=any,contains,991005213839702656","Catalog Record")</f>
        <v>Catalog Record</v>
      </c>
      <c r="AT483" s="6" t="str">
        <f>HYPERLINK("http://www.worldcat.org/oclc/8171554","WorldCat Record")</f>
        <v>WorldCat Record</v>
      </c>
      <c r="AU483" s="3" t="s">
        <v>6396</v>
      </c>
      <c r="AV483" s="3" t="s">
        <v>6397</v>
      </c>
      <c r="AW483" s="3" t="s">
        <v>6398</v>
      </c>
      <c r="AX483" s="3" t="s">
        <v>6398</v>
      </c>
      <c r="AY483" s="3" t="s">
        <v>6399</v>
      </c>
      <c r="AZ483" s="3" t="s">
        <v>74</v>
      </c>
      <c r="BB483" s="3" t="s">
        <v>6400</v>
      </c>
      <c r="BC483" s="3" t="s">
        <v>6401</v>
      </c>
      <c r="BD483" s="3" t="s">
        <v>6402</v>
      </c>
    </row>
    <row r="484" spans="1:56" ht="42.75" customHeight="1" x14ac:dyDescent="0.25">
      <c r="A484" s="7" t="s">
        <v>58</v>
      </c>
      <c r="B484" s="2" t="s">
        <v>6403</v>
      </c>
      <c r="C484" s="2" t="s">
        <v>6404</v>
      </c>
      <c r="D484" s="2" t="s">
        <v>6405</v>
      </c>
      <c r="E484" s="3" t="s">
        <v>3494</v>
      </c>
      <c r="F484" s="3" t="s">
        <v>58</v>
      </c>
      <c r="G484" s="3" t="s">
        <v>59</v>
      </c>
      <c r="H484" s="3" t="s">
        <v>86</v>
      </c>
      <c r="I484" s="3" t="s">
        <v>58</v>
      </c>
      <c r="J484" s="3" t="s">
        <v>60</v>
      </c>
      <c r="L484" s="2" t="s">
        <v>6393</v>
      </c>
      <c r="M484" s="3" t="s">
        <v>1574</v>
      </c>
      <c r="O484" s="3" t="s">
        <v>64</v>
      </c>
      <c r="P484" s="3" t="s">
        <v>1898</v>
      </c>
      <c r="Q484" s="2" t="s">
        <v>6406</v>
      </c>
      <c r="R484" s="3" t="s">
        <v>67</v>
      </c>
      <c r="S484" s="4">
        <v>1</v>
      </c>
      <c r="T484" s="4">
        <v>1</v>
      </c>
      <c r="U484" s="5" t="s">
        <v>6395</v>
      </c>
      <c r="V484" s="5" t="s">
        <v>6395</v>
      </c>
      <c r="W484" s="5" t="s">
        <v>4999</v>
      </c>
      <c r="X484" s="5" t="s">
        <v>4999</v>
      </c>
      <c r="Y484" s="4">
        <v>287</v>
      </c>
      <c r="Z484" s="4">
        <v>235</v>
      </c>
      <c r="AA484" s="4">
        <v>258</v>
      </c>
      <c r="AB484" s="4">
        <v>2</v>
      </c>
      <c r="AC484" s="4">
        <v>2</v>
      </c>
      <c r="AD484" s="4">
        <v>15</v>
      </c>
      <c r="AE484" s="4">
        <v>15</v>
      </c>
      <c r="AF484" s="4">
        <v>6</v>
      </c>
      <c r="AG484" s="4">
        <v>6</v>
      </c>
      <c r="AH484" s="4">
        <v>3</v>
      </c>
      <c r="AI484" s="4">
        <v>3</v>
      </c>
      <c r="AJ484" s="4">
        <v>10</v>
      </c>
      <c r="AK484" s="4">
        <v>10</v>
      </c>
      <c r="AL484" s="4">
        <v>0</v>
      </c>
      <c r="AM484" s="4">
        <v>0</v>
      </c>
      <c r="AN484" s="4">
        <v>0</v>
      </c>
      <c r="AO484" s="4">
        <v>0</v>
      </c>
      <c r="AP484" s="3" t="s">
        <v>58</v>
      </c>
      <c r="AQ484" s="3" t="s">
        <v>58</v>
      </c>
      <c r="AS484" s="6" t="str">
        <f>HYPERLINK("https://creighton-primo.hosted.exlibrisgroup.com/primo-explore/search?tab=default_tab&amp;search_scope=EVERYTHING&amp;vid=01CRU&amp;lang=en_US&amp;offset=0&amp;query=any,contains,991000028839702656","Catalog Record")</f>
        <v>Catalog Record</v>
      </c>
      <c r="AT484" s="6" t="str">
        <f>HYPERLINK("http://www.worldcat.org/oclc/8590594","WorldCat Record")</f>
        <v>WorldCat Record</v>
      </c>
      <c r="AU484" s="3" t="s">
        <v>6407</v>
      </c>
      <c r="AV484" s="3" t="s">
        <v>6408</v>
      </c>
      <c r="AW484" s="3" t="s">
        <v>6409</v>
      </c>
      <c r="AX484" s="3" t="s">
        <v>6409</v>
      </c>
      <c r="AY484" s="3" t="s">
        <v>6410</v>
      </c>
      <c r="AZ484" s="3" t="s">
        <v>74</v>
      </c>
      <c r="BB484" s="3" t="s">
        <v>6411</v>
      </c>
      <c r="BC484" s="3" t="s">
        <v>6412</v>
      </c>
      <c r="BD484" s="3" t="s">
        <v>6413</v>
      </c>
    </row>
    <row r="485" spans="1:56" ht="42.75" customHeight="1" x14ac:dyDescent="0.25">
      <c r="A485" s="7" t="s">
        <v>58</v>
      </c>
      <c r="B485" s="2" t="s">
        <v>6414</v>
      </c>
      <c r="C485" s="2" t="s">
        <v>6415</v>
      </c>
      <c r="D485" s="2" t="s">
        <v>6416</v>
      </c>
      <c r="E485" s="3" t="s">
        <v>3491</v>
      </c>
      <c r="F485" s="3" t="s">
        <v>58</v>
      </c>
      <c r="G485" s="3" t="s">
        <v>59</v>
      </c>
      <c r="H485" s="3" t="s">
        <v>86</v>
      </c>
      <c r="I485" s="3" t="s">
        <v>58</v>
      </c>
      <c r="J485" s="3" t="s">
        <v>60</v>
      </c>
      <c r="L485" s="2" t="s">
        <v>6417</v>
      </c>
      <c r="M485" s="3" t="s">
        <v>63</v>
      </c>
      <c r="O485" s="3" t="s">
        <v>64</v>
      </c>
      <c r="P485" s="3" t="s">
        <v>1898</v>
      </c>
      <c r="Q485" s="2" t="s">
        <v>6418</v>
      </c>
      <c r="R485" s="3" t="s">
        <v>67</v>
      </c>
      <c r="S485" s="4">
        <v>1</v>
      </c>
      <c r="T485" s="4">
        <v>1</v>
      </c>
      <c r="U485" s="5" t="s">
        <v>6395</v>
      </c>
      <c r="V485" s="5" t="s">
        <v>6395</v>
      </c>
      <c r="W485" s="5" t="s">
        <v>4999</v>
      </c>
      <c r="X485" s="5" t="s">
        <v>4999</v>
      </c>
      <c r="Y485" s="4">
        <v>226</v>
      </c>
      <c r="Z485" s="4">
        <v>179</v>
      </c>
      <c r="AA485" s="4">
        <v>202</v>
      </c>
      <c r="AB485" s="4">
        <v>2</v>
      </c>
      <c r="AC485" s="4">
        <v>2</v>
      </c>
      <c r="AD485" s="4">
        <v>8</v>
      </c>
      <c r="AE485" s="4">
        <v>8</v>
      </c>
      <c r="AF485" s="4">
        <v>2</v>
      </c>
      <c r="AG485" s="4">
        <v>2</v>
      </c>
      <c r="AH485" s="4">
        <v>1</v>
      </c>
      <c r="AI485" s="4">
        <v>1</v>
      </c>
      <c r="AJ485" s="4">
        <v>6</v>
      </c>
      <c r="AK485" s="4">
        <v>6</v>
      </c>
      <c r="AL485" s="4">
        <v>0</v>
      </c>
      <c r="AM485" s="4">
        <v>0</v>
      </c>
      <c r="AN485" s="4">
        <v>0</v>
      </c>
      <c r="AO485" s="4">
        <v>0</v>
      </c>
      <c r="AP485" s="3" t="s">
        <v>58</v>
      </c>
      <c r="AQ485" s="3" t="s">
        <v>58</v>
      </c>
      <c r="AS485" s="6" t="str">
        <f>HYPERLINK("https://creighton-primo.hosted.exlibrisgroup.com/primo-explore/search?tab=default_tab&amp;search_scope=EVERYTHING&amp;vid=01CRU&amp;lang=en_US&amp;offset=0&amp;query=any,contains,991000158789702656","Catalog Record")</f>
        <v>Catalog Record</v>
      </c>
      <c r="AT485" s="6" t="str">
        <f>HYPERLINK("http://www.worldcat.org/oclc/9255532","WorldCat Record")</f>
        <v>WorldCat Record</v>
      </c>
      <c r="AU485" s="3" t="s">
        <v>6419</v>
      </c>
      <c r="AV485" s="3" t="s">
        <v>6420</v>
      </c>
      <c r="AW485" s="3" t="s">
        <v>6421</v>
      </c>
      <c r="AX485" s="3" t="s">
        <v>6421</v>
      </c>
      <c r="AY485" s="3" t="s">
        <v>6422</v>
      </c>
      <c r="AZ485" s="3" t="s">
        <v>74</v>
      </c>
      <c r="BB485" s="3" t="s">
        <v>6423</v>
      </c>
      <c r="BC485" s="3" t="s">
        <v>6424</v>
      </c>
      <c r="BD485" s="3" t="s">
        <v>6425</v>
      </c>
    </row>
    <row r="486" spans="1:56" ht="42.75" customHeight="1" x14ac:dyDescent="0.25">
      <c r="A486" s="7" t="s">
        <v>58</v>
      </c>
      <c r="B486" s="2" t="s">
        <v>6426</v>
      </c>
      <c r="C486" s="2" t="s">
        <v>6427</v>
      </c>
      <c r="D486" s="2" t="s">
        <v>6428</v>
      </c>
      <c r="E486" s="3" t="s">
        <v>2824</v>
      </c>
      <c r="F486" s="3" t="s">
        <v>58</v>
      </c>
      <c r="G486" s="3" t="s">
        <v>59</v>
      </c>
      <c r="H486" s="3" t="s">
        <v>86</v>
      </c>
      <c r="I486" s="3" t="s">
        <v>58</v>
      </c>
      <c r="J486" s="3" t="s">
        <v>60</v>
      </c>
      <c r="L486" s="2" t="s">
        <v>6429</v>
      </c>
      <c r="M486" s="3" t="s">
        <v>114</v>
      </c>
      <c r="O486" s="3" t="s">
        <v>64</v>
      </c>
      <c r="P486" s="3" t="s">
        <v>1898</v>
      </c>
      <c r="Q486" s="2" t="s">
        <v>6430</v>
      </c>
      <c r="R486" s="3" t="s">
        <v>67</v>
      </c>
      <c r="S486" s="4">
        <v>5</v>
      </c>
      <c r="T486" s="4">
        <v>8</v>
      </c>
      <c r="U486" s="5" t="s">
        <v>6395</v>
      </c>
      <c r="V486" s="5" t="s">
        <v>6395</v>
      </c>
      <c r="W486" s="5" t="s">
        <v>6431</v>
      </c>
      <c r="X486" s="5" t="s">
        <v>6431</v>
      </c>
      <c r="Y486" s="4">
        <v>237</v>
      </c>
      <c r="Z486" s="4">
        <v>193</v>
      </c>
      <c r="AA486" s="4">
        <v>198</v>
      </c>
      <c r="AB486" s="4">
        <v>2</v>
      </c>
      <c r="AC486" s="4">
        <v>2</v>
      </c>
      <c r="AD486" s="4">
        <v>5</v>
      </c>
      <c r="AE486" s="4">
        <v>5</v>
      </c>
      <c r="AF486" s="4">
        <v>0</v>
      </c>
      <c r="AG486" s="4">
        <v>0</v>
      </c>
      <c r="AH486" s="4">
        <v>2</v>
      </c>
      <c r="AI486" s="4">
        <v>2</v>
      </c>
      <c r="AJ486" s="4">
        <v>4</v>
      </c>
      <c r="AK486" s="4">
        <v>4</v>
      </c>
      <c r="AL486" s="4">
        <v>0</v>
      </c>
      <c r="AM486" s="4">
        <v>0</v>
      </c>
      <c r="AN486" s="4">
        <v>0</v>
      </c>
      <c r="AO486" s="4">
        <v>0</v>
      </c>
      <c r="AP486" s="3" t="s">
        <v>58</v>
      </c>
      <c r="AQ486" s="3" t="s">
        <v>58</v>
      </c>
      <c r="AS486" s="6" t="str">
        <f>HYPERLINK("https://creighton-primo.hosted.exlibrisgroup.com/primo-explore/search?tab=default_tab&amp;search_scope=EVERYTHING&amp;vid=01CRU&amp;lang=en_US&amp;offset=0&amp;query=any,contains,991001785429702656","Catalog Record")</f>
        <v>Catalog Record</v>
      </c>
      <c r="AT486" s="6" t="str">
        <f>HYPERLINK("http://www.worldcat.org/oclc/10559081","WorldCat Record")</f>
        <v>WorldCat Record</v>
      </c>
      <c r="AU486" s="3" t="s">
        <v>6432</v>
      </c>
      <c r="AV486" s="3" t="s">
        <v>6433</v>
      </c>
      <c r="AW486" s="3" t="s">
        <v>6434</v>
      </c>
      <c r="AX486" s="3" t="s">
        <v>6434</v>
      </c>
      <c r="AY486" s="3" t="s">
        <v>6435</v>
      </c>
      <c r="AZ486" s="3" t="s">
        <v>74</v>
      </c>
      <c r="BB486" s="3" t="s">
        <v>6436</v>
      </c>
      <c r="BC486" s="3" t="s">
        <v>6437</v>
      </c>
      <c r="BD486" s="3" t="s">
        <v>6438</v>
      </c>
    </row>
    <row r="487" spans="1:56" ht="42.75" customHeight="1" x14ac:dyDescent="0.25">
      <c r="A487" s="7" t="s">
        <v>58</v>
      </c>
      <c r="B487" s="2" t="s">
        <v>6439</v>
      </c>
      <c r="C487" s="2" t="s">
        <v>6440</v>
      </c>
      <c r="D487" s="2" t="s">
        <v>6441</v>
      </c>
      <c r="F487" s="3" t="s">
        <v>58</v>
      </c>
      <c r="G487" s="3" t="s">
        <v>59</v>
      </c>
      <c r="H487" s="3" t="s">
        <v>58</v>
      </c>
      <c r="I487" s="3" t="s">
        <v>58</v>
      </c>
      <c r="J487" s="3" t="s">
        <v>60</v>
      </c>
      <c r="K487" s="2" t="s">
        <v>6442</v>
      </c>
      <c r="L487" s="2" t="s">
        <v>6443</v>
      </c>
      <c r="M487" s="3" t="s">
        <v>1235</v>
      </c>
      <c r="O487" s="3" t="s">
        <v>64</v>
      </c>
      <c r="P487" s="3" t="s">
        <v>2331</v>
      </c>
      <c r="Q487" s="2" t="s">
        <v>6444</v>
      </c>
      <c r="R487" s="3" t="s">
        <v>67</v>
      </c>
      <c r="S487" s="4">
        <v>6</v>
      </c>
      <c r="T487" s="4">
        <v>6</v>
      </c>
      <c r="U487" s="5" t="s">
        <v>6445</v>
      </c>
      <c r="V487" s="5" t="s">
        <v>6445</v>
      </c>
      <c r="W487" s="5" t="s">
        <v>6446</v>
      </c>
      <c r="X487" s="5" t="s">
        <v>6446</v>
      </c>
      <c r="Y487" s="4">
        <v>1241</v>
      </c>
      <c r="Z487" s="4">
        <v>1135</v>
      </c>
      <c r="AA487" s="4">
        <v>1137</v>
      </c>
      <c r="AB487" s="4">
        <v>13</v>
      </c>
      <c r="AC487" s="4">
        <v>13</v>
      </c>
      <c r="AD487" s="4">
        <v>17</v>
      </c>
      <c r="AE487" s="4">
        <v>17</v>
      </c>
      <c r="AF487" s="4">
        <v>9</v>
      </c>
      <c r="AG487" s="4">
        <v>9</v>
      </c>
      <c r="AH487" s="4">
        <v>1</v>
      </c>
      <c r="AI487" s="4">
        <v>1</v>
      </c>
      <c r="AJ487" s="4">
        <v>6</v>
      </c>
      <c r="AK487" s="4">
        <v>6</v>
      </c>
      <c r="AL487" s="4">
        <v>4</v>
      </c>
      <c r="AM487" s="4">
        <v>4</v>
      </c>
      <c r="AN487" s="4">
        <v>0</v>
      </c>
      <c r="AO487" s="4">
        <v>0</v>
      </c>
      <c r="AP487" s="3" t="s">
        <v>58</v>
      </c>
      <c r="AQ487" s="3" t="s">
        <v>58</v>
      </c>
      <c r="AS487" s="6" t="str">
        <f>HYPERLINK("https://creighton-primo.hosted.exlibrisgroup.com/primo-explore/search?tab=default_tab&amp;search_scope=EVERYTHING&amp;vid=01CRU&amp;lang=en_US&amp;offset=0&amp;query=any,contains,991004585839702656","Catalog Record")</f>
        <v>Catalog Record</v>
      </c>
      <c r="AT487" s="6" t="str">
        <f>HYPERLINK("http://www.worldcat.org/oclc/56535198","WorldCat Record")</f>
        <v>WorldCat Record</v>
      </c>
      <c r="AU487" s="3" t="s">
        <v>6447</v>
      </c>
      <c r="AV487" s="3" t="s">
        <v>6448</v>
      </c>
      <c r="AW487" s="3" t="s">
        <v>6449</v>
      </c>
      <c r="AX487" s="3" t="s">
        <v>6449</v>
      </c>
      <c r="AY487" s="3" t="s">
        <v>6450</v>
      </c>
      <c r="AZ487" s="3" t="s">
        <v>74</v>
      </c>
      <c r="BB487" s="3" t="s">
        <v>6451</v>
      </c>
      <c r="BC487" s="3" t="s">
        <v>6452</v>
      </c>
      <c r="BD487" s="3" t="s">
        <v>6453</v>
      </c>
    </row>
    <row r="488" spans="1:56" ht="42.75" customHeight="1" x14ac:dyDescent="0.25">
      <c r="A488" s="7" t="s">
        <v>58</v>
      </c>
      <c r="B488" s="2" t="s">
        <v>6454</v>
      </c>
      <c r="C488" s="2" t="s">
        <v>6455</v>
      </c>
      <c r="D488" s="2" t="s">
        <v>6456</v>
      </c>
      <c r="F488" s="3" t="s">
        <v>58</v>
      </c>
      <c r="G488" s="3" t="s">
        <v>59</v>
      </c>
      <c r="H488" s="3" t="s">
        <v>58</v>
      </c>
      <c r="I488" s="3" t="s">
        <v>58</v>
      </c>
      <c r="J488" s="3" t="s">
        <v>60</v>
      </c>
      <c r="K488" s="2" t="s">
        <v>6457</v>
      </c>
      <c r="L488" s="2" t="s">
        <v>6458</v>
      </c>
      <c r="M488" s="3" t="s">
        <v>1181</v>
      </c>
      <c r="N488" s="2" t="s">
        <v>1736</v>
      </c>
      <c r="O488" s="3" t="s">
        <v>64</v>
      </c>
      <c r="P488" s="3" t="s">
        <v>145</v>
      </c>
      <c r="R488" s="3" t="s">
        <v>67</v>
      </c>
      <c r="S488" s="4">
        <v>10</v>
      </c>
      <c r="T488" s="4">
        <v>10</v>
      </c>
      <c r="U488" s="5" t="s">
        <v>6459</v>
      </c>
      <c r="V488" s="5" t="s">
        <v>6459</v>
      </c>
      <c r="W488" s="5" t="s">
        <v>6460</v>
      </c>
      <c r="X488" s="5" t="s">
        <v>6460</v>
      </c>
      <c r="Y488" s="4">
        <v>581</v>
      </c>
      <c r="Z488" s="4">
        <v>507</v>
      </c>
      <c r="AA488" s="4">
        <v>582</v>
      </c>
      <c r="AB488" s="4">
        <v>4</v>
      </c>
      <c r="AC488" s="4">
        <v>5</v>
      </c>
      <c r="AD488" s="4">
        <v>24</v>
      </c>
      <c r="AE488" s="4">
        <v>30</v>
      </c>
      <c r="AF488" s="4">
        <v>11</v>
      </c>
      <c r="AG488" s="4">
        <v>13</v>
      </c>
      <c r="AH488" s="4">
        <v>5</v>
      </c>
      <c r="AI488" s="4">
        <v>5</v>
      </c>
      <c r="AJ488" s="4">
        <v>12</v>
      </c>
      <c r="AK488" s="4">
        <v>15</v>
      </c>
      <c r="AL488" s="4">
        <v>3</v>
      </c>
      <c r="AM488" s="4">
        <v>4</v>
      </c>
      <c r="AN488" s="4">
        <v>0</v>
      </c>
      <c r="AO488" s="4">
        <v>0</v>
      </c>
      <c r="AP488" s="3" t="s">
        <v>58</v>
      </c>
      <c r="AQ488" s="3" t="s">
        <v>58</v>
      </c>
      <c r="AS488" s="6" t="str">
        <f>HYPERLINK("https://creighton-primo.hosted.exlibrisgroup.com/primo-explore/search?tab=default_tab&amp;search_scope=EVERYTHING&amp;vid=01CRU&amp;lang=en_US&amp;offset=0&amp;query=any,contains,991004545419702656","Catalog Record")</f>
        <v>Catalog Record</v>
      </c>
      <c r="AT488" s="6" t="str">
        <f>HYPERLINK("http://www.worldcat.org/oclc/53231750","WorldCat Record")</f>
        <v>WorldCat Record</v>
      </c>
      <c r="AU488" s="3" t="s">
        <v>6461</v>
      </c>
      <c r="AV488" s="3" t="s">
        <v>6462</v>
      </c>
      <c r="AW488" s="3" t="s">
        <v>6463</v>
      </c>
      <c r="AX488" s="3" t="s">
        <v>6463</v>
      </c>
      <c r="AY488" s="3" t="s">
        <v>6464</v>
      </c>
      <c r="AZ488" s="3" t="s">
        <v>74</v>
      </c>
      <c r="BB488" s="3" t="s">
        <v>6465</v>
      </c>
      <c r="BC488" s="3" t="s">
        <v>6466</v>
      </c>
      <c r="BD488" s="3" t="s">
        <v>6467</v>
      </c>
    </row>
    <row r="489" spans="1:56" ht="42.75" customHeight="1" x14ac:dyDescent="0.25">
      <c r="A489" s="7" t="s">
        <v>58</v>
      </c>
      <c r="B489" s="2" t="s">
        <v>6468</v>
      </c>
      <c r="C489" s="2" t="s">
        <v>6469</v>
      </c>
      <c r="D489" s="2" t="s">
        <v>6470</v>
      </c>
      <c r="F489" s="3" t="s">
        <v>58</v>
      </c>
      <c r="G489" s="3" t="s">
        <v>59</v>
      </c>
      <c r="H489" s="3" t="s">
        <v>58</v>
      </c>
      <c r="I489" s="3" t="s">
        <v>58</v>
      </c>
      <c r="J489" s="3" t="s">
        <v>60</v>
      </c>
      <c r="K489" s="2" t="s">
        <v>6471</v>
      </c>
      <c r="L489" s="2" t="s">
        <v>6472</v>
      </c>
      <c r="M489" s="3" t="s">
        <v>1035</v>
      </c>
      <c r="O489" s="3" t="s">
        <v>64</v>
      </c>
      <c r="P489" s="3" t="s">
        <v>115</v>
      </c>
      <c r="Q489" s="2" t="s">
        <v>6473</v>
      </c>
      <c r="R489" s="3" t="s">
        <v>67</v>
      </c>
      <c r="S489" s="4">
        <v>3</v>
      </c>
      <c r="T489" s="4">
        <v>3</v>
      </c>
      <c r="U489" s="5" t="s">
        <v>6474</v>
      </c>
      <c r="V489" s="5" t="s">
        <v>6474</v>
      </c>
      <c r="W489" s="5" t="s">
        <v>6475</v>
      </c>
      <c r="X489" s="5" t="s">
        <v>6475</v>
      </c>
      <c r="Y489" s="4">
        <v>783</v>
      </c>
      <c r="Z489" s="4">
        <v>731</v>
      </c>
      <c r="AA489" s="4">
        <v>731</v>
      </c>
      <c r="AB489" s="4">
        <v>4</v>
      </c>
      <c r="AC489" s="4">
        <v>4</v>
      </c>
      <c r="AD489" s="4">
        <v>24</v>
      </c>
      <c r="AE489" s="4">
        <v>24</v>
      </c>
      <c r="AF489" s="4">
        <v>13</v>
      </c>
      <c r="AG489" s="4">
        <v>13</v>
      </c>
      <c r="AH489" s="4">
        <v>5</v>
      </c>
      <c r="AI489" s="4">
        <v>5</v>
      </c>
      <c r="AJ489" s="4">
        <v>10</v>
      </c>
      <c r="AK489" s="4">
        <v>10</v>
      </c>
      <c r="AL489" s="4">
        <v>2</v>
      </c>
      <c r="AM489" s="4">
        <v>2</v>
      </c>
      <c r="AN489" s="4">
        <v>0</v>
      </c>
      <c r="AO489" s="4">
        <v>0</v>
      </c>
      <c r="AP489" s="3" t="s">
        <v>58</v>
      </c>
      <c r="AQ489" s="3" t="s">
        <v>58</v>
      </c>
      <c r="AS489" s="6" t="str">
        <f>HYPERLINK("https://creighton-primo.hosted.exlibrisgroup.com/primo-explore/search?tab=default_tab&amp;search_scope=EVERYTHING&amp;vid=01CRU&amp;lang=en_US&amp;offset=0&amp;query=any,contains,991003848869702656","Catalog Record")</f>
        <v>Catalog Record</v>
      </c>
      <c r="AT489" s="6" t="str">
        <f>HYPERLINK("http://www.worldcat.org/oclc/48109531","WorldCat Record")</f>
        <v>WorldCat Record</v>
      </c>
      <c r="AU489" s="3" t="s">
        <v>6476</v>
      </c>
      <c r="AV489" s="3" t="s">
        <v>6477</v>
      </c>
      <c r="AW489" s="3" t="s">
        <v>6478</v>
      </c>
      <c r="AX489" s="3" t="s">
        <v>6478</v>
      </c>
      <c r="AY489" s="3" t="s">
        <v>6479</v>
      </c>
      <c r="AZ489" s="3" t="s">
        <v>74</v>
      </c>
      <c r="BB489" s="3" t="s">
        <v>6480</v>
      </c>
      <c r="BC489" s="3" t="s">
        <v>6481</v>
      </c>
      <c r="BD489" s="3" t="s">
        <v>6482</v>
      </c>
    </row>
    <row r="490" spans="1:56" ht="42.75" customHeight="1" x14ac:dyDescent="0.25">
      <c r="A490" s="7" t="s">
        <v>58</v>
      </c>
      <c r="B490" s="2" t="s">
        <v>6483</v>
      </c>
      <c r="C490" s="2" t="s">
        <v>6484</v>
      </c>
      <c r="D490" s="2" t="s">
        <v>6485</v>
      </c>
      <c r="F490" s="3" t="s">
        <v>58</v>
      </c>
      <c r="G490" s="3" t="s">
        <v>59</v>
      </c>
      <c r="H490" s="3" t="s">
        <v>58</v>
      </c>
      <c r="I490" s="3" t="s">
        <v>58</v>
      </c>
      <c r="J490" s="3" t="s">
        <v>60</v>
      </c>
      <c r="K490" s="2" t="s">
        <v>6486</v>
      </c>
      <c r="L490" s="2" t="s">
        <v>6487</v>
      </c>
      <c r="M490" s="3" t="s">
        <v>314</v>
      </c>
      <c r="O490" s="3" t="s">
        <v>64</v>
      </c>
      <c r="P490" s="3" t="s">
        <v>115</v>
      </c>
      <c r="R490" s="3" t="s">
        <v>67</v>
      </c>
      <c r="S490" s="4">
        <v>3</v>
      </c>
      <c r="T490" s="4">
        <v>3</v>
      </c>
      <c r="U490" s="5" t="s">
        <v>6474</v>
      </c>
      <c r="V490" s="5" t="s">
        <v>6474</v>
      </c>
      <c r="W490" s="5" t="s">
        <v>3917</v>
      </c>
      <c r="X490" s="5" t="s">
        <v>3917</v>
      </c>
      <c r="Y490" s="4">
        <v>454</v>
      </c>
      <c r="Z490" s="4">
        <v>334</v>
      </c>
      <c r="AA490" s="4">
        <v>343</v>
      </c>
      <c r="AB490" s="4">
        <v>4</v>
      </c>
      <c r="AC490" s="4">
        <v>4</v>
      </c>
      <c r="AD490" s="4">
        <v>9</v>
      </c>
      <c r="AE490" s="4">
        <v>9</v>
      </c>
      <c r="AF490" s="4">
        <v>1</v>
      </c>
      <c r="AG490" s="4">
        <v>1</v>
      </c>
      <c r="AH490" s="4">
        <v>1</v>
      </c>
      <c r="AI490" s="4">
        <v>1</v>
      </c>
      <c r="AJ490" s="4">
        <v>5</v>
      </c>
      <c r="AK490" s="4">
        <v>5</v>
      </c>
      <c r="AL490" s="4">
        <v>3</v>
      </c>
      <c r="AM490" s="4">
        <v>3</v>
      </c>
      <c r="AN490" s="4">
        <v>0</v>
      </c>
      <c r="AO490" s="4">
        <v>0</v>
      </c>
      <c r="AP490" s="3" t="s">
        <v>58</v>
      </c>
      <c r="AQ490" s="3" t="s">
        <v>86</v>
      </c>
      <c r="AR490" s="6" t="str">
        <f>HYPERLINK("http://catalog.hathitrust.org/Record/001563938","HathiTrust Record")</f>
        <v>HathiTrust Record</v>
      </c>
      <c r="AS490" s="6" t="str">
        <f>HYPERLINK("https://creighton-primo.hosted.exlibrisgroup.com/primo-explore/search?tab=default_tab&amp;search_scope=EVERYTHING&amp;vid=01CRU&amp;lang=en_US&amp;offset=0&amp;query=any,contains,991002770079702656","Catalog Record")</f>
        <v>Catalog Record</v>
      </c>
      <c r="AT490" s="6" t="str">
        <f>HYPERLINK("http://www.worldcat.org/oclc/436627","WorldCat Record")</f>
        <v>WorldCat Record</v>
      </c>
      <c r="AU490" s="3" t="s">
        <v>6488</v>
      </c>
      <c r="AV490" s="3" t="s">
        <v>6489</v>
      </c>
      <c r="AW490" s="3" t="s">
        <v>6490</v>
      </c>
      <c r="AX490" s="3" t="s">
        <v>6490</v>
      </c>
      <c r="AY490" s="3" t="s">
        <v>6491</v>
      </c>
      <c r="AZ490" s="3" t="s">
        <v>74</v>
      </c>
      <c r="BC490" s="3" t="s">
        <v>6492</v>
      </c>
      <c r="BD490" s="3" t="s">
        <v>6493</v>
      </c>
    </row>
    <row r="491" spans="1:56" ht="42.75" customHeight="1" x14ac:dyDescent="0.25">
      <c r="A491" s="7" t="s">
        <v>58</v>
      </c>
      <c r="B491" s="2" t="s">
        <v>6494</v>
      </c>
      <c r="C491" s="2" t="s">
        <v>6495</v>
      </c>
      <c r="D491" s="2" t="s">
        <v>6496</v>
      </c>
      <c r="F491" s="3" t="s">
        <v>58</v>
      </c>
      <c r="G491" s="3" t="s">
        <v>59</v>
      </c>
      <c r="H491" s="3" t="s">
        <v>58</v>
      </c>
      <c r="I491" s="3" t="s">
        <v>58</v>
      </c>
      <c r="J491" s="3" t="s">
        <v>60</v>
      </c>
      <c r="K491" s="2" t="s">
        <v>6497</v>
      </c>
      <c r="L491" s="2" t="s">
        <v>6498</v>
      </c>
      <c r="M491" s="3" t="s">
        <v>4296</v>
      </c>
      <c r="O491" s="3" t="s">
        <v>64</v>
      </c>
      <c r="P491" s="3" t="s">
        <v>83</v>
      </c>
      <c r="R491" s="3" t="s">
        <v>67</v>
      </c>
      <c r="S491" s="4">
        <v>2</v>
      </c>
      <c r="T491" s="4">
        <v>2</v>
      </c>
      <c r="U491" s="5" t="s">
        <v>6499</v>
      </c>
      <c r="V491" s="5" t="s">
        <v>6499</v>
      </c>
      <c r="W491" s="5" t="s">
        <v>6500</v>
      </c>
      <c r="X491" s="5" t="s">
        <v>6500</v>
      </c>
      <c r="Y491" s="4">
        <v>234</v>
      </c>
      <c r="Z491" s="4">
        <v>196</v>
      </c>
      <c r="AA491" s="4">
        <v>203</v>
      </c>
      <c r="AB491" s="4">
        <v>2</v>
      </c>
      <c r="AC491" s="4">
        <v>2</v>
      </c>
      <c r="AD491" s="4">
        <v>9</v>
      </c>
      <c r="AE491" s="4">
        <v>9</v>
      </c>
      <c r="AF491" s="4">
        <v>0</v>
      </c>
      <c r="AG491" s="4">
        <v>0</v>
      </c>
      <c r="AH491" s="4">
        <v>3</v>
      </c>
      <c r="AI491" s="4">
        <v>3</v>
      </c>
      <c r="AJ491" s="4">
        <v>7</v>
      </c>
      <c r="AK491" s="4">
        <v>7</v>
      </c>
      <c r="AL491" s="4">
        <v>1</v>
      </c>
      <c r="AM491" s="4">
        <v>1</v>
      </c>
      <c r="AN491" s="4">
        <v>1</v>
      </c>
      <c r="AO491" s="4">
        <v>1</v>
      </c>
      <c r="AP491" s="3" t="s">
        <v>58</v>
      </c>
      <c r="AQ491" s="3" t="s">
        <v>86</v>
      </c>
      <c r="AR491" s="6" t="str">
        <f>HYPERLINK("http://catalog.hathitrust.org/Record/000027404","HathiTrust Record")</f>
        <v>HathiTrust Record</v>
      </c>
      <c r="AS491" s="6" t="str">
        <f>HYPERLINK("https://creighton-primo.hosted.exlibrisgroup.com/primo-explore/search?tab=default_tab&amp;search_scope=EVERYTHING&amp;vid=01CRU&amp;lang=en_US&amp;offset=0&amp;query=any,contains,991003523479702656","Catalog Record")</f>
        <v>Catalog Record</v>
      </c>
      <c r="AT491" s="6" t="str">
        <f>HYPERLINK("http://www.worldcat.org/oclc/1085687","WorldCat Record")</f>
        <v>WorldCat Record</v>
      </c>
      <c r="AU491" s="3" t="s">
        <v>6501</v>
      </c>
      <c r="AV491" s="3" t="s">
        <v>6502</v>
      </c>
      <c r="AW491" s="3" t="s">
        <v>6503</v>
      </c>
      <c r="AX491" s="3" t="s">
        <v>6503</v>
      </c>
      <c r="AY491" s="3" t="s">
        <v>6504</v>
      </c>
      <c r="AZ491" s="3" t="s">
        <v>74</v>
      </c>
      <c r="BB491" s="3" t="s">
        <v>6505</v>
      </c>
      <c r="BC491" s="3" t="s">
        <v>6506</v>
      </c>
      <c r="BD491" s="3" t="s">
        <v>6507</v>
      </c>
    </row>
    <row r="492" spans="1:56" ht="42.75" customHeight="1" x14ac:dyDescent="0.25">
      <c r="A492" s="7" t="s">
        <v>58</v>
      </c>
      <c r="B492" s="2" t="s">
        <v>6508</v>
      </c>
      <c r="C492" s="2" t="s">
        <v>6509</v>
      </c>
      <c r="D492" s="2" t="s">
        <v>6510</v>
      </c>
      <c r="F492" s="3" t="s">
        <v>58</v>
      </c>
      <c r="G492" s="3" t="s">
        <v>59</v>
      </c>
      <c r="H492" s="3" t="s">
        <v>58</v>
      </c>
      <c r="I492" s="3" t="s">
        <v>58</v>
      </c>
      <c r="J492" s="3" t="s">
        <v>60</v>
      </c>
      <c r="K492" s="2" t="s">
        <v>6511</v>
      </c>
      <c r="L492" s="2" t="s">
        <v>6512</v>
      </c>
      <c r="M492" s="3" t="s">
        <v>5200</v>
      </c>
      <c r="O492" s="3" t="s">
        <v>64</v>
      </c>
      <c r="P492" s="3" t="s">
        <v>115</v>
      </c>
      <c r="R492" s="3" t="s">
        <v>67</v>
      </c>
      <c r="S492" s="4">
        <v>4</v>
      </c>
      <c r="T492" s="4">
        <v>4</v>
      </c>
      <c r="U492" s="5" t="s">
        <v>6513</v>
      </c>
      <c r="V492" s="5" t="s">
        <v>6513</v>
      </c>
      <c r="W492" s="5" t="s">
        <v>6514</v>
      </c>
      <c r="X492" s="5" t="s">
        <v>6514</v>
      </c>
      <c r="Y492" s="4">
        <v>380</v>
      </c>
      <c r="Z492" s="4">
        <v>285</v>
      </c>
      <c r="AA492" s="4">
        <v>379</v>
      </c>
      <c r="AB492" s="4">
        <v>2</v>
      </c>
      <c r="AC492" s="4">
        <v>3</v>
      </c>
      <c r="AD492" s="4">
        <v>10</v>
      </c>
      <c r="AE492" s="4">
        <v>13</v>
      </c>
      <c r="AF492" s="4">
        <v>4</v>
      </c>
      <c r="AG492" s="4">
        <v>4</v>
      </c>
      <c r="AH492" s="4">
        <v>2</v>
      </c>
      <c r="AI492" s="4">
        <v>3</v>
      </c>
      <c r="AJ492" s="4">
        <v>6</v>
      </c>
      <c r="AK492" s="4">
        <v>8</v>
      </c>
      <c r="AL492" s="4">
        <v>1</v>
      </c>
      <c r="AM492" s="4">
        <v>2</v>
      </c>
      <c r="AN492" s="4">
        <v>1</v>
      </c>
      <c r="AO492" s="4">
        <v>1</v>
      </c>
      <c r="AP492" s="3" t="s">
        <v>58</v>
      </c>
      <c r="AQ492" s="3" t="s">
        <v>86</v>
      </c>
      <c r="AR492" s="6" t="str">
        <f>HYPERLINK("http://catalog.hathitrust.org/Record/001563966","HathiTrust Record")</f>
        <v>HathiTrust Record</v>
      </c>
      <c r="AS492" s="6" t="str">
        <f>HYPERLINK("https://creighton-primo.hosted.exlibrisgroup.com/primo-explore/search?tab=default_tab&amp;search_scope=EVERYTHING&amp;vid=01CRU&amp;lang=en_US&amp;offset=0&amp;query=any,contains,991002384839702656","Catalog Record")</f>
        <v>Catalog Record</v>
      </c>
      <c r="AT492" s="6" t="str">
        <f>HYPERLINK("http://www.worldcat.org/oclc/329569","WorldCat Record")</f>
        <v>WorldCat Record</v>
      </c>
      <c r="AU492" s="3" t="s">
        <v>6515</v>
      </c>
      <c r="AV492" s="3" t="s">
        <v>6516</v>
      </c>
      <c r="AW492" s="3" t="s">
        <v>6517</v>
      </c>
      <c r="AX492" s="3" t="s">
        <v>6517</v>
      </c>
      <c r="AY492" s="3" t="s">
        <v>6518</v>
      </c>
      <c r="AZ492" s="3" t="s">
        <v>74</v>
      </c>
      <c r="BB492" s="3" t="s">
        <v>6519</v>
      </c>
      <c r="BC492" s="3" t="s">
        <v>6520</v>
      </c>
      <c r="BD492" s="3" t="s">
        <v>6521</v>
      </c>
    </row>
    <row r="493" spans="1:56" ht="42.75" customHeight="1" x14ac:dyDescent="0.25">
      <c r="A493" s="7" t="s">
        <v>58</v>
      </c>
      <c r="B493" s="2" t="s">
        <v>6522</v>
      </c>
      <c r="C493" s="2" t="s">
        <v>6523</v>
      </c>
      <c r="D493" s="2" t="s">
        <v>6524</v>
      </c>
      <c r="F493" s="3" t="s">
        <v>58</v>
      </c>
      <c r="G493" s="3" t="s">
        <v>59</v>
      </c>
      <c r="H493" s="3" t="s">
        <v>58</v>
      </c>
      <c r="I493" s="3" t="s">
        <v>58</v>
      </c>
      <c r="J493" s="3" t="s">
        <v>60</v>
      </c>
      <c r="L493" s="2" t="s">
        <v>6525</v>
      </c>
      <c r="M493" s="3" t="s">
        <v>695</v>
      </c>
      <c r="O493" s="3" t="s">
        <v>64</v>
      </c>
      <c r="P493" s="3" t="s">
        <v>2130</v>
      </c>
      <c r="R493" s="3" t="s">
        <v>67</v>
      </c>
      <c r="S493" s="4">
        <v>6</v>
      </c>
      <c r="T493" s="4">
        <v>6</v>
      </c>
      <c r="U493" s="5" t="s">
        <v>6526</v>
      </c>
      <c r="V493" s="5" t="s">
        <v>6526</v>
      </c>
      <c r="W493" s="5" t="s">
        <v>6527</v>
      </c>
      <c r="X493" s="5" t="s">
        <v>6527</v>
      </c>
      <c r="Y493" s="4">
        <v>162</v>
      </c>
      <c r="Z493" s="4">
        <v>132</v>
      </c>
      <c r="AA493" s="4">
        <v>220</v>
      </c>
      <c r="AB493" s="4">
        <v>3</v>
      </c>
      <c r="AC493" s="4">
        <v>4</v>
      </c>
      <c r="AD493" s="4">
        <v>5</v>
      </c>
      <c r="AE493" s="4">
        <v>10</v>
      </c>
      <c r="AF493" s="4">
        <v>0</v>
      </c>
      <c r="AG493" s="4">
        <v>3</v>
      </c>
      <c r="AH493" s="4">
        <v>1</v>
      </c>
      <c r="AI493" s="4">
        <v>2</v>
      </c>
      <c r="AJ493" s="4">
        <v>3</v>
      </c>
      <c r="AK493" s="4">
        <v>6</v>
      </c>
      <c r="AL493" s="4">
        <v>2</v>
      </c>
      <c r="AM493" s="4">
        <v>3</v>
      </c>
      <c r="AN493" s="4">
        <v>0</v>
      </c>
      <c r="AO493" s="4">
        <v>0</v>
      </c>
      <c r="AP493" s="3" t="s">
        <v>58</v>
      </c>
      <c r="AQ493" s="3" t="s">
        <v>58</v>
      </c>
      <c r="AS493" s="6" t="str">
        <f>HYPERLINK("https://creighton-primo.hosted.exlibrisgroup.com/primo-explore/search?tab=default_tab&amp;search_scope=EVERYTHING&amp;vid=01CRU&amp;lang=en_US&amp;offset=0&amp;query=any,contains,991002135969702656","Catalog Record")</f>
        <v>Catalog Record</v>
      </c>
      <c r="AT493" s="6" t="str">
        <f>HYPERLINK("http://www.worldcat.org/oclc/27385762","WorldCat Record")</f>
        <v>WorldCat Record</v>
      </c>
      <c r="AU493" s="3" t="s">
        <v>6528</v>
      </c>
      <c r="AV493" s="3" t="s">
        <v>6529</v>
      </c>
      <c r="AW493" s="3" t="s">
        <v>6530</v>
      </c>
      <c r="AX493" s="3" t="s">
        <v>6530</v>
      </c>
      <c r="AY493" s="3" t="s">
        <v>6531</v>
      </c>
      <c r="AZ493" s="3" t="s">
        <v>74</v>
      </c>
      <c r="BB493" s="3" t="s">
        <v>6532</v>
      </c>
      <c r="BC493" s="3" t="s">
        <v>6533</v>
      </c>
      <c r="BD493" s="3" t="s">
        <v>6534</v>
      </c>
    </row>
    <row r="494" spans="1:56" ht="42.75" customHeight="1" x14ac:dyDescent="0.25">
      <c r="A494" s="7" t="s">
        <v>58</v>
      </c>
      <c r="B494" s="2" t="s">
        <v>6535</v>
      </c>
      <c r="C494" s="2" t="s">
        <v>6536</v>
      </c>
      <c r="D494" s="2" t="s">
        <v>6537</v>
      </c>
      <c r="F494" s="3" t="s">
        <v>58</v>
      </c>
      <c r="G494" s="3" t="s">
        <v>59</v>
      </c>
      <c r="H494" s="3" t="s">
        <v>58</v>
      </c>
      <c r="I494" s="3" t="s">
        <v>58</v>
      </c>
      <c r="J494" s="3" t="s">
        <v>60</v>
      </c>
      <c r="L494" s="2" t="s">
        <v>6538</v>
      </c>
      <c r="M494" s="3" t="s">
        <v>3914</v>
      </c>
      <c r="N494" s="2" t="s">
        <v>6539</v>
      </c>
      <c r="O494" s="3" t="s">
        <v>64</v>
      </c>
      <c r="P494" s="3" t="s">
        <v>115</v>
      </c>
      <c r="Q494" s="2" t="s">
        <v>6540</v>
      </c>
      <c r="R494" s="3" t="s">
        <v>67</v>
      </c>
      <c r="S494" s="4">
        <v>3</v>
      </c>
      <c r="T494" s="4">
        <v>3</v>
      </c>
      <c r="U494" s="5" t="s">
        <v>6541</v>
      </c>
      <c r="V494" s="5" t="s">
        <v>6541</v>
      </c>
      <c r="W494" s="5" t="s">
        <v>6542</v>
      </c>
      <c r="X494" s="5" t="s">
        <v>6542</v>
      </c>
      <c r="Y494" s="4">
        <v>131</v>
      </c>
      <c r="Z494" s="4">
        <v>99</v>
      </c>
      <c r="AA494" s="4">
        <v>101</v>
      </c>
      <c r="AB494" s="4">
        <v>2</v>
      </c>
      <c r="AC494" s="4">
        <v>2</v>
      </c>
      <c r="AD494" s="4">
        <v>2</v>
      </c>
      <c r="AE494" s="4">
        <v>2</v>
      </c>
      <c r="AF494" s="4">
        <v>1</v>
      </c>
      <c r="AG494" s="4">
        <v>1</v>
      </c>
      <c r="AH494" s="4">
        <v>0</v>
      </c>
      <c r="AI494" s="4">
        <v>0</v>
      </c>
      <c r="AJ494" s="4">
        <v>1</v>
      </c>
      <c r="AK494" s="4">
        <v>1</v>
      </c>
      <c r="AL494" s="4">
        <v>1</v>
      </c>
      <c r="AM494" s="4">
        <v>1</v>
      </c>
      <c r="AN494" s="4">
        <v>0</v>
      </c>
      <c r="AO494" s="4">
        <v>0</v>
      </c>
      <c r="AP494" s="3" t="s">
        <v>58</v>
      </c>
      <c r="AQ494" s="3" t="s">
        <v>86</v>
      </c>
      <c r="AR494" s="6" t="str">
        <f>HYPERLINK("http://catalog.hathitrust.org/Record/000742588","HathiTrust Record")</f>
        <v>HathiTrust Record</v>
      </c>
      <c r="AS494" s="6" t="str">
        <f>HYPERLINK("https://creighton-primo.hosted.exlibrisgroup.com/primo-explore/search?tab=default_tab&amp;search_scope=EVERYTHING&amp;vid=01CRU&amp;lang=en_US&amp;offset=0&amp;query=any,contains,991004110449702656","Catalog Record")</f>
        <v>Catalog Record</v>
      </c>
      <c r="AT494" s="6" t="str">
        <f>HYPERLINK("http://www.worldcat.org/oclc/2396089","WorldCat Record")</f>
        <v>WorldCat Record</v>
      </c>
      <c r="AU494" s="3" t="s">
        <v>6543</v>
      </c>
      <c r="AV494" s="3" t="s">
        <v>6544</v>
      </c>
      <c r="AW494" s="3" t="s">
        <v>6545</v>
      </c>
      <c r="AX494" s="3" t="s">
        <v>6545</v>
      </c>
      <c r="AY494" s="3" t="s">
        <v>6546</v>
      </c>
      <c r="AZ494" s="3" t="s">
        <v>74</v>
      </c>
      <c r="BB494" s="3" t="s">
        <v>6547</v>
      </c>
      <c r="BC494" s="3" t="s">
        <v>6548</v>
      </c>
      <c r="BD494" s="3" t="s">
        <v>6549</v>
      </c>
    </row>
    <row r="495" spans="1:56" ht="42.75" customHeight="1" x14ac:dyDescent="0.25">
      <c r="A495" s="7" t="s">
        <v>58</v>
      </c>
      <c r="B495" s="2" t="s">
        <v>6550</v>
      </c>
      <c r="C495" s="2" t="s">
        <v>6551</v>
      </c>
      <c r="D495" s="2" t="s">
        <v>6552</v>
      </c>
      <c r="F495" s="3" t="s">
        <v>58</v>
      </c>
      <c r="G495" s="3" t="s">
        <v>59</v>
      </c>
      <c r="H495" s="3" t="s">
        <v>58</v>
      </c>
      <c r="I495" s="3" t="s">
        <v>58</v>
      </c>
      <c r="J495" s="3" t="s">
        <v>60</v>
      </c>
      <c r="K495" s="2" t="s">
        <v>6553</v>
      </c>
      <c r="L495" s="2" t="s">
        <v>6554</v>
      </c>
      <c r="M495" s="3" t="s">
        <v>5200</v>
      </c>
      <c r="N495" s="2" t="s">
        <v>4027</v>
      </c>
      <c r="O495" s="3" t="s">
        <v>64</v>
      </c>
      <c r="P495" s="3" t="s">
        <v>316</v>
      </c>
      <c r="R495" s="3" t="s">
        <v>67</v>
      </c>
      <c r="S495" s="4">
        <v>23</v>
      </c>
      <c r="T495" s="4">
        <v>23</v>
      </c>
      <c r="U495" s="5" t="s">
        <v>6555</v>
      </c>
      <c r="V495" s="5" t="s">
        <v>6555</v>
      </c>
      <c r="W495" s="5" t="s">
        <v>117</v>
      </c>
      <c r="X495" s="5" t="s">
        <v>117</v>
      </c>
      <c r="Y495" s="4">
        <v>306</v>
      </c>
      <c r="Z495" s="4">
        <v>224</v>
      </c>
      <c r="AA495" s="4">
        <v>417</v>
      </c>
      <c r="AB495" s="4">
        <v>2</v>
      </c>
      <c r="AC495" s="4">
        <v>5</v>
      </c>
      <c r="AD495" s="4">
        <v>6</v>
      </c>
      <c r="AE495" s="4">
        <v>13</v>
      </c>
      <c r="AF495" s="4">
        <v>2</v>
      </c>
      <c r="AG495" s="4">
        <v>3</v>
      </c>
      <c r="AH495" s="4">
        <v>1</v>
      </c>
      <c r="AI495" s="4">
        <v>2</v>
      </c>
      <c r="AJ495" s="4">
        <v>3</v>
      </c>
      <c r="AK495" s="4">
        <v>7</v>
      </c>
      <c r="AL495" s="4">
        <v>1</v>
      </c>
      <c r="AM495" s="4">
        <v>3</v>
      </c>
      <c r="AN495" s="4">
        <v>0</v>
      </c>
      <c r="AO495" s="4">
        <v>0</v>
      </c>
      <c r="AP495" s="3" t="s">
        <v>58</v>
      </c>
      <c r="AQ495" s="3" t="s">
        <v>58</v>
      </c>
      <c r="AS495" s="6" t="str">
        <f>HYPERLINK("https://creighton-primo.hosted.exlibrisgroup.com/primo-explore/search?tab=default_tab&amp;search_scope=EVERYTHING&amp;vid=01CRU&amp;lang=en_US&amp;offset=0&amp;query=any,contains,991002259449702656","Catalog Record")</f>
        <v>Catalog Record</v>
      </c>
      <c r="AT495" s="6" t="str">
        <f>HYPERLINK("http://www.worldcat.org/oclc/303560","WorldCat Record")</f>
        <v>WorldCat Record</v>
      </c>
      <c r="AU495" s="3" t="s">
        <v>6556</v>
      </c>
      <c r="AV495" s="3" t="s">
        <v>6557</v>
      </c>
      <c r="AW495" s="3" t="s">
        <v>6558</v>
      </c>
      <c r="AX495" s="3" t="s">
        <v>6558</v>
      </c>
      <c r="AY495" s="3" t="s">
        <v>6559</v>
      </c>
      <c r="AZ495" s="3" t="s">
        <v>74</v>
      </c>
      <c r="BB495" s="3" t="s">
        <v>6560</v>
      </c>
      <c r="BC495" s="3" t="s">
        <v>6561</v>
      </c>
      <c r="BD495" s="3" t="s">
        <v>6562</v>
      </c>
    </row>
    <row r="496" spans="1:56" ht="42.75" customHeight="1" x14ac:dyDescent="0.25">
      <c r="A496" s="7" t="s">
        <v>58</v>
      </c>
      <c r="B496" s="2" t="s">
        <v>6563</v>
      </c>
      <c r="C496" s="2" t="s">
        <v>6564</v>
      </c>
      <c r="D496" s="2" t="s">
        <v>6565</v>
      </c>
      <c r="F496" s="3" t="s">
        <v>58</v>
      </c>
      <c r="G496" s="3" t="s">
        <v>59</v>
      </c>
      <c r="H496" s="3" t="s">
        <v>58</v>
      </c>
      <c r="I496" s="3" t="s">
        <v>58</v>
      </c>
      <c r="J496" s="3" t="s">
        <v>60</v>
      </c>
      <c r="K496" s="2" t="s">
        <v>6566</v>
      </c>
      <c r="L496" s="2" t="s">
        <v>6567</v>
      </c>
      <c r="M496" s="3" t="s">
        <v>4296</v>
      </c>
      <c r="N496" s="2" t="s">
        <v>4027</v>
      </c>
      <c r="O496" s="3" t="s">
        <v>64</v>
      </c>
      <c r="P496" s="3" t="s">
        <v>115</v>
      </c>
      <c r="Q496" s="2" t="s">
        <v>6568</v>
      </c>
      <c r="R496" s="3" t="s">
        <v>67</v>
      </c>
      <c r="S496" s="4">
        <v>1</v>
      </c>
      <c r="T496" s="4">
        <v>1</v>
      </c>
      <c r="U496" s="5" t="s">
        <v>6569</v>
      </c>
      <c r="V496" s="5" t="s">
        <v>6569</v>
      </c>
      <c r="W496" s="5" t="s">
        <v>3917</v>
      </c>
      <c r="X496" s="5" t="s">
        <v>3917</v>
      </c>
      <c r="Y496" s="4">
        <v>224</v>
      </c>
      <c r="Z496" s="4">
        <v>130</v>
      </c>
      <c r="AA496" s="4">
        <v>296</v>
      </c>
      <c r="AB496" s="4">
        <v>2</v>
      </c>
      <c r="AC496" s="4">
        <v>3</v>
      </c>
      <c r="AD496" s="4">
        <v>6</v>
      </c>
      <c r="AE496" s="4">
        <v>8</v>
      </c>
      <c r="AF496" s="4">
        <v>0</v>
      </c>
      <c r="AG496" s="4">
        <v>0</v>
      </c>
      <c r="AH496" s="4">
        <v>3</v>
      </c>
      <c r="AI496" s="4">
        <v>4</v>
      </c>
      <c r="AJ496" s="4">
        <v>5</v>
      </c>
      <c r="AK496" s="4">
        <v>5</v>
      </c>
      <c r="AL496" s="4">
        <v>1</v>
      </c>
      <c r="AM496" s="4">
        <v>2</v>
      </c>
      <c r="AN496" s="4">
        <v>0</v>
      </c>
      <c r="AO496" s="4">
        <v>0</v>
      </c>
      <c r="AP496" s="3" t="s">
        <v>58</v>
      </c>
      <c r="AQ496" s="3" t="s">
        <v>86</v>
      </c>
      <c r="AR496" s="6" t="str">
        <f>HYPERLINK("http://catalog.hathitrust.org/Record/000033167","HathiTrust Record")</f>
        <v>HathiTrust Record</v>
      </c>
      <c r="AS496" s="6" t="str">
        <f>HYPERLINK("https://creighton-primo.hosted.exlibrisgroup.com/primo-explore/search?tab=default_tab&amp;search_scope=EVERYTHING&amp;vid=01CRU&amp;lang=en_US&amp;offset=0&amp;query=any,contains,991003545779702656","Catalog Record")</f>
        <v>Catalog Record</v>
      </c>
      <c r="AT496" s="6" t="str">
        <f>HYPERLINK("http://www.worldcat.org/oclc/1111471","WorldCat Record")</f>
        <v>WorldCat Record</v>
      </c>
      <c r="AU496" s="3" t="s">
        <v>6570</v>
      </c>
      <c r="AV496" s="3" t="s">
        <v>6571</v>
      </c>
      <c r="AW496" s="3" t="s">
        <v>6572</v>
      </c>
      <c r="AX496" s="3" t="s">
        <v>6572</v>
      </c>
      <c r="AY496" s="3" t="s">
        <v>6573</v>
      </c>
      <c r="AZ496" s="3" t="s">
        <v>74</v>
      </c>
      <c r="BB496" s="3" t="s">
        <v>6574</v>
      </c>
      <c r="BC496" s="3" t="s">
        <v>6575</v>
      </c>
      <c r="BD496" s="3" t="s">
        <v>6576</v>
      </c>
    </row>
    <row r="497" spans="1:56" ht="42.75" customHeight="1" x14ac:dyDescent="0.25">
      <c r="A497" s="7" t="s">
        <v>58</v>
      </c>
      <c r="B497" s="2" t="s">
        <v>6577</v>
      </c>
      <c r="C497" s="2" t="s">
        <v>6578</v>
      </c>
      <c r="D497" s="2" t="s">
        <v>6579</v>
      </c>
      <c r="E497" s="3" t="s">
        <v>252</v>
      </c>
      <c r="F497" s="3" t="s">
        <v>58</v>
      </c>
      <c r="G497" s="3" t="s">
        <v>59</v>
      </c>
      <c r="H497" s="3" t="s">
        <v>58</v>
      </c>
      <c r="I497" s="3" t="s">
        <v>58</v>
      </c>
      <c r="J497" s="3" t="s">
        <v>60</v>
      </c>
      <c r="L497" s="2" t="s">
        <v>6580</v>
      </c>
      <c r="M497" s="3" t="s">
        <v>2770</v>
      </c>
      <c r="O497" s="3" t="s">
        <v>64</v>
      </c>
      <c r="P497" s="3" t="s">
        <v>6581</v>
      </c>
      <c r="Q497" s="2" t="s">
        <v>6582</v>
      </c>
      <c r="R497" s="3" t="s">
        <v>67</v>
      </c>
      <c r="S497" s="4">
        <v>3</v>
      </c>
      <c r="T497" s="4">
        <v>3</v>
      </c>
      <c r="U497" s="5" t="s">
        <v>6583</v>
      </c>
      <c r="V497" s="5" t="s">
        <v>6583</v>
      </c>
      <c r="W497" s="5" t="s">
        <v>6584</v>
      </c>
      <c r="X497" s="5" t="s">
        <v>6584</v>
      </c>
      <c r="Y497" s="4">
        <v>204</v>
      </c>
      <c r="Z497" s="4">
        <v>182</v>
      </c>
      <c r="AA497" s="4">
        <v>191</v>
      </c>
      <c r="AB497" s="4">
        <v>2</v>
      </c>
      <c r="AC497" s="4">
        <v>2</v>
      </c>
      <c r="AD497" s="4">
        <v>10</v>
      </c>
      <c r="AE497" s="4">
        <v>10</v>
      </c>
      <c r="AF497" s="4">
        <v>1</v>
      </c>
      <c r="AG497" s="4">
        <v>1</v>
      </c>
      <c r="AH497" s="4">
        <v>4</v>
      </c>
      <c r="AI497" s="4">
        <v>4</v>
      </c>
      <c r="AJ497" s="4">
        <v>6</v>
      </c>
      <c r="AK497" s="4">
        <v>6</v>
      </c>
      <c r="AL497" s="4">
        <v>1</v>
      </c>
      <c r="AM497" s="4">
        <v>1</v>
      </c>
      <c r="AN497" s="4">
        <v>0</v>
      </c>
      <c r="AO497" s="4">
        <v>0</v>
      </c>
      <c r="AP497" s="3" t="s">
        <v>58</v>
      </c>
      <c r="AQ497" s="3" t="s">
        <v>86</v>
      </c>
      <c r="AR497" s="6" t="str">
        <f>HYPERLINK("http://catalog.hathitrust.org/Record/002587443","HathiTrust Record")</f>
        <v>HathiTrust Record</v>
      </c>
      <c r="AS497" s="6" t="str">
        <f>HYPERLINK("https://creighton-primo.hosted.exlibrisgroup.com/primo-explore/search?tab=default_tab&amp;search_scope=EVERYTHING&amp;vid=01CRU&amp;lang=en_US&amp;offset=0&amp;query=any,contains,991004972169702656","Catalog Record")</f>
        <v>Catalog Record</v>
      </c>
      <c r="AT497" s="6" t="str">
        <f>HYPERLINK("http://www.worldcat.org/oclc/5906820","WorldCat Record")</f>
        <v>WorldCat Record</v>
      </c>
      <c r="AU497" s="3" t="s">
        <v>6585</v>
      </c>
      <c r="AV497" s="3" t="s">
        <v>6586</v>
      </c>
      <c r="AW497" s="3" t="s">
        <v>6587</v>
      </c>
      <c r="AX497" s="3" t="s">
        <v>6587</v>
      </c>
      <c r="AY497" s="3" t="s">
        <v>6588</v>
      </c>
      <c r="AZ497" s="3" t="s">
        <v>74</v>
      </c>
      <c r="BB497" s="3" t="s">
        <v>6589</v>
      </c>
      <c r="BC497" s="3" t="s">
        <v>6590</v>
      </c>
      <c r="BD497" s="3" t="s">
        <v>6591</v>
      </c>
    </row>
    <row r="498" spans="1:56" ht="42.75" customHeight="1" x14ac:dyDescent="0.25">
      <c r="A498" s="7" t="s">
        <v>58</v>
      </c>
      <c r="B498" s="2" t="s">
        <v>6592</v>
      </c>
      <c r="C498" s="2" t="s">
        <v>6593</v>
      </c>
      <c r="D498" s="2" t="s">
        <v>6594</v>
      </c>
      <c r="E498" s="3" t="s">
        <v>6595</v>
      </c>
      <c r="F498" s="3" t="s">
        <v>58</v>
      </c>
      <c r="G498" s="3" t="s">
        <v>59</v>
      </c>
      <c r="H498" s="3" t="s">
        <v>58</v>
      </c>
      <c r="I498" s="3" t="s">
        <v>58</v>
      </c>
      <c r="J498" s="3" t="s">
        <v>60</v>
      </c>
      <c r="L498" s="2" t="s">
        <v>6596</v>
      </c>
      <c r="M498" s="3" t="s">
        <v>371</v>
      </c>
      <c r="O498" s="3" t="s">
        <v>64</v>
      </c>
      <c r="P498" s="3" t="s">
        <v>99</v>
      </c>
      <c r="Q498" s="2" t="s">
        <v>6597</v>
      </c>
      <c r="R498" s="3" t="s">
        <v>67</v>
      </c>
      <c r="S498" s="4">
        <v>7</v>
      </c>
      <c r="T498" s="4">
        <v>7</v>
      </c>
      <c r="U498" s="5" t="s">
        <v>6598</v>
      </c>
      <c r="V498" s="5" t="s">
        <v>6598</v>
      </c>
      <c r="W498" s="5" t="s">
        <v>6584</v>
      </c>
      <c r="X498" s="5" t="s">
        <v>6584</v>
      </c>
      <c r="Y498" s="4">
        <v>390</v>
      </c>
      <c r="Z498" s="4">
        <v>304</v>
      </c>
      <c r="AA498" s="4">
        <v>311</v>
      </c>
      <c r="AB498" s="4">
        <v>4</v>
      </c>
      <c r="AC498" s="4">
        <v>4</v>
      </c>
      <c r="AD498" s="4">
        <v>16</v>
      </c>
      <c r="AE498" s="4">
        <v>16</v>
      </c>
      <c r="AF498" s="4">
        <v>4</v>
      </c>
      <c r="AG498" s="4">
        <v>4</v>
      </c>
      <c r="AH498" s="4">
        <v>3</v>
      </c>
      <c r="AI498" s="4">
        <v>3</v>
      </c>
      <c r="AJ498" s="4">
        <v>10</v>
      </c>
      <c r="AK498" s="4">
        <v>10</v>
      </c>
      <c r="AL498" s="4">
        <v>3</v>
      </c>
      <c r="AM498" s="4">
        <v>3</v>
      </c>
      <c r="AN498" s="4">
        <v>0</v>
      </c>
      <c r="AO498" s="4">
        <v>0</v>
      </c>
      <c r="AP498" s="3" t="s">
        <v>58</v>
      </c>
      <c r="AQ498" s="3" t="s">
        <v>86</v>
      </c>
      <c r="AR498" s="6" t="str">
        <f>HYPERLINK("http://catalog.hathitrust.org/Record/000840505","HathiTrust Record")</f>
        <v>HathiTrust Record</v>
      </c>
      <c r="AS498" s="6" t="str">
        <f>HYPERLINK("https://creighton-primo.hosted.exlibrisgroup.com/primo-explore/search?tab=default_tab&amp;search_scope=EVERYTHING&amp;vid=01CRU&amp;lang=en_US&amp;offset=0&amp;query=any,contains,991000942459702656","Catalog Record")</f>
        <v>Catalog Record</v>
      </c>
      <c r="AT498" s="6" t="str">
        <f>HYPERLINK("http://www.worldcat.org/oclc/14413971","WorldCat Record")</f>
        <v>WorldCat Record</v>
      </c>
      <c r="AU498" s="3" t="s">
        <v>6599</v>
      </c>
      <c r="AV498" s="3" t="s">
        <v>6600</v>
      </c>
      <c r="AW498" s="3" t="s">
        <v>6601</v>
      </c>
      <c r="AX498" s="3" t="s">
        <v>6601</v>
      </c>
      <c r="AY498" s="3" t="s">
        <v>6602</v>
      </c>
      <c r="AZ498" s="3" t="s">
        <v>74</v>
      </c>
      <c r="BB498" s="3" t="s">
        <v>6603</v>
      </c>
      <c r="BC498" s="3" t="s">
        <v>6604</v>
      </c>
      <c r="BD498" s="3" t="s">
        <v>6605</v>
      </c>
    </row>
    <row r="499" spans="1:56" ht="42.75" customHeight="1" x14ac:dyDescent="0.25">
      <c r="A499" s="7" t="s">
        <v>58</v>
      </c>
      <c r="B499" s="2" t="s">
        <v>6606</v>
      </c>
      <c r="C499" s="2" t="s">
        <v>6607</v>
      </c>
      <c r="D499" s="2" t="s">
        <v>6608</v>
      </c>
      <c r="E499" s="3" t="s">
        <v>6609</v>
      </c>
      <c r="F499" s="3" t="s">
        <v>58</v>
      </c>
      <c r="G499" s="3" t="s">
        <v>59</v>
      </c>
      <c r="H499" s="3" t="s">
        <v>58</v>
      </c>
      <c r="I499" s="3" t="s">
        <v>58</v>
      </c>
      <c r="J499" s="3" t="s">
        <v>60</v>
      </c>
      <c r="L499" s="2" t="s">
        <v>6610</v>
      </c>
      <c r="M499" s="3" t="s">
        <v>480</v>
      </c>
      <c r="O499" s="3" t="s">
        <v>64</v>
      </c>
      <c r="P499" s="3" t="s">
        <v>99</v>
      </c>
      <c r="Q499" s="2" t="s">
        <v>6611</v>
      </c>
      <c r="R499" s="3" t="s">
        <v>67</v>
      </c>
      <c r="S499" s="4">
        <v>6</v>
      </c>
      <c r="T499" s="4">
        <v>6</v>
      </c>
      <c r="U499" s="5" t="s">
        <v>6598</v>
      </c>
      <c r="V499" s="5" t="s">
        <v>6598</v>
      </c>
      <c r="W499" s="5" t="s">
        <v>6612</v>
      </c>
      <c r="X499" s="5" t="s">
        <v>6612</v>
      </c>
      <c r="Y499" s="4">
        <v>394</v>
      </c>
      <c r="Z499" s="4">
        <v>312</v>
      </c>
      <c r="AA499" s="4">
        <v>314</v>
      </c>
      <c r="AB499" s="4">
        <v>2</v>
      </c>
      <c r="AC499" s="4">
        <v>2</v>
      </c>
      <c r="AD499" s="4">
        <v>19</v>
      </c>
      <c r="AE499" s="4">
        <v>19</v>
      </c>
      <c r="AF499" s="4">
        <v>7</v>
      </c>
      <c r="AG499" s="4">
        <v>7</v>
      </c>
      <c r="AH499" s="4">
        <v>5</v>
      </c>
      <c r="AI499" s="4">
        <v>5</v>
      </c>
      <c r="AJ499" s="4">
        <v>10</v>
      </c>
      <c r="AK499" s="4">
        <v>10</v>
      </c>
      <c r="AL499" s="4">
        <v>1</v>
      </c>
      <c r="AM499" s="4">
        <v>1</v>
      </c>
      <c r="AN499" s="4">
        <v>0</v>
      </c>
      <c r="AO499" s="4">
        <v>0</v>
      </c>
      <c r="AP499" s="3" t="s">
        <v>58</v>
      </c>
      <c r="AQ499" s="3" t="s">
        <v>58</v>
      </c>
      <c r="AS499" s="6" t="str">
        <f>HYPERLINK("https://creighton-primo.hosted.exlibrisgroup.com/primo-explore/search?tab=default_tab&amp;search_scope=EVERYTHING&amp;vid=01CRU&amp;lang=en_US&amp;offset=0&amp;query=any,contains,991001527259702656","Catalog Record")</f>
        <v>Catalog Record</v>
      </c>
      <c r="AT499" s="6" t="str">
        <f>HYPERLINK("http://www.worldcat.org/oclc/20013570","WorldCat Record")</f>
        <v>WorldCat Record</v>
      </c>
      <c r="AU499" s="3" t="s">
        <v>6613</v>
      </c>
      <c r="AV499" s="3" t="s">
        <v>6614</v>
      </c>
      <c r="AW499" s="3" t="s">
        <v>6615</v>
      </c>
      <c r="AX499" s="3" t="s">
        <v>6615</v>
      </c>
      <c r="AY499" s="3" t="s">
        <v>6616</v>
      </c>
      <c r="AZ499" s="3" t="s">
        <v>74</v>
      </c>
      <c r="BB499" s="3" t="s">
        <v>6617</v>
      </c>
      <c r="BC499" s="3" t="s">
        <v>6618</v>
      </c>
      <c r="BD499" s="3" t="s">
        <v>6619</v>
      </c>
    </row>
    <row r="500" spans="1:56" ht="42.75" customHeight="1" x14ac:dyDescent="0.25">
      <c r="A500" s="7" t="s">
        <v>58</v>
      </c>
      <c r="B500" s="2" t="s">
        <v>6620</v>
      </c>
      <c r="C500" s="2" t="s">
        <v>6621</v>
      </c>
      <c r="D500" s="2" t="s">
        <v>6622</v>
      </c>
      <c r="E500" s="3" t="s">
        <v>6623</v>
      </c>
      <c r="F500" s="3" t="s">
        <v>58</v>
      </c>
      <c r="G500" s="3" t="s">
        <v>59</v>
      </c>
      <c r="H500" s="3" t="s">
        <v>58</v>
      </c>
      <c r="I500" s="3" t="s">
        <v>58</v>
      </c>
      <c r="J500" s="3" t="s">
        <v>60</v>
      </c>
      <c r="L500" s="2" t="s">
        <v>6624</v>
      </c>
      <c r="M500" s="3" t="s">
        <v>642</v>
      </c>
      <c r="O500" s="3" t="s">
        <v>64</v>
      </c>
      <c r="P500" s="3" t="s">
        <v>99</v>
      </c>
      <c r="Q500" s="2" t="s">
        <v>6625</v>
      </c>
      <c r="R500" s="3" t="s">
        <v>67</v>
      </c>
      <c r="S500" s="4">
        <v>9</v>
      </c>
      <c r="T500" s="4">
        <v>9</v>
      </c>
      <c r="U500" s="5" t="s">
        <v>4592</v>
      </c>
      <c r="V500" s="5" t="s">
        <v>4592</v>
      </c>
      <c r="W500" s="5" t="s">
        <v>6626</v>
      </c>
      <c r="X500" s="5" t="s">
        <v>6626</v>
      </c>
      <c r="Y500" s="4">
        <v>257</v>
      </c>
      <c r="Z500" s="4">
        <v>193</v>
      </c>
      <c r="AA500" s="4">
        <v>495</v>
      </c>
      <c r="AB500" s="4">
        <v>3</v>
      </c>
      <c r="AC500" s="4">
        <v>5</v>
      </c>
      <c r="AD500" s="4">
        <v>15</v>
      </c>
      <c r="AE500" s="4">
        <v>18</v>
      </c>
      <c r="AF500" s="4">
        <v>3</v>
      </c>
      <c r="AG500" s="4">
        <v>4</v>
      </c>
      <c r="AH500" s="4">
        <v>5</v>
      </c>
      <c r="AI500" s="4">
        <v>5</v>
      </c>
      <c r="AJ500" s="4">
        <v>8</v>
      </c>
      <c r="AK500" s="4">
        <v>9</v>
      </c>
      <c r="AL500" s="4">
        <v>2</v>
      </c>
      <c r="AM500" s="4">
        <v>4</v>
      </c>
      <c r="AN500" s="4">
        <v>0</v>
      </c>
      <c r="AO500" s="4">
        <v>0</v>
      </c>
      <c r="AP500" s="3" t="s">
        <v>58</v>
      </c>
      <c r="AQ500" s="3" t="s">
        <v>58</v>
      </c>
      <c r="AS500" s="6" t="str">
        <f>HYPERLINK("https://creighton-primo.hosted.exlibrisgroup.com/primo-explore/search?tab=default_tab&amp;search_scope=EVERYTHING&amp;vid=01CRU&amp;lang=en_US&amp;offset=0&amp;query=any,contains,991001942419702656","Catalog Record")</f>
        <v>Catalog Record</v>
      </c>
      <c r="AT500" s="6" t="str">
        <f>HYPERLINK("http://www.worldcat.org/oclc/24543564","WorldCat Record")</f>
        <v>WorldCat Record</v>
      </c>
      <c r="AU500" s="3" t="s">
        <v>6627</v>
      </c>
      <c r="AV500" s="3" t="s">
        <v>6628</v>
      </c>
      <c r="AW500" s="3" t="s">
        <v>6629</v>
      </c>
      <c r="AX500" s="3" t="s">
        <v>6629</v>
      </c>
      <c r="AY500" s="3" t="s">
        <v>6630</v>
      </c>
      <c r="AZ500" s="3" t="s">
        <v>74</v>
      </c>
      <c r="BB500" s="3" t="s">
        <v>6631</v>
      </c>
      <c r="BC500" s="3" t="s">
        <v>6632</v>
      </c>
      <c r="BD500" s="3" t="s">
        <v>6633</v>
      </c>
    </row>
    <row r="501" spans="1:56" ht="42.75" customHeight="1" x14ac:dyDescent="0.25">
      <c r="A501" s="7" t="s">
        <v>58</v>
      </c>
      <c r="B501" s="2" t="s">
        <v>6634</v>
      </c>
      <c r="C501" s="2" t="s">
        <v>6635</v>
      </c>
      <c r="D501" s="2" t="s">
        <v>6636</v>
      </c>
      <c r="E501" s="3" t="s">
        <v>6637</v>
      </c>
      <c r="F501" s="3" t="s">
        <v>58</v>
      </c>
      <c r="G501" s="3" t="s">
        <v>59</v>
      </c>
      <c r="H501" s="3" t="s">
        <v>58</v>
      </c>
      <c r="I501" s="3" t="s">
        <v>58</v>
      </c>
      <c r="J501" s="3" t="s">
        <v>60</v>
      </c>
      <c r="L501" s="2" t="s">
        <v>6638</v>
      </c>
      <c r="M501" s="3" t="s">
        <v>642</v>
      </c>
      <c r="O501" s="3" t="s">
        <v>64</v>
      </c>
      <c r="P501" s="3" t="s">
        <v>99</v>
      </c>
      <c r="Q501" s="2" t="s">
        <v>6639</v>
      </c>
      <c r="R501" s="3" t="s">
        <v>67</v>
      </c>
      <c r="S501" s="4">
        <v>9</v>
      </c>
      <c r="T501" s="4">
        <v>9</v>
      </c>
      <c r="U501" s="5" t="s">
        <v>6640</v>
      </c>
      <c r="V501" s="5" t="s">
        <v>6640</v>
      </c>
      <c r="W501" s="5" t="s">
        <v>6641</v>
      </c>
      <c r="X501" s="5" t="s">
        <v>6641</v>
      </c>
      <c r="Y501" s="4">
        <v>185</v>
      </c>
      <c r="Z501" s="4">
        <v>137</v>
      </c>
      <c r="AA501" s="4">
        <v>137</v>
      </c>
      <c r="AB501" s="4">
        <v>1</v>
      </c>
      <c r="AC501" s="4">
        <v>1</v>
      </c>
      <c r="AD501" s="4">
        <v>8</v>
      </c>
      <c r="AE501" s="4">
        <v>8</v>
      </c>
      <c r="AF501" s="4">
        <v>1</v>
      </c>
      <c r="AG501" s="4">
        <v>1</v>
      </c>
      <c r="AH501" s="4">
        <v>4</v>
      </c>
      <c r="AI501" s="4">
        <v>4</v>
      </c>
      <c r="AJ501" s="4">
        <v>5</v>
      </c>
      <c r="AK501" s="4">
        <v>5</v>
      </c>
      <c r="AL501" s="4">
        <v>0</v>
      </c>
      <c r="AM501" s="4">
        <v>0</v>
      </c>
      <c r="AN501" s="4">
        <v>0</v>
      </c>
      <c r="AO501" s="4">
        <v>0</v>
      </c>
      <c r="AP501" s="3" t="s">
        <v>58</v>
      </c>
      <c r="AQ501" s="3" t="s">
        <v>58</v>
      </c>
      <c r="AS501" s="6" t="str">
        <f>HYPERLINK("https://creighton-primo.hosted.exlibrisgroup.com/primo-explore/search?tab=default_tab&amp;search_scope=EVERYTHING&amp;vid=01CRU&amp;lang=en_US&amp;offset=0&amp;query=any,contains,991002014179702656","Catalog Record")</f>
        <v>Catalog Record</v>
      </c>
      <c r="AT501" s="6" t="str">
        <f>HYPERLINK("http://www.worldcat.org/oclc/25630316","WorldCat Record")</f>
        <v>WorldCat Record</v>
      </c>
      <c r="AU501" s="3" t="s">
        <v>6642</v>
      </c>
      <c r="AV501" s="3" t="s">
        <v>6643</v>
      </c>
      <c r="AW501" s="3" t="s">
        <v>6644</v>
      </c>
      <c r="AX501" s="3" t="s">
        <v>6644</v>
      </c>
      <c r="AY501" s="3" t="s">
        <v>6645</v>
      </c>
      <c r="AZ501" s="3" t="s">
        <v>74</v>
      </c>
      <c r="BB501" s="3" t="s">
        <v>6646</v>
      </c>
      <c r="BC501" s="3" t="s">
        <v>6647</v>
      </c>
      <c r="BD501" s="3" t="s">
        <v>6648</v>
      </c>
    </row>
    <row r="502" spans="1:56" ht="42.75" customHeight="1" x14ac:dyDescent="0.25">
      <c r="A502" s="7" t="s">
        <v>58</v>
      </c>
      <c r="B502" s="2" t="s">
        <v>6649</v>
      </c>
      <c r="C502" s="2" t="s">
        <v>6650</v>
      </c>
      <c r="D502" s="2" t="s">
        <v>6651</v>
      </c>
      <c r="E502" s="3" t="s">
        <v>341</v>
      </c>
      <c r="F502" s="3" t="s">
        <v>58</v>
      </c>
      <c r="G502" s="3" t="s">
        <v>59</v>
      </c>
      <c r="H502" s="3" t="s">
        <v>58</v>
      </c>
      <c r="I502" s="3" t="s">
        <v>58</v>
      </c>
      <c r="J502" s="3" t="s">
        <v>60</v>
      </c>
      <c r="L502" s="2" t="s">
        <v>6652</v>
      </c>
      <c r="M502" s="3" t="s">
        <v>1574</v>
      </c>
      <c r="O502" s="3" t="s">
        <v>64</v>
      </c>
      <c r="P502" s="3" t="s">
        <v>6581</v>
      </c>
      <c r="Q502" s="2" t="s">
        <v>6653</v>
      </c>
      <c r="R502" s="3" t="s">
        <v>67</v>
      </c>
      <c r="S502" s="4">
        <v>1</v>
      </c>
      <c r="T502" s="4">
        <v>1</v>
      </c>
      <c r="U502" s="5" t="s">
        <v>2479</v>
      </c>
      <c r="V502" s="5" t="s">
        <v>2479</v>
      </c>
      <c r="W502" s="5" t="s">
        <v>6584</v>
      </c>
      <c r="X502" s="5" t="s">
        <v>6584</v>
      </c>
      <c r="Y502" s="4">
        <v>78</v>
      </c>
      <c r="Z502" s="4">
        <v>73</v>
      </c>
      <c r="AA502" s="4">
        <v>75</v>
      </c>
      <c r="AB502" s="4">
        <v>2</v>
      </c>
      <c r="AC502" s="4">
        <v>2</v>
      </c>
      <c r="AD502" s="4">
        <v>1</v>
      </c>
      <c r="AE502" s="4">
        <v>1</v>
      </c>
      <c r="AF502" s="4">
        <v>0</v>
      </c>
      <c r="AG502" s="4">
        <v>0</v>
      </c>
      <c r="AH502" s="4">
        <v>0</v>
      </c>
      <c r="AI502" s="4">
        <v>0</v>
      </c>
      <c r="AJ502" s="4">
        <v>0</v>
      </c>
      <c r="AK502" s="4">
        <v>0</v>
      </c>
      <c r="AL502" s="4">
        <v>1</v>
      </c>
      <c r="AM502" s="4">
        <v>1</v>
      </c>
      <c r="AN502" s="4">
        <v>0</v>
      </c>
      <c r="AO502" s="4">
        <v>0</v>
      </c>
      <c r="AP502" s="3" t="s">
        <v>58</v>
      </c>
      <c r="AQ502" s="3" t="s">
        <v>58</v>
      </c>
      <c r="AS502" s="6" t="str">
        <f>HYPERLINK("https://creighton-primo.hosted.exlibrisgroup.com/primo-explore/search?tab=default_tab&amp;search_scope=EVERYTHING&amp;vid=01CRU&amp;lang=en_US&amp;offset=0&amp;query=any,contains,991000076099702656","Catalog Record")</f>
        <v>Catalog Record</v>
      </c>
      <c r="AT502" s="6" t="str">
        <f>HYPERLINK("http://www.worldcat.org/oclc/8806075","WorldCat Record")</f>
        <v>WorldCat Record</v>
      </c>
      <c r="AU502" s="3" t="s">
        <v>6654</v>
      </c>
      <c r="AV502" s="3" t="s">
        <v>6655</v>
      </c>
      <c r="AW502" s="3" t="s">
        <v>6656</v>
      </c>
      <c r="AX502" s="3" t="s">
        <v>6656</v>
      </c>
      <c r="AY502" s="3" t="s">
        <v>6657</v>
      </c>
      <c r="AZ502" s="3" t="s">
        <v>74</v>
      </c>
      <c r="BB502" s="3" t="s">
        <v>6658</v>
      </c>
      <c r="BC502" s="3" t="s">
        <v>6659</v>
      </c>
      <c r="BD502" s="3" t="s">
        <v>6660</v>
      </c>
    </row>
    <row r="503" spans="1:56" ht="42.75" customHeight="1" x14ac:dyDescent="0.25">
      <c r="A503" s="7" t="s">
        <v>58</v>
      </c>
      <c r="B503" s="2" t="s">
        <v>6661</v>
      </c>
      <c r="C503" s="2" t="s">
        <v>6662</v>
      </c>
      <c r="D503" s="2" t="s">
        <v>6663</v>
      </c>
      <c r="E503" s="3" t="s">
        <v>3536</v>
      </c>
      <c r="F503" s="3" t="s">
        <v>58</v>
      </c>
      <c r="G503" s="3" t="s">
        <v>59</v>
      </c>
      <c r="H503" s="3" t="s">
        <v>58</v>
      </c>
      <c r="I503" s="3" t="s">
        <v>58</v>
      </c>
      <c r="J503" s="3" t="s">
        <v>60</v>
      </c>
      <c r="L503" s="2" t="s">
        <v>6664</v>
      </c>
      <c r="M503" s="3" t="s">
        <v>238</v>
      </c>
      <c r="O503" s="3" t="s">
        <v>64</v>
      </c>
      <c r="P503" s="3" t="s">
        <v>6581</v>
      </c>
      <c r="Q503" s="2" t="s">
        <v>6665</v>
      </c>
      <c r="R503" s="3" t="s">
        <v>67</v>
      </c>
      <c r="S503" s="4">
        <v>1</v>
      </c>
      <c r="T503" s="4">
        <v>1</v>
      </c>
      <c r="U503" s="5" t="s">
        <v>6666</v>
      </c>
      <c r="V503" s="5" t="s">
        <v>6666</v>
      </c>
      <c r="W503" s="5" t="s">
        <v>6584</v>
      </c>
      <c r="X503" s="5" t="s">
        <v>6584</v>
      </c>
      <c r="Y503" s="4">
        <v>322</v>
      </c>
      <c r="Z503" s="4">
        <v>275</v>
      </c>
      <c r="AA503" s="4">
        <v>285</v>
      </c>
      <c r="AB503" s="4">
        <v>4</v>
      </c>
      <c r="AC503" s="4">
        <v>4</v>
      </c>
      <c r="AD503" s="4">
        <v>12</v>
      </c>
      <c r="AE503" s="4">
        <v>12</v>
      </c>
      <c r="AF503" s="4">
        <v>3</v>
      </c>
      <c r="AG503" s="4">
        <v>3</v>
      </c>
      <c r="AH503" s="4">
        <v>4</v>
      </c>
      <c r="AI503" s="4">
        <v>4</v>
      </c>
      <c r="AJ503" s="4">
        <v>8</v>
      </c>
      <c r="AK503" s="4">
        <v>8</v>
      </c>
      <c r="AL503" s="4">
        <v>2</v>
      </c>
      <c r="AM503" s="4">
        <v>2</v>
      </c>
      <c r="AN503" s="4">
        <v>0</v>
      </c>
      <c r="AO503" s="4">
        <v>0</v>
      </c>
      <c r="AP503" s="3" t="s">
        <v>58</v>
      </c>
      <c r="AQ503" s="3" t="s">
        <v>86</v>
      </c>
      <c r="AR503" s="6" t="str">
        <f>HYPERLINK("http://catalog.hathitrust.org/Record/002587426","HathiTrust Record")</f>
        <v>HathiTrust Record</v>
      </c>
      <c r="AS503" s="6" t="str">
        <f>HYPERLINK("https://creighton-primo.hosted.exlibrisgroup.com/primo-explore/search?tab=default_tab&amp;search_scope=EVERYTHING&amp;vid=01CRU&amp;lang=en_US&amp;offset=0&amp;query=any,contains,991004677879702656","Catalog Record")</f>
        <v>Catalog Record</v>
      </c>
      <c r="AT503" s="6" t="str">
        <f>HYPERLINK("http://www.worldcat.org/oclc/4549510","WorldCat Record")</f>
        <v>WorldCat Record</v>
      </c>
      <c r="AU503" s="3" t="s">
        <v>6667</v>
      </c>
      <c r="AV503" s="3" t="s">
        <v>6668</v>
      </c>
      <c r="AW503" s="3" t="s">
        <v>6669</v>
      </c>
      <c r="AX503" s="3" t="s">
        <v>6669</v>
      </c>
      <c r="AY503" s="3" t="s">
        <v>6670</v>
      </c>
      <c r="AZ503" s="3" t="s">
        <v>74</v>
      </c>
      <c r="BB503" s="3" t="s">
        <v>6658</v>
      </c>
      <c r="BC503" s="3" t="s">
        <v>6671</v>
      </c>
      <c r="BD503" s="3" t="s">
        <v>6672</v>
      </c>
    </row>
    <row r="504" spans="1:56" ht="42.75" customHeight="1" x14ac:dyDescent="0.25">
      <c r="A504" s="7" t="s">
        <v>58</v>
      </c>
      <c r="B504" s="2" t="s">
        <v>6673</v>
      </c>
      <c r="C504" s="2" t="s">
        <v>6674</v>
      </c>
      <c r="D504" s="2" t="s">
        <v>6675</v>
      </c>
      <c r="E504" s="3" t="s">
        <v>3526</v>
      </c>
      <c r="F504" s="3" t="s">
        <v>58</v>
      </c>
      <c r="G504" s="3" t="s">
        <v>59</v>
      </c>
      <c r="H504" s="3" t="s">
        <v>58</v>
      </c>
      <c r="I504" s="3" t="s">
        <v>58</v>
      </c>
      <c r="J504" s="3" t="s">
        <v>60</v>
      </c>
      <c r="L504" s="2" t="s">
        <v>6676</v>
      </c>
      <c r="M504" s="3" t="s">
        <v>344</v>
      </c>
      <c r="O504" s="3" t="s">
        <v>64</v>
      </c>
      <c r="P504" s="3" t="s">
        <v>6581</v>
      </c>
      <c r="Q504" s="2" t="s">
        <v>6677</v>
      </c>
      <c r="R504" s="3" t="s">
        <v>67</v>
      </c>
      <c r="S504" s="4">
        <v>9</v>
      </c>
      <c r="T504" s="4">
        <v>9</v>
      </c>
      <c r="U504" s="5" t="s">
        <v>6678</v>
      </c>
      <c r="V504" s="5" t="s">
        <v>6678</v>
      </c>
      <c r="W504" s="5" t="s">
        <v>6584</v>
      </c>
      <c r="X504" s="5" t="s">
        <v>6584</v>
      </c>
      <c r="Y504" s="4">
        <v>408</v>
      </c>
      <c r="Z504" s="4">
        <v>336</v>
      </c>
      <c r="AA504" s="4">
        <v>341</v>
      </c>
      <c r="AB504" s="4">
        <v>4</v>
      </c>
      <c r="AC504" s="4">
        <v>4</v>
      </c>
      <c r="AD504" s="4">
        <v>18</v>
      </c>
      <c r="AE504" s="4">
        <v>18</v>
      </c>
      <c r="AF504" s="4">
        <v>5</v>
      </c>
      <c r="AG504" s="4">
        <v>5</v>
      </c>
      <c r="AH504" s="4">
        <v>4</v>
      </c>
      <c r="AI504" s="4">
        <v>4</v>
      </c>
      <c r="AJ504" s="4">
        <v>10</v>
      </c>
      <c r="AK504" s="4">
        <v>10</v>
      </c>
      <c r="AL504" s="4">
        <v>3</v>
      </c>
      <c r="AM504" s="4">
        <v>3</v>
      </c>
      <c r="AN504" s="4">
        <v>0</v>
      </c>
      <c r="AO504" s="4">
        <v>0</v>
      </c>
      <c r="AP504" s="3" t="s">
        <v>58</v>
      </c>
      <c r="AQ504" s="3" t="s">
        <v>58</v>
      </c>
      <c r="AS504" s="6" t="str">
        <f>HYPERLINK("https://creighton-primo.hosted.exlibrisgroup.com/primo-explore/search?tab=default_tab&amp;search_scope=EVERYTHING&amp;vid=01CRU&amp;lang=en_US&amp;offset=0&amp;query=any,contains,991004968399702656","Catalog Record")</f>
        <v>Catalog Record</v>
      </c>
      <c r="AT504" s="6" t="str">
        <f>HYPERLINK("http://www.worldcat.org/oclc/6355510","WorldCat Record")</f>
        <v>WorldCat Record</v>
      </c>
      <c r="AU504" s="3" t="s">
        <v>6679</v>
      </c>
      <c r="AV504" s="3" t="s">
        <v>6680</v>
      </c>
      <c r="AW504" s="3" t="s">
        <v>6681</v>
      </c>
      <c r="AX504" s="3" t="s">
        <v>6681</v>
      </c>
      <c r="AY504" s="3" t="s">
        <v>6682</v>
      </c>
      <c r="AZ504" s="3" t="s">
        <v>74</v>
      </c>
      <c r="BB504" s="3" t="s">
        <v>6683</v>
      </c>
      <c r="BC504" s="3" t="s">
        <v>6684</v>
      </c>
      <c r="BD504" s="3" t="s">
        <v>6685</v>
      </c>
    </row>
    <row r="505" spans="1:56" ht="42.75" customHeight="1" x14ac:dyDescent="0.25">
      <c r="A505" s="7" t="s">
        <v>58</v>
      </c>
      <c r="B505" s="2" t="s">
        <v>6686</v>
      </c>
      <c r="C505" s="2" t="s">
        <v>6687</v>
      </c>
      <c r="D505" s="2" t="s">
        <v>6688</v>
      </c>
      <c r="E505" s="3" t="s">
        <v>6689</v>
      </c>
      <c r="F505" s="3" t="s">
        <v>58</v>
      </c>
      <c r="G505" s="3" t="s">
        <v>59</v>
      </c>
      <c r="H505" s="3" t="s">
        <v>58</v>
      </c>
      <c r="I505" s="3" t="s">
        <v>58</v>
      </c>
      <c r="J505" s="3" t="s">
        <v>60</v>
      </c>
      <c r="K505" s="2" t="s">
        <v>6690</v>
      </c>
      <c r="L505" s="2" t="s">
        <v>6691</v>
      </c>
      <c r="M505" s="3" t="s">
        <v>207</v>
      </c>
      <c r="O505" s="3" t="s">
        <v>64</v>
      </c>
      <c r="P505" s="3" t="s">
        <v>6581</v>
      </c>
      <c r="Q505" s="2" t="s">
        <v>6692</v>
      </c>
      <c r="R505" s="3" t="s">
        <v>67</v>
      </c>
      <c r="S505" s="4">
        <v>2</v>
      </c>
      <c r="T505" s="4">
        <v>2</v>
      </c>
      <c r="U505" s="5" t="s">
        <v>6583</v>
      </c>
      <c r="V505" s="5" t="s">
        <v>6583</v>
      </c>
      <c r="W505" s="5" t="s">
        <v>6584</v>
      </c>
      <c r="X505" s="5" t="s">
        <v>6584</v>
      </c>
      <c r="Y505" s="4">
        <v>341</v>
      </c>
      <c r="Z505" s="4">
        <v>287</v>
      </c>
      <c r="AA505" s="4">
        <v>298</v>
      </c>
      <c r="AB505" s="4">
        <v>3</v>
      </c>
      <c r="AC505" s="4">
        <v>3</v>
      </c>
      <c r="AD505" s="4">
        <v>15</v>
      </c>
      <c r="AE505" s="4">
        <v>15</v>
      </c>
      <c r="AF505" s="4">
        <v>4</v>
      </c>
      <c r="AG505" s="4">
        <v>4</v>
      </c>
      <c r="AH505" s="4">
        <v>5</v>
      </c>
      <c r="AI505" s="4">
        <v>5</v>
      </c>
      <c r="AJ505" s="4">
        <v>9</v>
      </c>
      <c r="AK505" s="4">
        <v>9</v>
      </c>
      <c r="AL505" s="4">
        <v>2</v>
      </c>
      <c r="AM505" s="4">
        <v>2</v>
      </c>
      <c r="AN505" s="4">
        <v>0</v>
      </c>
      <c r="AO505" s="4">
        <v>0</v>
      </c>
      <c r="AP505" s="3" t="s">
        <v>58</v>
      </c>
      <c r="AQ505" s="3" t="s">
        <v>86</v>
      </c>
      <c r="AR505" s="6" t="str">
        <f>HYPERLINK("http://catalog.hathitrust.org/Record/002564696","HathiTrust Record")</f>
        <v>HathiTrust Record</v>
      </c>
      <c r="AS505" s="6" t="str">
        <f>HYPERLINK("https://creighton-primo.hosted.exlibrisgroup.com/primo-explore/search?tab=default_tab&amp;search_scope=EVERYTHING&amp;vid=01CRU&amp;lang=en_US&amp;offset=0&amp;query=any,contains,991005121939702656","Catalog Record")</f>
        <v>Catalog Record</v>
      </c>
      <c r="AT505" s="6" t="str">
        <f>HYPERLINK("http://www.worldcat.org/oclc/7717020","WorldCat Record")</f>
        <v>WorldCat Record</v>
      </c>
      <c r="AU505" s="3" t="s">
        <v>6693</v>
      </c>
      <c r="AV505" s="3" t="s">
        <v>6694</v>
      </c>
      <c r="AW505" s="3" t="s">
        <v>6695</v>
      </c>
      <c r="AX505" s="3" t="s">
        <v>6695</v>
      </c>
      <c r="AY505" s="3" t="s">
        <v>6696</v>
      </c>
      <c r="AZ505" s="3" t="s">
        <v>74</v>
      </c>
      <c r="BB505" s="3" t="s">
        <v>6697</v>
      </c>
      <c r="BC505" s="3" t="s">
        <v>6698</v>
      </c>
      <c r="BD505" s="3" t="s">
        <v>6699</v>
      </c>
    </row>
    <row r="506" spans="1:56" ht="42.75" customHeight="1" x14ac:dyDescent="0.25">
      <c r="A506" s="7" t="s">
        <v>58</v>
      </c>
      <c r="B506" s="2" t="s">
        <v>6700</v>
      </c>
      <c r="C506" s="2" t="s">
        <v>6701</v>
      </c>
      <c r="D506" s="2" t="s">
        <v>6702</v>
      </c>
      <c r="E506" s="3" t="s">
        <v>6703</v>
      </c>
      <c r="F506" s="3" t="s">
        <v>58</v>
      </c>
      <c r="G506" s="3" t="s">
        <v>59</v>
      </c>
      <c r="H506" s="3" t="s">
        <v>58</v>
      </c>
      <c r="I506" s="3" t="s">
        <v>58</v>
      </c>
      <c r="J506" s="3" t="s">
        <v>60</v>
      </c>
      <c r="K506" s="2" t="s">
        <v>6704</v>
      </c>
      <c r="L506" s="2" t="s">
        <v>6705</v>
      </c>
      <c r="M506" s="3" t="s">
        <v>63</v>
      </c>
      <c r="O506" s="3" t="s">
        <v>64</v>
      </c>
      <c r="P506" s="3" t="s">
        <v>6581</v>
      </c>
      <c r="Q506" s="2" t="s">
        <v>6706</v>
      </c>
      <c r="R506" s="3" t="s">
        <v>67</v>
      </c>
      <c r="S506" s="4">
        <v>5</v>
      </c>
      <c r="T506" s="4">
        <v>5</v>
      </c>
      <c r="U506" s="5" t="s">
        <v>6598</v>
      </c>
      <c r="V506" s="5" t="s">
        <v>6598</v>
      </c>
      <c r="W506" s="5" t="s">
        <v>6584</v>
      </c>
      <c r="X506" s="5" t="s">
        <v>6584</v>
      </c>
      <c r="Y506" s="4">
        <v>370</v>
      </c>
      <c r="Z506" s="4">
        <v>321</v>
      </c>
      <c r="AA506" s="4">
        <v>328</v>
      </c>
      <c r="AB506" s="4">
        <v>2</v>
      </c>
      <c r="AC506" s="4">
        <v>2</v>
      </c>
      <c r="AD506" s="4">
        <v>11</v>
      </c>
      <c r="AE506" s="4">
        <v>11</v>
      </c>
      <c r="AF506" s="4">
        <v>3</v>
      </c>
      <c r="AG506" s="4">
        <v>3</v>
      </c>
      <c r="AH506" s="4">
        <v>2</v>
      </c>
      <c r="AI506" s="4">
        <v>2</v>
      </c>
      <c r="AJ506" s="4">
        <v>6</v>
      </c>
      <c r="AK506" s="4">
        <v>6</v>
      </c>
      <c r="AL506" s="4">
        <v>1</v>
      </c>
      <c r="AM506" s="4">
        <v>1</v>
      </c>
      <c r="AN506" s="4">
        <v>0</v>
      </c>
      <c r="AO506" s="4">
        <v>0</v>
      </c>
      <c r="AP506" s="3" t="s">
        <v>58</v>
      </c>
      <c r="AQ506" s="3" t="s">
        <v>58</v>
      </c>
      <c r="AS506" s="6" t="str">
        <f>HYPERLINK("https://creighton-primo.hosted.exlibrisgroup.com/primo-explore/search?tab=default_tab&amp;search_scope=EVERYTHING&amp;vid=01CRU&amp;lang=en_US&amp;offset=0&amp;query=any,contains,991000195329702656","Catalog Record")</f>
        <v>Catalog Record</v>
      </c>
      <c r="AT506" s="6" t="str">
        <f>HYPERLINK("http://www.worldcat.org/oclc/9440958","WorldCat Record")</f>
        <v>WorldCat Record</v>
      </c>
      <c r="AU506" s="3" t="s">
        <v>6707</v>
      </c>
      <c r="AV506" s="3" t="s">
        <v>6708</v>
      </c>
      <c r="AW506" s="3" t="s">
        <v>6709</v>
      </c>
      <c r="AX506" s="3" t="s">
        <v>6709</v>
      </c>
      <c r="AY506" s="3" t="s">
        <v>6710</v>
      </c>
      <c r="AZ506" s="3" t="s">
        <v>74</v>
      </c>
      <c r="BB506" s="3" t="s">
        <v>6711</v>
      </c>
      <c r="BC506" s="3" t="s">
        <v>6712</v>
      </c>
      <c r="BD506" s="3" t="s">
        <v>6713</v>
      </c>
    </row>
    <row r="507" spans="1:56" ht="42.75" customHeight="1" x14ac:dyDescent="0.25">
      <c r="A507" s="7" t="s">
        <v>58</v>
      </c>
      <c r="B507" s="2" t="s">
        <v>6714</v>
      </c>
      <c r="C507" s="2" t="s">
        <v>6715</v>
      </c>
      <c r="D507" s="2" t="s">
        <v>6716</v>
      </c>
      <c r="E507" s="3" t="s">
        <v>6717</v>
      </c>
      <c r="F507" s="3" t="s">
        <v>58</v>
      </c>
      <c r="G507" s="3" t="s">
        <v>59</v>
      </c>
      <c r="H507" s="3" t="s">
        <v>58</v>
      </c>
      <c r="I507" s="3" t="s">
        <v>58</v>
      </c>
      <c r="J507" s="3" t="s">
        <v>60</v>
      </c>
      <c r="K507" s="2" t="s">
        <v>6718</v>
      </c>
      <c r="L507" s="2" t="s">
        <v>6719</v>
      </c>
      <c r="M507" s="3" t="s">
        <v>2227</v>
      </c>
      <c r="O507" s="3" t="s">
        <v>64</v>
      </c>
      <c r="P507" s="3" t="s">
        <v>6581</v>
      </c>
      <c r="Q507" s="2" t="s">
        <v>6720</v>
      </c>
      <c r="R507" s="3" t="s">
        <v>67</v>
      </c>
      <c r="S507" s="4">
        <v>3</v>
      </c>
      <c r="T507" s="4">
        <v>3</v>
      </c>
      <c r="U507" s="5" t="s">
        <v>6721</v>
      </c>
      <c r="V507" s="5" t="s">
        <v>6721</v>
      </c>
      <c r="W507" s="5" t="s">
        <v>6584</v>
      </c>
      <c r="X507" s="5" t="s">
        <v>6584</v>
      </c>
      <c r="Y507" s="4">
        <v>262</v>
      </c>
      <c r="Z507" s="4">
        <v>217</v>
      </c>
      <c r="AA507" s="4">
        <v>225</v>
      </c>
      <c r="AB507" s="4">
        <v>2</v>
      </c>
      <c r="AC507" s="4">
        <v>2</v>
      </c>
      <c r="AD507" s="4">
        <v>10</v>
      </c>
      <c r="AE507" s="4">
        <v>10</v>
      </c>
      <c r="AF507" s="4">
        <v>2</v>
      </c>
      <c r="AG507" s="4">
        <v>2</v>
      </c>
      <c r="AH507" s="4">
        <v>4</v>
      </c>
      <c r="AI507" s="4">
        <v>4</v>
      </c>
      <c r="AJ507" s="4">
        <v>6</v>
      </c>
      <c r="AK507" s="4">
        <v>6</v>
      </c>
      <c r="AL507" s="4">
        <v>1</v>
      </c>
      <c r="AM507" s="4">
        <v>1</v>
      </c>
      <c r="AN507" s="4">
        <v>0</v>
      </c>
      <c r="AO507" s="4">
        <v>0</v>
      </c>
      <c r="AP507" s="3" t="s">
        <v>58</v>
      </c>
      <c r="AQ507" s="3" t="s">
        <v>86</v>
      </c>
      <c r="AR507" s="6" t="str">
        <f>HYPERLINK("http://catalog.hathitrust.org/Record/000949072","HathiTrust Record")</f>
        <v>HathiTrust Record</v>
      </c>
      <c r="AS507" s="6" t="str">
        <f>HYPERLINK("https://creighton-primo.hosted.exlibrisgroup.com/primo-explore/search?tab=default_tab&amp;search_scope=EVERYTHING&amp;vid=01CRU&amp;lang=en_US&amp;offset=0&amp;query=any,contains,991000597029702656","Catalog Record")</f>
        <v>Catalog Record</v>
      </c>
      <c r="AT507" s="6" t="str">
        <f>HYPERLINK("http://www.worldcat.org/oclc/11813909","WorldCat Record")</f>
        <v>WorldCat Record</v>
      </c>
      <c r="AU507" s="3" t="s">
        <v>6722</v>
      </c>
      <c r="AV507" s="3" t="s">
        <v>6723</v>
      </c>
      <c r="AW507" s="3" t="s">
        <v>6724</v>
      </c>
      <c r="AX507" s="3" t="s">
        <v>6724</v>
      </c>
      <c r="AY507" s="3" t="s">
        <v>6725</v>
      </c>
      <c r="AZ507" s="3" t="s">
        <v>74</v>
      </c>
      <c r="BB507" s="3" t="s">
        <v>6726</v>
      </c>
      <c r="BC507" s="3" t="s">
        <v>6727</v>
      </c>
      <c r="BD507" s="3" t="s">
        <v>6728</v>
      </c>
    </row>
    <row r="508" spans="1:56" ht="42.75" customHeight="1" x14ac:dyDescent="0.25">
      <c r="A508" s="7" t="s">
        <v>58</v>
      </c>
      <c r="B508" s="2" t="s">
        <v>6729</v>
      </c>
      <c r="C508" s="2" t="s">
        <v>6730</v>
      </c>
      <c r="D508" s="2" t="s">
        <v>6731</v>
      </c>
      <c r="F508" s="3" t="s">
        <v>58</v>
      </c>
      <c r="G508" s="3" t="s">
        <v>59</v>
      </c>
      <c r="H508" s="3" t="s">
        <v>58</v>
      </c>
      <c r="I508" s="3" t="s">
        <v>58</v>
      </c>
      <c r="J508" s="3" t="s">
        <v>60</v>
      </c>
      <c r="L508" s="2" t="s">
        <v>6732</v>
      </c>
      <c r="M508" s="3" t="s">
        <v>114</v>
      </c>
      <c r="O508" s="3" t="s">
        <v>64</v>
      </c>
      <c r="P508" s="3" t="s">
        <v>115</v>
      </c>
      <c r="R508" s="3" t="s">
        <v>67</v>
      </c>
      <c r="S508" s="4">
        <v>4</v>
      </c>
      <c r="T508" s="4">
        <v>4</v>
      </c>
      <c r="U508" s="5" t="s">
        <v>6733</v>
      </c>
      <c r="V508" s="5" t="s">
        <v>6733</v>
      </c>
      <c r="W508" s="5" t="s">
        <v>4999</v>
      </c>
      <c r="X508" s="5" t="s">
        <v>4999</v>
      </c>
      <c r="Y508" s="4">
        <v>372</v>
      </c>
      <c r="Z508" s="4">
        <v>300</v>
      </c>
      <c r="AA508" s="4">
        <v>402</v>
      </c>
      <c r="AB508" s="4">
        <v>2</v>
      </c>
      <c r="AC508" s="4">
        <v>2</v>
      </c>
      <c r="AD508" s="4">
        <v>6</v>
      </c>
      <c r="AE508" s="4">
        <v>9</v>
      </c>
      <c r="AF508" s="4">
        <v>1</v>
      </c>
      <c r="AG508" s="4">
        <v>3</v>
      </c>
      <c r="AH508" s="4">
        <v>2</v>
      </c>
      <c r="AI508" s="4">
        <v>3</v>
      </c>
      <c r="AJ508" s="4">
        <v>2</v>
      </c>
      <c r="AK508" s="4">
        <v>5</v>
      </c>
      <c r="AL508" s="4">
        <v>1</v>
      </c>
      <c r="AM508" s="4">
        <v>1</v>
      </c>
      <c r="AN508" s="4">
        <v>0</v>
      </c>
      <c r="AO508" s="4">
        <v>0</v>
      </c>
      <c r="AP508" s="3" t="s">
        <v>58</v>
      </c>
      <c r="AQ508" s="3" t="s">
        <v>86</v>
      </c>
      <c r="AR508" s="6" t="str">
        <f>HYPERLINK("http://catalog.hathitrust.org/Record/000281339","HathiTrust Record")</f>
        <v>HathiTrust Record</v>
      </c>
      <c r="AS508" s="6" t="str">
        <f>HYPERLINK("https://creighton-primo.hosted.exlibrisgroup.com/primo-explore/search?tab=default_tab&amp;search_scope=EVERYTHING&amp;vid=01CRU&amp;lang=en_US&amp;offset=0&amp;query=any,contains,991000257599702656","Catalog Record")</f>
        <v>Catalog Record</v>
      </c>
      <c r="AT508" s="6" t="str">
        <f>HYPERLINK("http://www.worldcat.org/oclc/9784098","WorldCat Record")</f>
        <v>WorldCat Record</v>
      </c>
      <c r="AU508" s="3" t="s">
        <v>6734</v>
      </c>
      <c r="AV508" s="3" t="s">
        <v>6735</v>
      </c>
      <c r="AW508" s="3" t="s">
        <v>6736</v>
      </c>
      <c r="AX508" s="3" t="s">
        <v>6736</v>
      </c>
      <c r="AY508" s="3" t="s">
        <v>6737</v>
      </c>
      <c r="AZ508" s="3" t="s">
        <v>74</v>
      </c>
      <c r="BB508" s="3" t="s">
        <v>6738</v>
      </c>
      <c r="BC508" s="3" t="s">
        <v>6739</v>
      </c>
      <c r="BD508" s="3" t="s">
        <v>6740</v>
      </c>
    </row>
    <row r="509" spans="1:56" ht="42.75" customHeight="1" x14ac:dyDescent="0.25">
      <c r="A509" s="7" t="s">
        <v>58</v>
      </c>
      <c r="B509" s="2" t="s">
        <v>6741</v>
      </c>
      <c r="C509" s="2" t="s">
        <v>6742</v>
      </c>
      <c r="D509" s="2" t="s">
        <v>6743</v>
      </c>
      <c r="F509" s="3" t="s">
        <v>58</v>
      </c>
      <c r="G509" s="3" t="s">
        <v>59</v>
      </c>
      <c r="H509" s="3" t="s">
        <v>86</v>
      </c>
      <c r="I509" s="3" t="s">
        <v>58</v>
      </c>
      <c r="J509" s="3" t="s">
        <v>60</v>
      </c>
      <c r="K509" s="2" t="s">
        <v>6744</v>
      </c>
      <c r="L509" s="2" t="s">
        <v>6745</v>
      </c>
      <c r="M509" s="3" t="s">
        <v>238</v>
      </c>
      <c r="O509" s="3" t="s">
        <v>64</v>
      </c>
      <c r="P509" s="3" t="s">
        <v>115</v>
      </c>
      <c r="Q509" s="2" t="s">
        <v>6746</v>
      </c>
      <c r="R509" s="3" t="s">
        <v>67</v>
      </c>
      <c r="S509" s="4">
        <v>10</v>
      </c>
      <c r="T509" s="4">
        <v>22</v>
      </c>
      <c r="U509" s="5" t="s">
        <v>6678</v>
      </c>
      <c r="V509" s="5" t="s">
        <v>6747</v>
      </c>
      <c r="W509" s="5" t="s">
        <v>117</v>
      </c>
      <c r="X509" s="5" t="s">
        <v>117</v>
      </c>
      <c r="Y509" s="4">
        <v>403</v>
      </c>
      <c r="Z509" s="4">
        <v>274</v>
      </c>
      <c r="AA509" s="4">
        <v>281</v>
      </c>
      <c r="AB509" s="4">
        <v>4</v>
      </c>
      <c r="AC509" s="4">
        <v>4</v>
      </c>
      <c r="AD509" s="4">
        <v>11</v>
      </c>
      <c r="AE509" s="4">
        <v>11</v>
      </c>
      <c r="AF509" s="4">
        <v>2</v>
      </c>
      <c r="AG509" s="4">
        <v>2</v>
      </c>
      <c r="AH509" s="4">
        <v>3</v>
      </c>
      <c r="AI509" s="4">
        <v>3</v>
      </c>
      <c r="AJ509" s="4">
        <v>7</v>
      </c>
      <c r="AK509" s="4">
        <v>7</v>
      </c>
      <c r="AL509" s="4">
        <v>2</v>
      </c>
      <c r="AM509" s="4">
        <v>2</v>
      </c>
      <c r="AN509" s="4">
        <v>0</v>
      </c>
      <c r="AO509" s="4">
        <v>0</v>
      </c>
      <c r="AP509" s="3" t="s">
        <v>58</v>
      </c>
      <c r="AQ509" s="3" t="s">
        <v>86</v>
      </c>
      <c r="AR509" s="6" t="str">
        <f>HYPERLINK("http://catalog.hathitrust.org/Record/000032207","HathiTrust Record")</f>
        <v>HathiTrust Record</v>
      </c>
      <c r="AS509" s="6" t="str">
        <f>HYPERLINK("https://creighton-primo.hosted.exlibrisgroup.com/primo-explore/search?tab=default_tab&amp;search_scope=EVERYTHING&amp;vid=01CRU&amp;lang=en_US&amp;offset=0&amp;query=any,contains,991001773109702656","Catalog Record")</f>
        <v>Catalog Record</v>
      </c>
      <c r="AT509" s="6" t="str">
        <f>HYPERLINK("http://www.worldcat.org/oclc/4982860","WorldCat Record")</f>
        <v>WorldCat Record</v>
      </c>
      <c r="AU509" s="3" t="s">
        <v>6748</v>
      </c>
      <c r="AV509" s="3" t="s">
        <v>6749</v>
      </c>
      <c r="AW509" s="3" t="s">
        <v>6750</v>
      </c>
      <c r="AX509" s="3" t="s">
        <v>6750</v>
      </c>
      <c r="AY509" s="3" t="s">
        <v>6751</v>
      </c>
      <c r="AZ509" s="3" t="s">
        <v>74</v>
      </c>
      <c r="BB509" s="3" t="s">
        <v>6752</v>
      </c>
      <c r="BC509" s="3" t="s">
        <v>6753</v>
      </c>
      <c r="BD509" s="3" t="s">
        <v>6754</v>
      </c>
    </row>
    <row r="510" spans="1:56" ht="42.75" customHeight="1" x14ac:dyDescent="0.25">
      <c r="A510" s="7" t="s">
        <v>58</v>
      </c>
      <c r="B510" s="2" t="s">
        <v>6755</v>
      </c>
      <c r="C510" s="2" t="s">
        <v>6756</v>
      </c>
      <c r="D510" s="2" t="s">
        <v>6757</v>
      </c>
      <c r="F510" s="3" t="s">
        <v>58</v>
      </c>
      <c r="G510" s="3" t="s">
        <v>59</v>
      </c>
      <c r="H510" s="3" t="s">
        <v>58</v>
      </c>
      <c r="I510" s="3" t="s">
        <v>58</v>
      </c>
      <c r="J510" s="3" t="s">
        <v>60</v>
      </c>
      <c r="K510" s="2" t="s">
        <v>6758</v>
      </c>
      <c r="L510" s="2" t="s">
        <v>6759</v>
      </c>
      <c r="M510" s="3" t="s">
        <v>765</v>
      </c>
      <c r="N510" s="2" t="s">
        <v>1844</v>
      </c>
      <c r="O510" s="3" t="s">
        <v>64</v>
      </c>
      <c r="P510" s="3" t="s">
        <v>208</v>
      </c>
      <c r="R510" s="3" t="s">
        <v>67</v>
      </c>
      <c r="S510" s="4">
        <v>7</v>
      </c>
      <c r="T510" s="4">
        <v>7</v>
      </c>
      <c r="U510" s="5" t="s">
        <v>6760</v>
      </c>
      <c r="V510" s="5" t="s">
        <v>6760</v>
      </c>
      <c r="W510" s="5" t="s">
        <v>6761</v>
      </c>
      <c r="X510" s="5" t="s">
        <v>6761</v>
      </c>
      <c r="Y510" s="4">
        <v>106</v>
      </c>
      <c r="Z510" s="4">
        <v>91</v>
      </c>
      <c r="AA510" s="4">
        <v>464</v>
      </c>
      <c r="AB510" s="4">
        <v>3</v>
      </c>
      <c r="AC510" s="4">
        <v>5</v>
      </c>
      <c r="AD510" s="4">
        <v>1</v>
      </c>
      <c r="AE510" s="4">
        <v>13</v>
      </c>
      <c r="AF510" s="4">
        <v>0</v>
      </c>
      <c r="AG510" s="4">
        <v>6</v>
      </c>
      <c r="AH510" s="4">
        <v>0</v>
      </c>
      <c r="AI510" s="4">
        <v>2</v>
      </c>
      <c r="AJ510" s="4">
        <v>0</v>
      </c>
      <c r="AK510" s="4">
        <v>5</v>
      </c>
      <c r="AL510" s="4">
        <v>1</v>
      </c>
      <c r="AM510" s="4">
        <v>3</v>
      </c>
      <c r="AN510" s="4">
        <v>0</v>
      </c>
      <c r="AO510" s="4">
        <v>0</v>
      </c>
      <c r="AP510" s="3" t="s">
        <v>58</v>
      </c>
      <c r="AQ510" s="3" t="s">
        <v>58</v>
      </c>
      <c r="AS510" s="6" t="str">
        <f>HYPERLINK("https://creighton-primo.hosted.exlibrisgroup.com/primo-explore/search?tab=default_tab&amp;search_scope=EVERYTHING&amp;vid=01CRU&amp;lang=en_US&amp;offset=0&amp;query=any,contains,991002663989702656","Catalog Record")</f>
        <v>Catalog Record</v>
      </c>
      <c r="AT510" s="6" t="str">
        <f>HYPERLINK("http://www.worldcat.org/oclc/34835142","WorldCat Record")</f>
        <v>WorldCat Record</v>
      </c>
      <c r="AU510" s="3" t="s">
        <v>6762</v>
      </c>
      <c r="AV510" s="3" t="s">
        <v>6763</v>
      </c>
      <c r="AW510" s="3" t="s">
        <v>6764</v>
      </c>
      <c r="AX510" s="3" t="s">
        <v>6764</v>
      </c>
      <c r="AY510" s="3" t="s">
        <v>6765</v>
      </c>
      <c r="AZ510" s="3" t="s">
        <v>74</v>
      </c>
      <c r="BB510" s="3" t="s">
        <v>6766</v>
      </c>
      <c r="BC510" s="3" t="s">
        <v>6767</v>
      </c>
      <c r="BD510" s="3" t="s">
        <v>6768</v>
      </c>
    </row>
    <row r="511" spans="1:56" ht="42.75" customHeight="1" x14ac:dyDescent="0.25">
      <c r="A511" s="7" t="s">
        <v>58</v>
      </c>
      <c r="B511" s="2" t="s">
        <v>6769</v>
      </c>
      <c r="C511" s="2" t="s">
        <v>6770</v>
      </c>
      <c r="D511" s="2" t="s">
        <v>6771</v>
      </c>
      <c r="F511" s="3" t="s">
        <v>58</v>
      </c>
      <c r="G511" s="3" t="s">
        <v>59</v>
      </c>
      <c r="H511" s="3" t="s">
        <v>58</v>
      </c>
      <c r="I511" s="3" t="s">
        <v>58</v>
      </c>
      <c r="J511" s="3" t="s">
        <v>60</v>
      </c>
      <c r="L511" s="2" t="s">
        <v>6772</v>
      </c>
      <c r="M511" s="3" t="s">
        <v>3914</v>
      </c>
      <c r="O511" s="3" t="s">
        <v>64</v>
      </c>
      <c r="P511" s="3" t="s">
        <v>115</v>
      </c>
      <c r="R511" s="3" t="s">
        <v>67</v>
      </c>
      <c r="S511" s="4">
        <v>0</v>
      </c>
      <c r="T511" s="4">
        <v>0</v>
      </c>
      <c r="U511" s="5" t="s">
        <v>6773</v>
      </c>
      <c r="V511" s="5" t="s">
        <v>6773</v>
      </c>
      <c r="W511" s="5" t="s">
        <v>3917</v>
      </c>
      <c r="X511" s="5" t="s">
        <v>3917</v>
      </c>
      <c r="Y511" s="4">
        <v>353</v>
      </c>
      <c r="Z511" s="4">
        <v>253</v>
      </c>
      <c r="AA511" s="4">
        <v>254</v>
      </c>
      <c r="AB511" s="4">
        <v>3</v>
      </c>
      <c r="AC511" s="4">
        <v>3</v>
      </c>
      <c r="AD511" s="4">
        <v>11</v>
      </c>
      <c r="AE511" s="4">
        <v>11</v>
      </c>
      <c r="AF511" s="4">
        <v>4</v>
      </c>
      <c r="AG511" s="4">
        <v>4</v>
      </c>
      <c r="AH511" s="4">
        <v>3</v>
      </c>
      <c r="AI511" s="4">
        <v>3</v>
      </c>
      <c r="AJ511" s="4">
        <v>6</v>
      </c>
      <c r="AK511" s="4">
        <v>6</v>
      </c>
      <c r="AL511" s="4">
        <v>1</v>
      </c>
      <c r="AM511" s="4">
        <v>1</v>
      </c>
      <c r="AN511" s="4">
        <v>0</v>
      </c>
      <c r="AO511" s="4">
        <v>0</v>
      </c>
      <c r="AP511" s="3" t="s">
        <v>58</v>
      </c>
      <c r="AQ511" s="3" t="s">
        <v>86</v>
      </c>
      <c r="AR511" s="6" t="str">
        <f>HYPERLINK("http://catalog.hathitrust.org/Record/007480971","HathiTrust Record")</f>
        <v>HathiTrust Record</v>
      </c>
      <c r="AS511" s="6" t="str">
        <f>HYPERLINK("https://creighton-primo.hosted.exlibrisgroup.com/primo-explore/search?tab=default_tab&amp;search_scope=EVERYTHING&amp;vid=01CRU&amp;lang=en_US&amp;offset=0&amp;query=any,contains,991004223109702656","Catalog Record")</f>
        <v>Catalog Record</v>
      </c>
      <c r="AT511" s="6" t="str">
        <f>HYPERLINK("http://www.worldcat.org/oclc/2719002","WorldCat Record")</f>
        <v>WorldCat Record</v>
      </c>
      <c r="AU511" s="3" t="s">
        <v>6774</v>
      </c>
      <c r="AV511" s="3" t="s">
        <v>6775</v>
      </c>
      <c r="AW511" s="3" t="s">
        <v>6776</v>
      </c>
      <c r="AX511" s="3" t="s">
        <v>6776</v>
      </c>
      <c r="AY511" s="3" t="s">
        <v>6777</v>
      </c>
      <c r="AZ511" s="3" t="s">
        <v>74</v>
      </c>
      <c r="BB511" s="3" t="s">
        <v>6778</v>
      </c>
      <c r="BC511" s="3" t="s">
        <v>6779</v>
      </c>
      <c r="BD511" s="3" t="s">
        <v>6780</v>
      </c>
    </row>
    <row r="512" spans="1:56" ht="42.75" customHeight="1" x14ac:dyDescent="0.25">
      <c r="A512" s="7" t="s">
        <v>58</v>
      </c>
      <c r="B512" s="2" t="s">
        <v>6781</v>
      </c>
      <c r="C512" s="2" t="s">
        <v>6782</v>
      </c>
      <c r="D512" s="2" t="s">
        <v>6783</v>
      </c>
      <c r="F512" s="3" t="s">
        <v>58</v>
      </c>
      <c r="G512" s="3" t="s">
        <v>59</v>
      </c>
      <c r="H512" s="3" t="s">
        <v>58</v>
      </c>
      <c r="I512" s="3" t="s">
        <v>58</v>
      </c>
      <c r="J512" s="3" t="s">
        <v>60</v>
      </c>
      <c r="L512" s="2" t="s">
        <v>6784</v>
      </c>
      <c r="M512" s="3" t="s">
        <v>238</v>
      </c>
      <c r="O512" s="3" t="s">
        <v>64</v>
      </c>
      <c r="P512" s="3" t="s">
        <v>145</v>
      </c>
      <c r="Q512" s="2" t="s">
        <v>6785</v>
      </c>
      <c r="R512" s="3" t="s">
        <v>67</v>
      </c>
      <c r="S512" s="4">
        <v>1</v>
      </c>
      <c r="T512" s="4">
        <v>1</v>
      </c>
      <c r="U512" s="5" t="s">
        <v>6786</v>
      </c>
      <c r="V512" s="5" t="s">
        <v>6786</v>
      </c>
      <c r="W512" s="5" t="s">
        <v>4999</v>
      </c>
      <c r="X512" s="5" t="s">
        <v>4999</v>
      </c>
      <c r="Y512" s="4">
        <v>11</v>
      </c>
      <c r="Z512" s="4">
        <v>10</v>
      </c>
      <c r="AA512" s="4">
        <v>10</v>
      </c>
      <c r="AB512" s="4">
        <v>1</v>
      </c>
      <c r="AC512" s="4">
        <v>1</v>
      </c>
      <c r="AD512" s="4">
        <v>1</v>
      </c>
      <c r="AE512" s="4">
        <v>1</v>
      </c>
      <c r="AF512" s="4">
        <v>0</v>
      </c>
      <c r="AG512" s="4">
        <v>0</v>
      </c>
      <c r="AH512" s="4">
        <v>0</v>
      </c>
      <c r="AI512" s="4">
        <v>0</v>
      </c>
      <c r="AJ512" s="4">
        <v>1</v>
      </c>
      <c r="AK512" s="4">
        <v>1</v>
      </c>
      <c r="AL512" s="4">
        <v>0</v>
      </c>
      <c r="AM512" s="4">
        <v>0</v>
      </c>
      <c r="AN512" s="4">
        <v>0</v>
      </c>
      <c r="AO512" s="4">
        <v>0</v>
      </c>
      <c r="AP512" s="3" t="s">
        <v>58</v>
      </c>
      <c r="AQ512" s="3" t="s">
        <v>58</v>
      </c>
      <c r="AS512" s="6" t="str">
        <f>HYPERLINK("https://creighton-primo.hosted.exlibrisgroup.com/primo-explore/search?tab=default_tab&amp;search_scope=EVERYTHING&amp;vid=01CRU&amp;lang=en_US&amp;offset=0&amp;query=any,contains,991004921779702656","Catalog Record")</f>
        <v>Catalog Record</v>
      </c>
      <c r="AT512" s="6" t="str">
        <f>HYPERLINK("http://www.worldcat.org/oclc/6050057","WorldCat Record")</f>
        <v>WorldCat Record</v>
      </c>
      <c r="AU512" s="3" t="s">
        <v>6787</v>
      </c>
      <c r="AV512" s="3" t="s">
        <v>6788</v>
      </c>
      <c r="AW512" s="3" t="s">
        <v>6789</v>
      </c>
      <c r="AX512" s="3" t="s">
        <v>6789</v>
      </c>
      <c r="AY512" s="3" t="s">
        <v>6790</v>
      </c>
      <c r="AZ512" s="3" t="s">
        <v>74</v>
      </c>
      <c r="BC512" s="3" t="s">
        <v>6791</v>
      </c>
      <c r="BD512" s="3" t="s">
        <v>6792</v>
      </c>
    </row>
    <row r="513" spans="1:56" ht="42.75" customHeight="1" x14ac:dyDescent="0.25">
      <c r="A513" s="7" t="s">
        <v>58</v>
      </c>
      <c r="B513" s="2" t="s">
        <v>6793</v>
      </c>
      <c r="C513" s="2" t="s">
        <v>6794</v>
      </c>
      <c r="D513" s="2" t="s">
        <v>6795</v>
      </c>
      <c r="F513" s="3" t="s">
        <v>58</v>
      </c>
      <c r="G513" s="3" t="s">
        <v>59</v>
      </c>
      <c r="H513" s="3" t="s">
        <v>58</v>
      </c>
      <c r="I513" s="3" t="s">
        <v>58</v>
      </c>
      <c r="J513" s="3" t="s">
        <v>60</v>
      </c>
      <c r="K513" s="2" t="s">
        <v>6796</v>
      </c>
      <c r="L513" s="2" t="s">
        <v>6797</v>
      </c>
      <c r="M513" s="3" t="s">
        <v>695</v>
      </c>
      <c r="O513" s="3" t="s">
        <v>64</v>
      </c>
      <c r="P513" s="3" t="s">
        <v>115</v>
      </c>
      <c r="R513" s="3" t="s">
        <v>67</v>
      </c>
      <c r="S513" s="4">
        <v>2</v>
      </c>
      <c r="T513" s="4">
        <v>2</v>
      </c>
      <c r="U513" s="5" t="s">
        <v>6798</v>
      </c>
      <c r="V513" s="5" t="s">
        <v>6798</v>
      </c>
      <c r="W513" s="5" t="s">
        <v>6799</v>
      </c>
      <c r="X513" s="5" t="s">
        <v>6799</v>
      </c>
      <c r="Y513" s="4">
        <v>398</v>
      </c>
      <c r="Z513" s="4">
        <v>330</v>
      </c>
      <c r="AA513" s="4">
        <v>351</v>
      </c>
      <c r="AB513" s="4">
        <v>2</v>
      </c>
      <c r="AC513" s="4">
        <v>2</v>
      </c>
      <c r="AD513" s="4">
        <v>15</v>
      </c>
      <c r="AE513" s="4">
        <v>15</v>
      </c>
      <c r="AF513" s="4">
        <v>5</v>
      </c>
      <c r="AG513" s="4">
        <v>5</v>
      </c>
      <c r="AH513" s="4">
        <v>6</v>
      </c>
      <c r="AI513" s="4">
        <v>6</v>
      </c>
      <c r="AJ513" s="4">
        <v>9</v>
      </c>
      <c r="AK513" s="4">
        <v>9</v>
      </c>
      <c r="AL513" s="4">
        <v>1</v>
      </c>
      <c r="AM513" s="4">
        <v>1</v>
      </c>
      <c r="AN513" s="4">
        <v>0</v>
      </c>
      <c r="AO513" s="4">
        <v>0</v>
      </c>
      <c r="AP513" s="3" t="s">
        <v>58</v>
      </c>
      <c r="AQ513" s="3" t="s">
        <v>58</v>
      </c>
      <c r="AS513" s="6" t="str">
        <f>HYPERLINK("https://creighton-primo.hosted.exlibrisgroup.com/primo-explore/search?tab=default_tab&amp;search_scope=EVERYTHING&amp;vid=01CRU&amp;lang=en_US&amp;offset=0&amp;query=any,contains,991002086359702656","Catalog Record")</f>
        <v>Catalog Record</v>
      </c>
      <c r="AT513" s="6" t="str">
        <f>HYPERLINK("http://www.worldcat.org/oclc/26766986","WorldCat Record")</f>
        <v>WorldCat Record</v>
      </c>
      <c r="AU513" s="3" t="s">
        <v>6800</v>
      </c>
      <c r="AV513" s="3" t="s">
        <v>6801</v>
      </c>
      <c r="AW513" s="3" t="s">
        <v>6802</v>
      </c>
      <c r="AX513" s="3" t="s">
        <v>6802</v>
      </c>
      <c r="AY513" s="3" t="s">
        <v>6803</v>
      </c>
      <c r="AZ513" s="3" t="s">
        <v>74</v>
      </c>
      <c r="BB513" s="3" t="s">
        <v>6804</v>
      </c>
      <c r="BC513" s="3" t="s">
        <v>6805</v>
      </c>
      <c r="BD513" s="3" t="s">
        <v>6806</v>
      </c>
    </row>
    <row r="514" spans="1:56" ht="42.75" customHeight="1" x14ac:dyDescent="0.25">
      <c r="A514" s="7" t="s">
        <v>58</v>
      </c>
      <c r="B514" s="2" t="s">
        <v>6807</v>
      </c>
      <c r="C514" s="2" t="s">
        <v>6808</v>
      </c>
      <c r="D514" s="2" t="s">
        <v>6809</v>
      </c>
      <c r="F514" s="3" t="s">
        <v>58</v>
      </c>
      <c r="G514" s="3" t="s">
        <v>59</v>
      </c>
      <c r="H514" s="3" t="s">
        <v>58</v>
      </c>
      <c r="I514" s="3" t="s">
        <v>58</v>
      </c>
      <c r="J514" s="3" t="s">
        <v>60</v>
      </c>
      <c r="K514" s="2" t="s">
        <v>6810</v>
      </c>
      <c r="L514" s="2" t="s">
        <v>6811</v>
      </c>
      <c r="M514" s="3" t="s">
        <v>1574</v>
      </c>
      <c r="N514" s="2" t="s">
        <v>1736</v>
      </c>
      <c r="O514" s="3" t="s">
        <v>64</v>
      </c>
      <c r="P514" s="3" t="s">
        <v>115</v>
      </c>
      <c r="R514" s="3" t="s">
        <v>67</v>
      </c>
      <c r="S514" s="4">
        <v>7</v>
      </c>
      <c r="T514" s="4">
        <v>7</v>
      </c>
      <c r="U514" s="5" t="s">
        <v>6812</v>
      </c>
      <c r="V514" s="5" t="s">
        <v>6812</v>
      </c>
      <c r="W514" s="5" t="s">
        <v>6813</v>
      </c>
      <c r="X514" s="5" t="s">
        <v>6813</v>
      </c>
      <c r="Y514" s="4">
        <v>149</v>
      </c>
      <c r="Z514" s="4">
        <v>122</v>
      </c>
      <c r="AA514" s="4">
        <v>124</v>
      </c>
      <c r="AB514" s="4">
        <v>1</v>
      </c>
      <c r="AC514" s="4">
        <v>1</v>
      </c>
      <c r="AD514" s="4">
        <v>2</v>
      </c>
      <c r="AE514" s="4">
        <v>2</v>
      </c>
      <c r="AF514" s="4">
        <v>0</v>
      </c>
      <c r="AG514" s="4">
        <v>0</v>
      </c>
      <c r="AH514" s="4">
        <v>0</v>
      </c>
      <c r="AI514" s="4">
        <v>0</v>
      </c>
      <c r="AJ514" s="4">
        <v>2</v>
      </c>
      <c r="AK514" s="4">
        <v>2</v>
      </c>
      <c r="AL514" s="4">
        <v>0</v>
      </c>
      <c r="AM514" s="4">
        <v>0</v>
      </c>
      <c r="AN514" s="4">
        <v>0</v>
      </c>
      <c r="AO514" s="4">
        <v>0</v>
      </c>
      <c r="AP514" s="3" t="s">
        <v>58</v>
      </c>
      <c r="AQ514" s="3" t="s">
        <v>86</v>
      </c>
      <c r="AR514" s="6" t="str">
        <f>HYPERLINK("http://catalog.hathitrust.org/Record/000284445","HathiTrust Record")</f>
        <v>HathiTrust Record</v>
      </c>
      <c r="AS514" s="6" t="str">
        <f>HYPERLINK("https://creighton-primo.hosted.exlibrisgroup.com/primo-explore/search?tab=default_tab&amp;search_scope=EVERYTHING&amp;vid=01CRU&amp;lang=en_US&amp;offset=0&amp;query=any,contains,991005245939702656","Catalog Record")</f>
        <v>Catalog Record</v>
      </c>
      <c r="AT514" s="6" t="str">
        <f>HYPERLINK("http://www.worldcat.org/oclc/8452477","WorldCat Record")</f>
        <v>WorldCat Record</v>
      </c>
      <c r="AU514" s="3" t="s">
        <v>6814</v>
      </c>
      <c r="AV514" s="3" t="s">
        <v>6815</v>
      </c>
      <c r="AW514" s="3" t="s">
        <v>6816</v>
      </c>
      <c r="AX514" s="3" t="s">
        <v>6816</v>
      </c>
      <c r="AY514" s="3" t="s">
        <v>6817</v>
      </c>
      <c r="AZ514" s="3" t="s">
        <v>74</v>
      </c>
      <c r="BB514" s="3" t="s">
        <v>6818</v>
      </c>
      <c r="BC514" s="3" t="s">
        <v>6819</v>
      </c>
      <c r="BD514" s="3" t="s">
        <v>6820</v>
      </c>
    </row>
    <row r="515" spans="1:56" ht="42.75" customHeight="1" x14ac:dyDescent="0.25">
      <c r="A515" s="7" t="s">
        <v>58</v>
      </c>
      <c r="B515" s="2" t="s">
        <v>6821</v>
      </c>
      <c r="C515" s="2" t="s">
        <v>6822</v>
      </c>
      <c r="D515" s="2" t="s">
        <v>6823</v>
      </c>
      <c r="F515" s="3" t="s">
        <v>58</v>
      </c>
      <c r="G515" s="3" t="s">
        <v>59</v>
      </c>
      <c r="H515" s="3" t="s">
        <v>58</v>
      </c>
      <c r="I515" s="3" t="s">
        <v>58</v>
      </c>
      <c r="J515" s="3" t="s">
        <v>60</v>
      </c>
      <c r="K515" s="2" t="s">
        <v>6824</v>
      </c>
      <c r="L515" s="2" t="s">
        <v>6825</v>
      </c>
      <c r="M515" s="3" t="s">
        <v>5200</v>
      </c>
      <c r="O515" s="3" t="s">
        <v>64</v>
      </c>
      <c r="P515" s="3" t="s">
        <v>115</v>
      </c>
      <c r="R515" s="3" t="s">
        <v>67</v>
      </c>
      <c r="S515" s="4">
        <v>14</v>
      </c>
      <c r="T515" s="4">
        <v>14</v>
      </c>
      <c r="U515" s="5" t="s">
        <v>6826</v>
      </c>
      <c r="V515" s="5" t="s">
        <v>6826</v>
      </c>
      <c r="W515" s="5" t="s">
        <v>5422</v>
      </c>
      <c r="X515" s="5" t="s">
        <v>5422</v>
      </c>
      <c r="Y515" s="4">
        <v>238</v>
      </c>
      <c r="Z515" s="4">
        <v>224</v>
      </c>
      <c r="AA515" s="4">
        <v>260</v>
      </c>
      <c r="AB515" s="4">
        <v>2</v>
      </c>
      <c r="AC515" s="4">
        <v>2</v>
      </c>
      <c r="AD515" s="4">
        <v>11</v>
      </c>
      <c r="AE515" s="4">
        <v>11</v>
      </c>
      <c r="AF515" s="4">
        <v>2</v>
      </c>
      <c r="AG515" s="4">
        <v>2</v>
      </c>
      <c r="AH515" s="4">
        <v>4</v>
      </c>
      <c r="AI515" s="4">
        <v>4</v>
      </c>
      <c r="AJ515" s="4">
        <v>6</v>
      </c>
      <c r="AK515" s="4">
        <v>6</v>
      </c>
      <c r="AL515" s="4">
        <v>1</v>
      </c>
      <c r="AM515" s="4">
        <v>1</v>
      </c>
      <c r="AN515" s="4">
        <v>0</v>
      </c>
      <c r="AO515" s="4">
        <v>0</v>
      </c>
      <c r="AP515" s="3" t="s">
        <v>58</v>
      </c>
      <c r="AQ515" s="3" t="s">
        <v>58</v>
      </c>
      <c r="AS515" s="6" t="str">
        <f>HYPERLINK("https://creighton-primo.hosted.exlibrisgroup.com/primo-explore/search?tab=default_tab&amp;search_scope=EVERYTHING&amp;vid=01CRU&amp;lang=en_US&amp;offset=0&amp;query=any,contains,991002273579702656","Catalog Record")</f>
        <v>Catalog Record</v>
      </c>
      <c r="AT515" s="6" t="str">
        <f>HYPERLINK("http://www.worldcat.org/oclc/309353","WorldCat Record")</f>
        <v>WorldCat Record</v>
      </c>
      <c r="AU515" s="3" t="s">
        <v>6827</v>
      </c>
      <c r="AV515" s="3" t="s">
        <v>6828</v>
      </c>
      <c r="AW515" s="3" t="s">
        <v>6829</v>
      </c>
      <c r="AX515" s="3" t="s">
        <v>6829</v>
      </c>
      <c r="AY515" s="3" t="s">
        <v>6830</v>
      </c>
      <c r="AZ515" s="3" t="s">
        <v>74</v>
      </c>
      <c r="BC515" s="3" t="s">
        <v>6831</v>
      </c>
      <c r="BD515" s="3" t="s">
        <v>6832</v>
      </c>
    </row>
    <row r="516" spans="1:56" ht="42.75" customHeight="1" x14ac:dyDescent="0.25">
      <c r="A516" s="7" t="s">
        <v>58</v>
      </c>
      <c r="B516" s="2" t="s">
        <v>6833</v>
      </c>
      <c r="C516" s="2" t="s">
        <v>6834</v>
      </c>
      <c r="D516" s="2" t="s">
        <v>6835</v>
      </c>
      <c r="F516" s="3" t="s">
        <v>58</v>
      </c>
      <c r="G516" s="3" t="s">
        <v>59</v>
      </c>
      <c r="H516" s="3" t="s">
        <v>58</v>
      </c>
      <c r="I516" s="3" t="s">
        <v>58</v>
      </c>
      <c r="J516" s="3" t="s">
        <v>60</v>
      </c>
      <c r="K516" s="2" t="s">
        <v>6836</v>
      </c>
      <c r="L516" s="2" t="s">
        <v>6837</v>
      </c>
      <c r="M516" s="3" t="s">
        <v>3069</v>
      </c>
      <c r="O516" s="3" t="s">
        <v>64</v>
      </c>
      <c r="P516" s="3" t="s">
        <v>65</v>
      </c>
      <c r="R516" s="3" t="s">
        <v>67</v>
      </c>
      <c r="S516" s="4">
        <v>3</v>
      </c>
      <c r="T516" s="4">
        <v>3</v>
      </c>
      <c r="U516" s="5" t="s">
        <v>6838</v>
      </c>
      <c r="V516" s="5" t="s">
        <v>6838</v>
      </c>
      <c r="W516" s="5" t="s">
        <v>3917</v>
      </c>
      <c r="X516" s="5" t="s">
        <v>3917</v>
      </c>
      <c r="Y516" s="4">
        <v>250</v>
      </c>
      <c r="Z516" s="4">
        <v>150</v>
      </c>
      <c r="AA516" s="4">
        <v>170</v>
      </c>
      <c r="AB516" s="4">
        <v>3</v>
      </c>
      <c r="AC516" s="4">
        <v>3</v>
      </c>
      <c r="AD516" s="4">
        <v>9</v>
      </c>
      <c r="AE516" s="4">
        <v>10</v>
      </c>
      <c r="AF516" s="4">
        <v>1</v>
      </c>
      <c r="AG516" s="4">
        <v>1</v>
      </c>
      <c r="AH516" s="4">
        <v>2</v>
      </c>
      <c r="AI516" s="4">
        <v>2</v>
      </c>
      <c r="AJ516" s="4">
        <v>5</v>
      </c>
      <c r="AK516" s="4">
        <v>6</v>
      </c>
      <c r="AL516" s="4">
        <v>2</v>
      </c>
      <c r="AM516" s="4">
        <v>2</v>
      </c>
      <c r="AN516" s="4">
        <v>0</v>
      </c>
      <c r="AO516" s="4">
        <v>0</v>
      </c>
      <c r="AP516" s="3" t="s">
        <v>58</v>
      </c>
      <c r="AQ516" s="3" t="s">
        <v>86</v>
      </c>
      <c r="AR516" s="6" t="str">
        <f>HYPERLINK("http://catalog.hathitrust.org/Record/001564045","HathiTrust Record")</f>
        <v>HathiTrust Record</v>
      </c>
      <c r="AS516" s="6" t="str">
        <f>HYPERLINK("https://creighton-primo.hosted.exlibrisgroup.com/primo-explore/search?tab=default_tab&amp;search_scope=EVERYTHING&amp;vid=01CRU&amp;lang=en_US&amp;offset=0&amp;query=any,contains,991003089659702656","Catalog Record")</f>
        <v>Catalog Record</v>
      </c>
      <c r="AT516" s="6" t="str">
        <f>HYPERLINK("http://www.worldcat.org/oclc/640142","WorldCat Record")</f>
        <v>WorldCat Record</v>
      </c>
      <c r="AU516" s="3" t="s">
        <v>6839</v>
      </c>
      <c r="AV516" s="3" t="s">
        <v>6840</v>
      </c>
      <c r="AW516" s="3" t="s">
        <v>6841</v>
      </c>
      <c r="AX516" s="3" t="s">
        <v>6841</v>
      </c>
      <c r="AY516" s="3" t="s">
        <v>6842</v>
      </c>
      <c r="AZ516" s="3" t="s">
        <v>74</v>
      </c>
      <c r="BC516" s="3" t="s">
        <v>6843</v>
      </c>
      <c r="BD516" s="3" t="s">
        <v>6844</v>
      </c>
    </row>
    <row r="517" spans="1:56" ht="42.75" customHeight="1" x14ac:dyDescent="0.25">
      <c r="A517" s="7" t="s">
        <v>58</v>
      </c>
      <c r="B517" s="2" t="s">
        <v>6845</v>
      </c>
      <c r="C517" s="2" t="s">
        <v>6846</v>
      </c>
      <c r="D517" s="2" t="s">
        <v>6847</v>
      </c>
      <c r="F517" s="3" t="s">
        <v>58</v>
      </c>
      <c r="G517" s="3" t="s">
        <v>59</v>
      </c>
      <c r="H517" s="3" t="s">
        <v>58</v>
      </c>
      <c r="I517" s="3" t="s">
        <v>58</v>
      </c>
      <c r="J517" s="3" t="s">
        <v>60</v>
      </c>
      <c r="K517" s="2" t="s">
        <v>6848</v>
      </c>
      <c r="L517" s="2" t="s">
        <v>6849</v>
      </c>
      <c r="M517" s="3" t="s">
        <v>344</v>
      </c>
      <c r="O517" s="3" t="s">
        <v>64</v>
      </c>
      <c r="P517" s="3" t="s">
        <v>1898</v>
      </c>
      <c r="R517" s="3" t="s">
        <v>67</v>
      </c>
      <c r="S517" s="4">
        <v>25</v>
      </c>
      <c r="T517" s="4">
        <v>25</v>
      </c>
      <c r="U517" s="5" t="s">
        <v>6850</v>
      </c>
      <c r="V517" s="5" t="s">
        <v>6850</v>
      </c>
      <c r="W517" s="5" t="s">
        <v>4999</v>
      </c>
      <c r="X517" s="5" t="s">
        <v>4999</v>
      </c>
      <c r="Y517" s="4">
        <v>278</v>
      </c>
      <c r="Z517" s="4">
        <v>213</v>
      </c>
      <c r="AA517" s="4">
        <v>373</v>
      </c>
      <c r="AB517" s="4">
        <v>2</v>
      </c>
      <c r="AC517" s="4">
        <v>4</v>
      </c>
      <c r="AD517" s="4">
        <v>5</v>
      </c>
      <c r="AE517" s="4">
        <v>14</v>
      </c>
      <c r="AF517" s="4">
        <v>2</v>
      </c>
      <c r="AG517" s="4">
        <v>4</v>
      </c>
      <c r="AH517" s="4">
        <v>0</v>
      </c>
      <c r="AI517" s="4">
        <v>3</v>
      </c>
      <c r="AJ517" s="4">
        <v>4</v>
      </c>
      <c r="AK517" s="4">
        <v>8</v>
      </c>
      <c r="AL517" s="4">
        <v>1</v>
      </c>
      <c r="AM517" s="4">
        <v>3</v>
      </c>
      <c r="AN517" s="4">
        <v>0</v>
      </c>
      <c r="AO517" s="4">
        <v>0</v>
      </c>
      <c r="AP517" s="3" t="s">
        <v>58</v>
      </c>
      <c r="AQ517" s="3" t="s">
        <v>86</v>
      </c>
      <c r="AR517" s="6" t="str">
        <f>HYPERLINK("http://catalog.hathitrust.org/Record/000691232","HathiTrust Record")</f>
        <v>HathiTrust Record</v>
      </c>
      <c r="AS517" s="6" t="str">
        <f>HYPERLINK("https://creighton-primo.hosted.exlibrisgroup.com/primo-explore/search?tab=default_tab&amp;search_scope=EVERYTHING&amp;vid=01CRU&amp;lang=en_US&amp;offset=0&amp;query=any,contains,991004840969702656","Catalog Record")</f>
        <v>Catalog Record</v>
      </c>
      <c r="AT517" s="6" t="str">
        <f>HYPERLINK("http://www.worldcat.org/oclc/5498142","WorldCat Record")</f>
        <v>WorldCat Record</v>
      </c>
      <c r="AU517" s="3" t="s">
        <v>6851</v>
      </c>
      <c r="AV517" s="3" t="s">
        <v>6852</v>
      </c>
      <c r="AW517" s="3" t="s">
        <v>6853</v>
      </c>
      <c r="AX517" s="3" t="s">
        <v>6853</v>
      </c>
      <c r="AY517" s="3" t="s">
        <v>6854</v>
      </c>
      <c r="AZ517" s="3" t="s">
        <v>74</v>
      </c>
      <c r="BB517" s="3" t="s">
        <v>6855</v>
      </c>
      <c r="BC517" s="3" t="s">
        <v>6856</v>
      </c>
      <c r="BD517" s="3" t="s">
        <v>6857</v>
      </c>
    </row>
    <row r="518" spans="1:56" ht="42.75" customHeight="1" x14ac:dyDescent="0.25">
      <c r="A518" s="7" t="s">
        <v>58</v>
      </c>
      <c r="B518" s="2" t="s">
        <v>6858</v>
      </c>
      <c r="C518" s="2" t="s">
        <v>6859</v>
      </c>
      <c r="D518" s="2" t="s">
        <v>6860</v>
      </c>
      <c r="F518" s="3" t="s">
        <v>58</v>
      </c>
      <c r="G518" s="3" t="s">
        <v>59</v>
      </c>
      <c r="H518" s="3" t="s">
        <v>58</v>
      </c>
      <c r="I518" s="3" t="s">
        <v>58</v>
      </c>
      <c r="J518" s="3" t="s">
        <v>60</v>
      </c>
      <c r="K518" s="2" t="s">
        <v>6861</v>
      </c>
      <c r="L518" s="2" t="s">
        <v>6862</v>
      </c>
      <c r="M518" s="3" t="s">
        <v>3124</v>
      </c>
      <c r="O518" s="3" t="s">
        <v>64</v>
      </c>
      <c r="P518" s="3" t="s">
        <v>115</v>
      </c>
      <c r="Q518" s="2" t="s">
        <v>6863</v>
      </c>
      <c r="R518" s="3" t="s">
        <v>67</v>
      </c>
      <c r="S518" s="4">
        <v>2</v>
      </c>
      <c r="T518" s="4">
        <v>2</v>
      </c>
      <c r="U518" s="5" t="s">
        <v>6864</v>
      </c>
      <c r="V518" s="5" t="s">
        <v>6864</v>
      </c>
      <c r="W518" s="5" t="s">
        <v>3917</v>
      </c>
      <c r="X518" s="5" t="s">
        <v>3917</v>
      </c>
      <c r="Y518" s="4">
        <v>637</v>
      </c>
      <c r="Z518" s="4">
        <v>476</v>
      </c>
      <c r="AA518" s="4">
        <v>479</v>
      </c>
      <c r="AB518" s="4">
        <v>8</v>
      </c>
      <c r="AC518" s="4">
        <v>8</v>
      </c>
      <c r="AD518" s="4">
        <v>21</v>
      </c>
      <c r="AE518" s="4">
        <v>21</v>
      </c>
      <c r="AF518" s="4">
        <v>7</v>
      </c>
      <c r="AG518" s="4">
        <v>7</v>
      </c>
      <c r="AH518" s="4">
        <v>5</v>
      </c>
      <c r="AI518" s="4">
        <v>5</v>
      </c>
      <c r="AJ518" s="4">
        <v>9</v>
      </c>
      <c r="AK518" s="4">
        <v>9</v>
      </c>
      <c r="AL518" s="4">
        <v>6</v>
      </c>
      <c r="AM518" s="4">
        <v>6</v>
      </c>
      <c r="AN518" s="4">
        <v>0</v>
      </c>
      <c r="AO518" s="4">
        <v>0</v>
      </c>
      <c r="AP518" s="3" t="s">
        <v>58</v>
      </c>
      <c r="AQ518" s="3" t="s">
        <v>86</v>
      </c>
      <c r="AR518" s="6" t="str">
        <f>HYPERLINK("http://catalog.hathitrust.org/Record/000099977","HathiTrust Record")</f>
        <v>HathiTrust Record</v>
      </c>
      <c r="AS518" s="6" t="str">
        <f>HYPERLINK("https://creighton-primo.hosted.exlibrisgroup.com/primo-explore/search?tab=default_tab&amp;search_scope=EVERYTHING&amp;vid=01CRU&amp;lang=en_US&amp;offset=0&amp;query=any,contains,991000564589702656","Catalog Record")</f>
        <v>Catalog Record</v>
      </c>
      <c r="AT518" s="6" t="str">
        <f>HYPERLINK("http://www.worldcat.org/oclc/93872","WorldCat Record")</f>
        <v>WorldCat Record</v>
      </c>
      <c r="AU518" s="3" t="s">
        <v>6865</v>
      </c>
      <c r="AV518" s="3" t="s">
        <v>6866</v>
      </c>
      <c r="AW518" s="3" t="s">
        <v>6867</v>
      </c>
      <c r="AX518" s="3" t="s">
        <v>6867</v>
      </c>
      <c r="AY518" s="3" t="s">
        <v>6868</v>
      </c>
      <c r="AZ518" s="3" t="s">
        <v>74</v>
      </c>
      <c r="BB518" s="3" t="s">
        <v>6869</v>
      </c>
      <c r="BC518" s="3" t="s">
        <v>6870</v>
      </c>
      <c r="BD518" s="3" t="s">
        <v>6871</v>
      </c>
    </row>
    <row r="519" spans="1:56" ht="42.75" customHeight="1" x14ac:dyDescent="0.25">
      <c r="A519" s="7" t="s">
        <v>58</v>
      </c>
      <c r="B519" s="2" t="s">
        <v>6872</v>
      </c>
      <c r="C519" s="2" t="s">
        <v>6873</v>
      </c>
      <c r="D519" s="2" t="s">
        <v>6874</v>
      </c>
      <c r="F519" s="3" t="s">
        <v>58</v>
      </c>
      <c r="G519" s="3" t="s">
        <v>59</v>
      </c>
      <c r="H519" s="3" t="s">
        <v>58</v>
      </c>
      <c r="I519" s="3" t="s">
        <v>58</v>
      </c>
      <c r="J519" s="3" t="s">
        <v>60</v>
      </c>
      <c r="K519" s="2" t="s">
        <v>6875</v>
      </c>
      <c r="L519" s="2" t="s">
        <v>6876</v>
      </c>
      <c r="M519" s="3" t="s">
        <v>2386</v>
      </c>
      <c r="N519" s="2" t="s">
        <v>6877</v>
      </c>
      <c r="O519" s="3" t="s">
        <v>64</v>
      </c>
      <c r="P519" s="3" t="s">
        <v>6878</v>
      </c>
      <c r="R519" s="3" t="s">
        <v>67</v>
      </c>
      <c r="S519" s="4">
        <v>6</v>
      </c>
      <c r="T519" s="4">
        <v>6</v>
      </c>
      <c r="U519" s="5" t="s">
        <v>6879</v>
      </c>
      <c r="V519" s="5" t="s">
        <v>6879</v>
      </c>
      <c r="W519" s="5" t="s">
        <v>6880</v>
      </c>
      <c r="X519" s="5" t="s">
        <v>6880</v>
      </c>
      <c r="Y519" s="4">
        <v>115</v>
      </c>
      <c r="Z519" s="4">
        <v>77</v>
      </c>
      <c r="AA519" s="4">
        <v>757</v>
      </c>
      <c r="AB519" s="4">
        <v>1</v>
      </c>
      <c r="AC519" s="4">
        <v>6</v>
      </c>
      <c r="AD519" s="4">
        <v>4</v>
      </c>
      <c r="AE519" s="4">
        <v>29</v>
      </c>
      <c r="AF519" s="4">
        <v>3</v>
      </c>
      <c r="AG519" s="4">
        <v>9</v>
      </c>
      <c r="AH519" s="4">
        <v>1</v>
      </c>
      <c r="AI519" s="4">
        <v>6</v>
      </c>
      <c r="AJ519" s="4">
        <v>1</v>
      </c>
      <c r="AK519" s="4">
        <v>14</v>
      </c>
      <c r="AL519" s="4">
        <v>0</v>
      </c>
      <c r="AM519" s="4">
        <v>5</v>
      </c>
      <c r="AN519" s="4">
        <v>0</v>
      </c>
      <c r="AO519" s="4">
        <v>0</v>
      </c>
      <c r="AP519" s="3" t="s">
        <v>58</v>
      </c>
      <c r="AQ519" s="3" t="s">
        <v>86</v>
      </c>
      <c r="AR519" s="6" t="str">
        <f>HYPERLINK("http://catalog.hathitrust.org/Record/000019983","HathiTrust Record")</f>
        <v>HathiTrust Record</v>
      </c>
      <c r="AS519" s="6" t="str">
        <f>HYPERLINK("https://creighton-primo.hosted.exlibrisgroup.com/primo-explore/search?tab=default_tab&amp;search_scope=EVERYTHING&amp;vid=01CRU&amp;lang=en_US&amp;offset=0&amp;query=any,contains,991003730779702656","Catalog Record")</f>
        <v>Catalog Record</v>
      </c>
      <c r="AT519" s="6" t="str">
        <f>HYPERLINK("http://www.worldcat.org/oclc/1382114","WorldCat Record")</f>
        <v>WorldCat Record</v>
      </c>
      <c r="AU519" s="3" t="s">
        <v>6881</v>
      </c>
      <c r="AV519" s="3" t="s">
        <v>6882</v>
      </c>
      <c r="AW519" s="3" t="s">
        <v>6883</v>
      </c>
      <c r="AX519" s="3" t="s">
        <v>6883</v>
      </c>
      <c r="AY519" s="3" t="s">
        <v>6884</v>
      </c>
      <c r="AZ519" s="3" t="s">
        <v>74</v>
      </c>
      <c r="BC519" s="3" t="s">
        <v>6885</v>
      </c>
      <c r="BD519" s="3" t="s">
        <v>6886</v>
      </c>
    </row>
    <row r="520" spans="1:56" ht="42.75" customHeight="1" x14ac:dyDescent="0.25">
      <c r="A520" s="7" t="s">
        <v>58</v>
      </c>
      <c r="B520" s="2" t="s">
        <v>6887</v>
      </c>
      <c r="C520" s="2" t="s">
        <v>6888</v>
      </c>
      <c r="D520" s="2" t="s">
        <v>6889</v>
      </c>
      <c r="F520" s="3" t="s">
        <v>58</v>
      </c>
      <c r="G520" s="3" t="s">
        <v>59</v>
      </c>
      <c r="H520" s="3" t="s">
        <v>58</v>
      </c>
      <c r="I520" s="3" t="s">
        <v>58</v>
      </c>
      <c r="J520" s="3" t="s">
        <v>60</v>
      </c>
      <c r="K520" s="2" t="s">
        <v>6890</v>
      </c>
      <c r="L520" s="2" t="s">
        <v>6891</v>
      </c>
      <c r="M520" s="3" t="s">
        <v>163</v>
      </c>
      <c r="O520" s="3" t="s">
        <v>64</v>
      </c>
      <c r="P520" s="3" t="s">
        <v>2331</v>
      </c>
      <c r="Q520" s="2" t="s">
        <v>6892</v>
      </c>
      <c r="R520" s="3" t="s">
        <v>67</v>
      </c>
      <c r="S520" s="4">
        <v>2</v>
      </c>
      <c r="T520" s="4">
        <v>2</v>
      </c>
      <c r="U520" s="5" t="s">
        <v>6893</v>
      </c>
      <c r="V520" s="5" t="s">
        <v>6893</v>
      </c>
      <c r="W520" s="5" t="s">
        <v>4124</v>
      </c>
      <c r="X520" s="5" t="s">
        <v>4124</v>
      </c>
      <c r="Y520" s="4">
        <v>609</v>
      </c>
      <c r="Z520" s="4">
        <v>500</v>
      </c>
      <c r="AA520" s="4">
        <v>514</v>
      </c>
      <c r="AB520" s="4">
        <v>3</v>
      </c>
      <c r="AC520" s="4">
        <v>4</v>
      </c>
      <c r="AD520" s="4">
        <v>19</v>
      </c>
      <c r="AE520" s="4">
        <v>21</v>
      </c>
      <c r="AF520" s="4">
        <v>6</v>
      </c>
      <c r="AG520" s="4">
        <v>7</v>
      </c>
      <c r="AH520" s="4">
        <v>5</v>
      </c>
      <c r="AI520" s="4">
        <v>5</v>
      </c>
      <c r="AJ520" s="4">
        <v>11</v>
      </c>
      <c r="AK520" s="4">
        <v>12</v>
      </c>
      <c r="AL520" s="4">
        <v>2</v>
      </c>
      <c r="AM520" s="4">
        <v>3</v>
      </c>
      <c r="AN520" s="4">
        <v>1</v>
      </c>
      <c r="AO520" s="4">
        <v>1</v>
      </c>
      <c r="AP520" s="3" t="s">
        <v>58</v>
      </c>
      <c r="AQ520" s="3" t="s">
        <v>86</v>
      </c>
      <c r="AR520" s="6" t="str">
        <f>HYPERLINK("http://catalog.hathitrust.org/Record/000003794","HathiTrust Record")</f>
        <v>HathiTrust Record</v>
      </c>
      <c r="AS520" s="6" t="str">
        <f>HYPERLINK("https://creighton-primo.hosted.exlibrisgroup.com/primo-explore/search?tab=default_tab&amp;search_scope=EVERYTHING&amp;vid=01CRU&amp;lang=en_US&amp;offset=0&amp;query=any,contains,991002056879702656","Catalog Record")</f>
        <v>Catalog Record</v>
      </c>
      <c r="AT520" s="6" t="str">
        <f>HYPERLINK("http://www.worldcat.org/oclc/262398","WorldCat Record")</f>
        <v>WorldCat Record</v>
      </c>
      <c r="AU520" s="3" t="s">
        <v>6894</v>
      </c>
      <c r="AV520" s="3" t="s">
        <v>6895</v>
      </c>
      <c r="AW520" s="3" t="s">
        <v>6896</v>
      </c>
      <c r="AX520" s="3" t="s">
        <v>6896</v>
      </c>
      <c r="AY520" s="3" t="s">
        <v>6897</v>
      </c>
      <c r="AZ520" s="3" t="s">
        <v>74</v>
      </c>
      <c r="BB520" s="3" t="s">
        <v>6898</v>
      </c>
      <c r="BC520" s="3" t="s">
        <v>6899</v>
      </c>
      <c r="BD520" s="3" t="s">
        <v>6900</v>
      </c>
    </row>
    <row r="521" spans="1:56" ht="42.75" customHeight="1" x14ac:dyDescent="0.25">
      <c r="A521" s="7" t="s">
        <v>58</v>
      </c>
      <c r="B521" s="2" t="s">
        <v>6901</v>
      </c>
      <c r="C521" s="2" t="s">
        <v>6902</v>
      </c>
      <c r="D521" s="2" t="s">
        <v>6903</v>
      </c>
      <c r="F521" s="3" t="s">
        <v>58</v>
      </c>
      <c r="G521" s="3" t="s">
        <v>59</v>
      </c>
      <c r="H521" s="3" t="s">
        <v>58</v>
      </c>
      <c r="I521" s="3" t="s">
        <v>58</v>
      </c>
      <c r="J521" s="3" t="s">
        <v>60</v>
      </c>
      <c r="K521" s="2" t="s">
        <v>6904</v>
      </c>
      <c r="L521" s="2" t="s">
        <v>6905</v>
      </c>
      <c r="M521" s="3" t="s">
        <v>695</v>
      </c>
      <c r="O521" s="3" t="s">
        <v>64</v>
      </c>
      <c r="P521" s="3" t="s">
        <v>65</v>
      </c>
      <c r="R521" s="3" t="s">
        <v>67</v>
      </c>
      <c r="S521" s="4">
        <v>3</v>
      </c>
      <c r="T521" s="4">
        <v>3</v>
      </c>
      <c r="U521" s="5" t="s">
        <v>6906</v>
      </c>
      <c r="V521" s="5" t="s">
        <v>6906</v>
      </c>
      <c r="W521" s="5" t="s">
        <v>6907</v>
      </c>
      <c r="X521" s="5" t="s">
        <v>6907</v>
      </c>
      <c r="Y521" s="4">
        <v>538</v>
      </c>
      <c r="Z521" s="4">
        <v>364</v>
      </c>
      <c r="AA521" s="4">
        <v>369</v>
      </c>
      <c r="AB521" s="4">
        <v>2</v>
      </c>
      <c r="AC521" s="4">
        <v>2</v>
      </c>
      <c r="AD521" s="4">
        <v>19</v>
      </c>
      <c r="AE521" s="4">
        <v>19</v>
      </c>
      <c r="AF521" s="4">
        <v>6</v>
      </c>
      <c r="AG521" s="4">
        <v>6</v>
      </c>
      <c r="AH521" s="4">
        <v>6</v>
      </c>
      <c r="AI521" s="4">
        <v>6</v>
      </c>
      <c r="AJ521" s="4">
        <v>12</v>
      </c>
      <c r="AK521" s="4">
        <v>12</v>
      </c>
      <c r="AL521" s="4">
        <v>1</v>
      </c>
      <c r="AM521" s="4">
        <v>1</v>
      </c>
      <c r="AN521" s="4">
        <v>0</v>
      </c>
      <c r="AO521" s="4">
        <v>0</v>
      </c>
      <c r="AP521" s="3" t="s">
        <v>58</v>
      </c>
      <c r="AQ521" s="3" t="s">
        <v>58</v>
      </c>
      <c r="AS521" s="6" t="str">
        <f>HYPERLINK("https://creighton-primo.hosted.exlibrisgroup.com/primo-explore/search?tab=default_tab&amp;search_scope=EVERYTHING&amp;vid=01CRU&amp;lang=en_US&amp;offset=0&amp;query=any,contains,991002245809702656","Catalog Record")</f>
        <v>Catalog Record</v>
      </c>
      <c r="AT521" s="6" t="str">
        <f>HYPERLINK("http://www.worldcat.org/oclc/28964935","WorldCat Record")</f>
        <v>WorldCat Record</v>
      </c>
      <c r="AU521" s="3" t="s">
        <v>6908</v>
      </c>
      <c r="AV521" s="3" t="s">
        <v>6909</v>
      </c>
      <c r="AW521" s="3" t="s">
        <v>6910</v>
      </c>
      <c r="AX521" s="3" t="s">
        <v>6910</v>
      </c>
      <c r="AY521" s="3" t="s">
        <v>6911</v>
      </c>
      <c r="AZ521" s="3" t="s">
        <v>74</v>
      </c>
      <c r="BB521" s="3" t="s">
        <v>6912</v>
      </c>
      <c r="BC521" s="3" t="s">
        <v>6913</v>
      </c>
      <c r="BD521" s="3" t="s">
        <v>6914</v>
      </c>
    </row>
    <row r="522" spans="1:56" ht="42.75" customHeight="1" x14ac:dyDescent="0.25">
      <c r="A522" s="7" t="s">
        <v>58</v>
      </c>
      <c r="B522" s="2" t="s">
        <v>6915</v>
      </c>
      <c r="C522" s="2" t="s">
        <v>6916</v>
      </c>
      <c r="D522" s="2" t="s">
        <v>6917</v>
      </c>
      <c r="F522" s="3" t="s">
        <v>58</v>
      </c>
      <c r="G522" s="3" t="s">
        <v>59</v>
      </c>
      <c r="H522" s="3" t="s">
        <v>58</v>
      </c>
      <c r="I522" s="3" t="s">
        <v>58</v>
      </c>
      <c r="J522" s="3" t="s">
        <v>60</v>
      </c>
      <c r="L522" s="2" t="s">
        <v>4323</v>
      </c>
      <c r="M522" s="3" t="s">
        <v>238</v>
      </c>
      <c r="O522" s="3" t="s">
        <v>64</v>
      </c>
      <c r="P522" s="3" t="s">
        <v>115</v>
      </c>
      <c r="R522" s="3" t="s">
        <v>67</v>
      </c>
      <c r="S522" s="4">
        <v>1</v>
      </c>
      <c r="T522" s="4">
        <v>1</v>
      </c>
      <c r="U522" s="5" t="s">
        <v>6918</v>
      </c>
      <c r="V522" s="5" t="s">
        <v>6918</v>
      </c>
      <c r="W522" s="5" t="s">
        <v>4999</v>
      </c>
      <c r="X522" s="5" t="s">
        <v>4999</v>
      </c>
      <c r="Y522" s="4">
        <v>366</v>
      </c>
      <c r="Z522" s="4">
        <v>254</v>
      </c>
      <c r="AA522" s="4">
        <v>278</v>
      </c>
      <c r="AB522" s="4">
        <v>3</v>
      </c>
      <c r="AC522" s="4">
        <v>3</v>
      </c>
      <c r="AD522" s="4">
        <v>8</v>
      </c>
      <c r="AE522" s="4">
        <v>9</v>
      </c>
      <c r="AF522" s="4">
        <v>3</v>
      </c>
      <c r="AG522" s="4">
        <v>4</v>
      </c>
      <c r="AH522" s="4">
        <v>1</v>
      </c>
      <c r="AI522" s="4">
        <v>1</v>
      </c>
      <c r="AJ522" s="4">
        <v>6</v>
      </c>
      <c r="AK522" s="4">
        <v>7</v>
      </c>
      <c r="AL522" s="4">
        <v>1</v>
      </c>
      <c r="AM522" s="4">
        <v>1</v>
      </c>
      <c r="AN522" s="4">
        <v>0</v>
      </c>
      <c r="AO522" s="4">
        <v>0</v>
      </c>
      <c r="AP522" s="3" t="s">
        <v>58</v>
      </c>
      <c r="AQ522" s="3" t="s">
        <v>58</v>
      </c>
      <c r="AS522" s="6" t="str">
        <f>HYPERLINK("https://creighton-primo.hosted.exlibrisgroup.com/primo-explore/search?tab=default_tab&amp;search_scope=EVERYTHING&amp;vid=01CRU&amp;lang=en_US&amp;offset=0&amp;query=any,contains,991004735809702656","Catalog Record")</f>
        <v>Catalog Record</v>
      </c>
      <c r="AT522" s="6" t="str">
        <f>HYPERLINK("http://www.worldcat.org/oclc/4857525","WorldCat Record")</f>
        <v>WorldCat Record</v>
      </c>
      <c r="AU522" s="3" t="s">
        <v>6919</v>
      </c>
      <c r="AV522" s="3" t="s">
        <v>6920</v>
      </c>
      <c r="AW522" s="3" t="s">
        <v>6921</v>
      </c>
      <c r="AX522" s="3" t="s">
        <v>6921</v>
      </c>
      <c r="AY522" s="3" t="s">
        <v>6922</v>
      </c>
      <c r="AZ522" s="3" t="s">
        <v>74</v>
      </c>
      <c r="BB522" s="3" t="s">
        <v>6923</v>
      </c>
      <c r="BC522" s="3" t="s">
        <v>6924</v>
      </c>
      <c r="BD522" s="3" t="s">
        <v>6925</v>
      </c>
    </row>
    <row r="523" spans="1:56" ht="42.75" customHeight="1" x14ac:dyDescent="0.25">
      <c r="A523" s="7" t="s">
        <v>58</v>
      </c>
      <c r="B523" s="2" t="s">
        <v>6926</v>
      </c>
      <c r="C523" s="2" t="s">
        <v>6927</v>
      </c>
      <c r="D523" s="2" t="s">
        <v>6928</v>
      </c>
      <c r="F523" s="3" t="s">
        <v>58</v>
      </c>
      <c r="G523" s="3" t="s">
        <v>59</v>
      </c>
      <c r="H523" s="3" t="s">
        <v>58</v>
      </c>
      <c r="I523" s="3" t="s">
        <v>58</v>
      </c>
      <c r="J523" s="3" t="s">
        <v>60</v>
      </c>
      <c r="K523" s="2" t="s">
        <v>6929</v>
      </c>
      <c r="L523" s="2" t="s">
        <v>6930</v>
      </c>
      <c r="M523" s="3" t="s">
        <v>238</v>
      </c>
      <c r="O523" s="3" t="s">
        <v>64</v>
      </c>
      <c r="P523" s="3" t="s">
        <v>99</v>
      </c>
      <c r="R523" s="3" t="s">
        <v>67</v>
      </c>
      <c r="S523" s="4">
        <v>3</v>
      </c>
      <c r="T523" s="4">
        <v>3</v>
      </c>
      <c r="U523" s="5" t="s">
        <v>6931</v>
      </c>
      <c r="V523" s="5" t="s">
        <v>6931</v>
      </c>
      <c r="W523" s="5" t="s">
        <v>6932</v>
      </c>
      <c r="X523" s="5" t="s">
        <v>6932</v>
      </c>
      <c r="Y523" s="4">
        <v>590</v>
      </c>
      <c r="Z523" s="4">
        <v>478</v>
      </c>
      <c r="AA523" s="4">
        <v>607</v>
      </c>
      <c r="AB523" s="4">
        <v>2</v>
      </c>
      <c r="AC523" s="4">
        <v>3</v>
      </c>
      <c r="AD523" s="4">
        <v>20</v>
      </c>
      <c r="AE523" s="4">
        <v>26</v>
      </c>
      <c r="AF523" s="4">
        <v>7</v>
      </c>
      <c r="AG523" s="4">
        <v>8</v>
      </c>
      <c r="AH523" s="4">
        <v>7</v>
      </c>
      <c r="AI523" s="4">
        <v>8</v>
      </c>
      <c r="AJ523" s="4">
        <v>11</v>
      </c>
      <c r="AK523" s="4">
        <v>14</v>
      </c>
      <c r="AL523" s="4">
        <v>1</v>
      </c>
      <c r="AM523" s="4">
        <v>2</v>
      </c>
      <c r="AN523" s="4">
        <v>0</v>
      </c>
      <c r="AO523" s="4">
        <v>0</v>
      </c>
      <c r="AP523" s="3" t="s">
        <v>58</v>
      </c>
      <c r="AQ523" s="3" t="s">
        <v>58</v>
      </c>
      <c r="AS523" s="6" t="str">
        <f>HYPERLINK("https://creighton-primo.hosted.exlibrisgroup.com/primo-explore/search?tab=default_tab&amp;search_scope=EVERYTHING&amp;vid=01CRU&amp;lang=en_US&amp;offset=0&amp;query=any,contains,991004719109702656","Catalog Record")</f>
        <v>Catalog Record</v>
      </c>
      <c r="AT523" s="6" t="str">
        <f>HYPERLINK("http://www.worldcat.org/oclc/4791057","WorldCat Record")</f>
        <v>WorldCat Record</v>
      </c>
      <c r="AU523" s="3" t="s">
        <v>6933</v>
      </c>
      <c r="AV523" s="3" t="s">
        <v>6934</v>
      </c>
      <c r="AW523" s="3" t="s">
        <v>6935</v>
      </c>
      <c r="AX523" s="3" t="s">
        <v>6935</v>
      </c>
      <c r="AY523" s="3" t="s">
        <v>6936</v>
      </c>
      <c r="AZ523" s="3" t="s">
        <v>74</v>
      </c>
      <c r="BB523" s="3" t="s">
        <v>6937</v>
      </c>
      <c r="BC523" s="3" t="s">
        <v>6938</v>
      </c>
      <c r="BD523" s="3" t="s">
        <v>6939</v>
      </c>
    </row>
    <row r="524" spans="1:56" ht="42.75" customHeight="1" x14ac:dyDescent="0.25">
      <c r="A524" s="7" t="s">
        <v>58</v>
      </c>
      <c r="B524" s="2" t="s">
        <v>6940</v>
      </c>
      <c r="C524" s="2" t="s">
        <v>6941</v>
      </c>
      <c r="D524" s="2" t="s">
        <v>6942</v>
      </c>
      <c r="E524" s="3" t="s">
        <v>6943</v>
      </c>
      <c r="F524" s="3" t="s">
        <v>58</v>
      </c>
      <c r="G524" s="3" t="s">
        <v>59</v>
      </c>
      <c r="H524" s="3" t="s">
        <v>86</v>
      </c>
      <c r="I524" s="3" t="s">
        <v>58</v>
      </c>
      <c r="J524" s="3" t="s">
        <v>60</v>
      </c>
      <c r="L524" s="2" t="s">
        <v>6944</v>
      </c>
      <c r="M524" s="3" t="s">
        <v>371</v>
      </c>
      <c r="O524" s="3" t="s">
        <v>64</v>
      </c>
      <c r="P524" s="3" t="s">
        <v>65</v>
      </c>
      <c r="Q524" s="2" t="s">
        <v>6945</v>
      </c>
      <c r="R524" s="3" t="s">
        <v>67</v>
      </c>
      <c r="S524" s="4">
        <v>5</v>
      </c>
      <c r="T524" s="4">
        <v>8</v>
      </c>
      <c r="U524" s="5" t="s">
        <v>6946</v>
      </c>
      <c r="V524" s="5" t="s">
        <v>6946</v>
      </c>
      <c r="W524" s="5" t="s">
        <v>4999</v>
      </c>
      <c r="X524" s="5" t="s">
        <v>4999</v>
      </c>
      <c r="Y524" s="4">
        <v>130</v>
      </c>
      <c r="Z524" s="4">
        <v>93</v>
      </c>
      <c r="AA524" s="4">
        <v>97</v>
      </c>
      <c r="AB524" s="4">
        <v>3</v>
      </c>
      <c r="AC524" s="4">
        <v>3</v>
      </c>
      <c r="AD524" s="4">
        <v>3</v>
      </c>
      <c r="AE524" s="4">
        <v>3</v>
      </c>
      <c r="AF524" s="4">
        <v>0</v>
      </c>
      <c r="AG524" s="4">
        <v>0</v>
      </c>
      <c r="AH524" s="4">
        <v>2</v>
      </c>
      <c r="AI524" s="4">
        <v>2</v>
      </c>
      <c r="AJ524" s="4">
        <v>1</v>
      </c>
      <c r="AK524" s="4">
        <v>1</v>
      </c>
      <c r="AL524" s="4">
        <v>1</v>
      </c>
      <c r="AM524" s="4">
        <v>1</v>
      </c>
      <c r="AN524" s="4">
        <v>0</v>
      </c>
      <c r="AO524" s="4">
        <v>0</v>
      </c>
      <c r="AP524" s="3" t="s">
        <v>58</v>
      </c>
      <c r="AQ524" s="3" t="s">
        <v>86</v>
      </c>
      <c r="AR524" s="6" t="str">
        <f>HYPERLINK("http://catalog.hathitrust.org/Record/001946342","HathiTrust Record")</f>
        <v>HathiTrust Record</v>
      </c>
      <c r="AS524" s="6" t="str">
        <f>HYPERLINK("https://creighton-primo.hosted.exlibrisgroup.com/primo-explore/search?tab=default_tab&amp;search_scope=EVERYTHING&amp;vid=01CRU&amp;lang=en_US&amp;offset=0&amp;query=any,contains,991001799339702656","Catalog Record")</f>
        <v>Catalog Record</v>
      </c>
      <c r="AT524" s="6" t="str">
        <f>HYPERLINK("http://www.worldcat.org/oclc/13063021","WorldCat Record")</f>
        <v>WorldCat Record</v>
      </c>
      <c r="AU524" s="3" t="s">
        <v>6947</v>
      </c>
      <c r="AV524" s="3" t="s">
        <v>6948</v>
      </c>
      <c r="AW524" s="3" t="s">
        <v>6949</v>
      </c>
      <c r="AX524" s="3" t="s">
        <v>6949</v>
      </c>
      <c r="AY524" s="3" t="s">
        <v>6950</v>
      </c>
      <c r="AZ524" s="3" t="s">
        <v>74</v>
      </c>
      <c r="BB524" s="3" t="s">
        <v>6951</v>
      </c>
      <c r="BC524" s="3" t="s">
        <v>6952</v>
      </c>
      <c r="BD524" s="3" t="s">
        <v>6953</v>
      </c>
    </row>
    <row r="525" spans="1:56" ht="42.75" customHeight="1" x14ac:dyDescent="0.25">
      <c r="A525" s="7" t="s">
        <v>58</v>
      </c>
      <c r="B525" s="2" t="s">
        <v>6954</v>
      </c>
      <c r="C525" s="2" t="s">
        <v>6955</v>
      </c>
      <c r="D525" s="2" t="s">
        <v>6956</v>
      </c>
      <c r="F525" s="3" t="s">
        <v>58</v>
      </c>
      <c r="G525" s="3" t="s">
        <v>59</v>
      </c>
      <c r="H525" s="3" t="s">
        <v>58</v>
      </c>
      <c r="I525" s="3" t="s">
        <v>58</v>
      </c>
      <c r="J525" s="3" t="s">
        <v>60</v>
      </c>
      <c r="K525" s="2" t="s">
        <v>6957</v>
      </c>
      <c r="L525" s="2" t="s">
        <v>6958</v>
      </c>
      <c r="M525" s="3" t="s">
        <v>6959</v>
      </c>
      <c r="N525" s="2" t="s">
        <v>3823</v>
      </c>
      <c r="O525" s="3" t="s">
        <v>64</v>
      </c>
      <c r="P525" s="3" t="s">
        <v>115</v>
      </c>
      <c r="R525" s="3" t="s">
        <v>67</v>
      </c>
      <c r="S525" s="4">
        <v>1</v>
      </c>
      <c r="T525" s="4">
        <v>1</v>
      </c>
      <c r="U525" s="5" t="s">
        <v>6960</v>
      </c>
      <c r="V525" s="5" t="s">
        <v>6960</v>
      </c>
      <c r="W525" s="5" t="s">
        <v>3917</v>
      </c>
      <c r="X525" s="5" t="s">
        <v>3917</v>
      </c>
      <c r="Y525" s="4">
        <v>455</v>
      </c>
      <c r="Z525" s="4">
        <v>408</v>
      </c>
      <c r="AA525" s="4">
        <v>492</v>
      </c>
      <c r="AB525" s="4">
        <v>4</v>
      </c>
      <c r="AC525" s="4">
        <v>4</v>
      </c>
      <c r="AD525" s="4">
        <v>22</v>
      </c>
      <c r="AE525" s="4">
        <v>29</v>
      </c>
      <c r="AF525" s="4">
        <v>4</v>
      </c>
      <c r="AG525" s="4">
        <v>6</v>
      </c>
      <c r="AH525" s="4">
        <v>7</v>
      </c>
      <c r="AI525" s="4">
        <v>7</v>
      </c>
      <c r="AJ525" s="4">
        <v>14</v>
      </c>
      <c r="AK525" s="4">
        <v>20</v>
      </c>
      <c r="AL525" s="4">
        <v>2</v>
      </c>
      <c r="AM525" s="4">
        <v>2</v>
      </c>
      <c r="AN525" s="4">
        <v>0</v>
      </c>
      <c r="AO525" s="4">
        <v>0</v>
      </c>
      <c r="AP525" s="3" t="s">
        <v>58</v>
      </c>
      <c r="AQ525" s="3" t="s">
        <v>58</v>
      </c>
      <c r="AR525" s="6" t="str">
        <f>HYPERLINK("http://catalog.hathitrust.org/Record/001564124","HathiTrust Record")</f>
        <v>HathiTrust Record</v>
      </c>
      <c r="AS525" s="6" t="str">
        <f>HYPERLINK("https://creighton-primo.hosted.exlibrisgroup.com/primo-explore/search?tab=default_tab&amp;search_scope=EVERYTHING&amp;vid=01CRU&amp;lang=en_US&amp;offset=0&amp;query=any,contains,991002166319702656","Catalog Record")</f>
        <v>Catalog Record</v>
      </c>
      <c r="AT525" s="6" t="str">
        <f>HYPERLINK("http://www.worldcat.org/oclc/275477","WorldCat Record")</f>
        <v>WorldCat Record</v>
      </c>
      <c r="AU525" s="3" t="s">
        <v>6961</v>
      </c>
      <c r="AV525" s="3" t="s">
        <v>6962</v>
      </c>
      <c r="AW525" s="3" t="s">
        <v>6963</v>
      </c>
      <c r="AX525" s="3" t="s">
        <v>6963</v>
      </c>
      <c r="AY525" s="3" t="s">
        <v>6964</v>
      </c>
      <c r="AZ525" s="3" t="s">
        <v>74</v>
      </c>
      <c r="BC525" s="3" t="s">
        <v>6965</v>
      </c>
      <c r="BD525" s="3" t="s">
        <v>6966</v>
      </c>
    </row>
    <row r="526" spans="1:56" ht="42.75" customHeight="1" x14ac:dyDescent="0.25">
      <c r="A526" s="7" t="s">
        <v>58</v>
      </c>
      <c r="B526" s="2" t="s">
        <v>6967</v>
      </c>
      <c r="C526" s="2" t="s">
        <v>6968</v>
      </c>
      <c r="D526" s="2" t="s">
        <v>6969</v>
      </c>
      <c r="F526" s="3" t="s">
        <v>58</v>
      </c>
      <c r="G526" s="3" t="s">
        <v>59</v>
      </c>
      <c r="H526" s="3" t="s">
        <v>58</v>
      </c>
      <c r="I526" s="3" t="s">
        <v>58</v>
      </c>
      <c r="J526" s="3" t="s">
        <v>60</v>
      </c>
      <c r="K526" s="2" t="s">
        <v>6970</v>
      </c>
      <c r="L526" s="2" t="s">
        <v>6971</v>
      </c>
      <c r="M526" s="3" t="s">
        <v>765</v>
      </c>
      <c r="O526" s="3" t="s">
        <v>64</v>
      </c>
      <c r="P526" s="3" t="s">
        <v>208</v>
      </c>
      <c r="R526" s="3" t="s">
        <v>67</v>
      </c>
      <c r="S526" s="4">
        <v>6</v>
      </c>
      <c r="T526" s="4">
        <v>6</v>
      </c>
      <c r="U526" s="5" t="s">
        <v>6972</v>
      </c>
      <c r="V526" s="5" t="s">
        <v>6972</v>
      </c>
      <c r="W526" s="5" t="s">
        <v>6973</v>
      </c>
      <c r="X526" s="5" t="s">
        <v>6973</v>
      </c>
      <c r="Y526" s="4">
        <v>570</v>
      </c>
      <c r="Z526" s="4">
        <v>491</v>
      </c>
      <c r="AA526" s="4">
        <v>559</v>
      </c>
      <c r="AB526" s="4">
        <v>3</v>
      </c>
      <c r="AC526" s="4">
        <v>4</v>
      </c>
      <c r="AD526" s="4">
        <v>18</v>
      </c>
      <c r="AE526" s="4">
        <v>19</v>
      </c>
      <c r="AF526" s="4">
        <v>5</v>
      </c>
      <c r="AG526" s="4">
        <v>5</v>
      </c>
      <c r="AH526" s="4">
        <v>6</v>
      </c>
      <c r="AI526" s="4">
        <v>6</v>
      </c>
      <c r="AJ526" s="4">
        <v>11</v>
      </c>
      <c r="AK526" s="4">
        <v>11</v>
      </c>
      <c r="AL526" s="4">
        <v>1</v>
      </c>
      <c r="AM526" s="4">
        <v>2</v>
      </c>
      <c r="AN526" s="4">
        <v>0</v>
      </c>
      <c r="AO526" s="4">
        <v>0</v>
      </c>
      <c r="AP526" s="3" t="s">
        <v>58</v>
      </c>
      <c r="AQ526" s="3" t="s">
        <v>58</v>
      </c>
      <c r="AS526" s="6" t="str">
        <f>HYPERLINK("https://creighton-primo.hosted.exlibrisgroup.com/primo-explore/search?tab=default_tab&amp;search_scope=EVERYTHING&amp;vid=01CRU&amp;lang=en_US&amp;offset=0&amp;query=any,contains,991002410279702656","Catalog Record")</f>
        <v>Catalog Record</v>
      </c>
      <c r="AT526" s="6" t="str">
        <f>HYPERLINK("http://www.worldcat.org/oclc/31375134","WorldCat Record")</f>
        <v>WorldCat Record</v>
      </c>
      <c r="AU526" s="3" t="s">
        <v>6974</v>
      </c>
      <c r="AV526" s="3" t="s">
        <v>6975</v>
      </c>
      <c r="AW526" s="3" t="s">
        <v>6976</v>
      </c>
      <c r="AX526" s="3" t="s">
        <v>6976</v>
      </c>
      <c r="AY526" s="3" t="s">
        <v>6977</v>
      </c>
      <c r="AZ526" s="3" t="s">
        <v>74</v>
      </c>
      <c r="BB526" s="3" t="s">
        <v>6978</v>
      </c>
      <c r="BC526" s="3" t="s">
        <v>6979</v>
      </c>
      <c r="BD526" s="3" t="s">
        <v>6980</v>
      </c>
    </row>
    <row r="527" spans="1:56" ht="42.75" customHeight="1" x14ac:dyDescent="0.25">
      <c r="A527" s="7" t="s">
        <v>58</v>
      </c>
      <c r="B527" s="2" t="s">
        <v>6981</v>
      </c>
      <c r="C527" s="2" t="s">
        <v>6982</v>
      </c>
      <c r="D527" s="2" t="s">
        <v>6983</v>
      </c>
      <c r="F527" s="3" t="s">
        <v>58</v>
      </c>
      <c r="G527" s="3" t="s">
        <v>59</v>
      </c>
      <c r="H527" s="3" t="s">
        <v>58</v>
      </c>
      <c r="I527" s="3" t="s">
        <v>58</v>
      </c>
      <c r="J527" s="3" t="s">
        <v>60</v>
      </c>
      <c r="K527" s="2" t="s">
        <v>6984</v>
      </c>
      <c r="L527" s="2" t="s">
        <v>6985</v>
      </c>
      <c r="M527" s="3" t="s">
        <v>642</v>
      </c>
      <c r="O527" s="3" t="s">
        <v>64</v>
      </c>
      <c r="P527" s="3" t="s">
        <v>115</v>
      </c>
      <c r="Q527" s="2" t="s">
        <v>6986</v>
      </c>
      <c r="R527" s="3" t="s">
        <v>67</v>
      </c>
      <c r="S527" s="4">
        <v>13</v>
      </c>
      <c r="T527" s="4">
        <v>13</v>
      </c>
      <c r="U527" s="5" t="s">
        <v>6987</v>
      </c>
      <c r="V527" s="5" t="s">
        <v>6987</v>
      </c>
      <c r="W527" s="5" t="s">
        <v>5944</v>
      </c>
      <c r="X527" s="5" t="s">
        <v>5944</v>
      </c>
      <c r="Y527" s="4">
        <v>702</v>
      </c>
      <c r="Z527" s="4">
        <v>590</v>
      </c>
      <c r="AA527" s="4">
        <v>610</v>
      </c>
      <c r="AB527" s="4">
        <v>3</v>
      </c>
      <c r="AC527" s="4">
        <v>4</v>
      </c>
      <c r="AD527" s="4">
        <v>28</v>
      </c>
      <c r="AE527" s="4">
        <v>29</v>
      </c>
      <c r="AF527" s="4">
        <v>11</v>
      </c>
      <c r="AG527" s="4">
        <v>11</v>
      </c>
      <c r="AH527" s="4">
        <v>7</v>
      </c>
      <c r="AI527" s="4">
        <v>7</v>
      </c>
      <c r="AJ527" s="4">
        <v>14</v>
      </c>
      <c r="AK527" s="4">
        <v>14</v>
      </c>
      <c r="AL527" s="4">
        <v>2</v>
      </c>
      <c r="AM527" s="4">
        <v>3</v>
      </c>
      <c r="AN527" s="4">
        <v>0</v>
      </c>
      <c r="AO527" s="4">
        <v>0</v>
      </c>
      <c r="AP527" s="3" t="s">
        <v>58</v>
      </c>
      <c r="AQ527" s="3" t="s">
        <v>58</v>
      </c>
      <c r="AS527" s="6" t="str">
        <f>HYPERLINK("https://creighton-primo.hosted.exlibrisgroup.com/primo-explore/search?tab=default_tab&amp;search_scope=EVERYTHING&amp;vid=01CRU&amp;lang=en_US&amp;offset=0&amp;query=any,contains,991002033749702656","Catalog Record")</f>
        <v>Catalog Record</v>
      </c>
      <c r="AT527" s="6" t="str">
        <f>HYPERLINK("http://www.worldcat.org/oclc/25914018","WorldCat Record")</f>
        <v>WorldCat Record</v>
      </c>
      <c r="AU527" s="3" t="s">
        <v>6988</v>
      </c>
      <c r="AV527" s="3" t="s">
        <v>6989</v>
      </c>
      <c r="AW527" s="3" t="s">
        <v>6990</v>
      </c>
      <c r="AX527" s="3" t="s">
        <v>6990</v>
      </c>
      <c r="AY527" s="3" t="s">
        <v>6991</v>
      </c>
      <c r="AZ527" s="3" t="s">
        <v>74</v>
      </c>
      <c r="BB527" s="3" t="s">
        <v>6992</v>
      </c>
      <c r="BC527" s="3" t="s">
        <v>6993</v>
      </c>
      <c r="BD527" s="3" t="s">
        <v>6994</v>
      </c>
    </row>
    <row r="528" spans="1:56" ht="42.75" customHeight="1" x14ac:dyDescent="0.25">
      <c r="A528" s="7" t="s">
        <v>58</v>
      </c>
      <c r="B528" s="2" t="s">
        <v>6995</v>
      </c>
      <c r="C528" s="2" t="s">
        <v>6996</v>
      </c>
      <c r="D528" s="2" t="s">
        <v>6997</v>
      </c>
      <c r="F528" s="3" t="s">
        <v>58</v>
      </c>
      <c r="G528" s="3" t="s">
        <v>59</v>
      </c>
      <c r="H528" s="3" t="s">
        <v>58</v>
      </c>
      <c r="I528" s="3" t="s">
        <v>58</v>
      </c>
      <c r="J528" s="3" t="s">
        <v>60</v>
      </c>
      <c r="L528" s="2" t="s">
        <v>6998</v>
      </c>
      <c r="M528" s="3" t="s">
        <v>1101</v>
      </c>
      <c r="N528" s="2" t="s">
        <v>1736</v>
      </c>
      <c r="O528" s="3" t="s">
        <v>64</v>
      </c>
      <c r="P528" s="3" t="s">
        <v>145</v>
      </c>
      <c r="R528" s="3" t="s">
        <v>67</v>
      </c>
      <c r="S528" s="4">
        <v>11</v>
      </c>
      <c r="T528" s="4">
        <v>11</v>
      </c>
      <c r="U528" s="5" t="s">
        <v>6987</v>
      </c>
      <c r="V528" s="5" t="s">
        <v>6987</v>
      </c>
      <c r="W528" s="5" t="s">
        <v>6999</v>
      </c>
      <c r="X528" s="5" t="s">
        <v>6999</v>
      </c>
      <c r="Y528" s="4">
        <v>661</v>
      </c>
      <c r="Z528" s="4">
        <v>548</v>
      </c>
      <c r="AA528" s="4">
        <v>605</v>
      </c>
      <c r="AB528" s="4">
        <v>3</v>
      </c>
      <c r="AC528" s="4">
        <v>4</v>
      </c>
      <c r="AD528" s="4">
        <v>24</v>
      </c>
      <c r="AE528" s="4">
        <v>30</v>
      </c>
      <c r="AF528" s="4">
        <v>10</v>
      </c>
      <c r="AG528" s="4">
        <v>12</v>
      </c>
      <c r="AH528" s="4">
        <v>5</v>
      </c>
      <c r="AI528" s="4">
        <v>5</v>
      </c>
      <c r="AJ528" s="4">
        <v>12</v>
      </c>
      <c r="AK528" s="4">
        <v>15</v>
      </c>
      <c r="AL528" s="4">
        <v>2</v>
      </c>
      <c r="AM528" s="4">
        <v>3</v>
      </c>
      <c r="AN528" s="4">
        <v>1</v>
      </c>
      <c r="AO528" s="4">
        <v>1</v>
      </c>
      <c r="AP528" s="3" t="s">
        <v>58</v>
      </c>
      <c r="AQ528" s="3" t="s">
        <v>58</v>
      </c>
      <c r="AS528" s="6" t="str">
        <f>HYPERLINK("https://creighton-primo.hosted.exlibrisgroup.com/primo-explore/search?tab=default_tab&amp;search_scope=EVERYTHING&amp;vid=01CRU&amp;lang=en_US&amp;offset=0&amp;query=any,contains,991004265489702656","Catalog Record")</f>
        <v>Catalog Record</v>
      </c>
      <c r="AT528" s="6" t="str">
        <f>HYPERLINK("http://www.worldcat.org/oclc/48871200","WorldCat Record")</f>
        <v>WorldCat Record</v>
      </c>
      <c r="AU528" s="3" t="s">
        <v>7000</v>
      </c>
      <c r="AV528" s="3" t="s">
        <v>7001</v>
      </c>
      <c r="AW528" s="3" t="s">
        <v>7002</v>
      </c>
      <c r="AX528" s="3" t="s">
        <v>7002</v>
      </c>
      <c r="AY528" s="3" t="s">
        <v>7003</v>
      </c>
      <c r="AZ528" s="3" t="s">
        <v>74</v>
      </c>
      <c r="BB528" s="3" t="s">
        <v>7004</v>
      </c>
      <c r="BC528" s="3" t="s">
        <v>7005</v>
      </c>
      <c r="BD528" s="3" t="s">
        <v>7006</v>
      </c>
    </row>
    <row r="529" spans="1:56" ht="42.75" customHeight="1" x14ac:dyDescent="0.25">
      <c r="A529" s="7" t="s">
        <v>58</v>
      </c>
      <c r="B529" s="2" t="s">
        <v>7007</v>
      </c>
      <c r="C529" s="2" t="s">
        <v>7008</v>
      </c>
      <c r="D529" s="2" t="s">
        <v>7009</v>
      </c>
      <c r="F529" s="3" t="s">
        <v>58</v>
      </c>
      <c r="G529" s="3" t="s">
        <v>59</v>
      </c>
      <c r="H529" s="3" t="s">
        <v>58</v>
      </c>
      <c r="I529" s="3" t="s">
        <v>58</v>
      </c>
      <c r="J529" s="3" t="s">
        <v>60</v>
      </c>
      <c r="K529" s="2" t="s">
        <v>7010</v>
      </c>
      <c r="L529" s="2" t="s">
        <v>7011</v>
      </c>
      <c r="M529" s="3" t="s">
        <v>238</v>
      </c>
      <c r="O529" s="3" t="s">
        <v>64</v>
      </c>
      <c r="P529" s="3" t="s">
        <v>99</v>
      </c>
      <c r="R529" s="3" t="s">
        <v>67</v>
      </c>
      <c r="S529" s="4">
        <v>8</v>
      </c>
      <c r="T529" s="4">
        <v>8</v>
      </c>
      <c r="U529" s="5" t="s">
        <v>7012</v>
      </c>
      <c r="V529" s="5" t="s">
        <v>7012</v>
      </c>
      <c r="W529" s="5" t="s">
        <v>7013</v>
      </c>
      <c r="X529" s="5" t="s">
        <v>7013</v>
      </c>
      <c r="Y529" s="4">
        <v>217</v>
      </c>
      <c r="Z529" s="4">
        <v>172</v>
      </c>
      <c r="AA529" s="4">
        <v>172</v>
      </c>
      <c r="AB529" s="4">
        <v>2</v>
      </c>
      <c r="AC529" s="4">
        <v>2</v>
      </c>
      <c r="AD529" s="4">
        <v>6</v>
      </c>
      <c r="AE529" s="4">
        <v>6</v>
      </c>
      <c r="AF529" s="4">
        <v>2</v>
      </c>
      <c r="AG529" s="4">
        <v>2</v>
      </c>
      <c r="AH529" s="4">
        <v>2</v>
      </c>
      <c r="AI529" s="4">
        <v>2</v>
      </c>
      <c r="AJ529" s="4">
        <v>2</v>
      </c>
      <c r="AK529" s="4">
        <v>2</v>
      </c>
      <c r="AL529" s="4">
        <v>1</v>
      </c>
      <c r="AM529" s="4">
        <v>1</v>
      </c>
      <c r="AN529" s="4">
        <v>0</v>
      </c>
      <c r="AO529" s="4">
        <v>0</v>
      </c>
      <c r="AP529" s="3" t="s">
        <v>58</v>
      </c>
      <c r="AQ529" s="3" t="s">
        <v>58</v>
      </c>
      <c r="AS529" s="6" t="str">
        <f>HYPERLINK("https://creighton-primo.hosted.exlibrisgroup.com/primo-explore/search?tab=default_tab&amp;search_scope=EVERYTHING&amp;vid=01CRU&amp;lang=en_US&amp;offset=0&amp;query=any,contains,991004715649702656","Catalog Record")</f>
        <v>Catalog Record</v>
      </c>
      <c r="AT529" s="6" t="str">
        <f>HYPERLINK("http://www.worldcat.org/oclc/4775885","WorldCat Record")</f>
        <v>WorldCat Record</v>
      </c>
      <c r="AU529" s="3" t="s">
        <v>7014</v>
      </c>
      <c r="AV529" s="3" t="s">
        <v>7015</v>
      </c>
      <c r="AW529" s="3" t="s">
        <v>7016</v>
      </c>
      <c r="AX529" s="3" t="s">
        <v>7016</v>
      </c>
      <c r="AY529" s="3" t="s">
        <v>7017</v>
      </c>
      <c r="AZ529" s="3" t="s">
        <v>74</v>
      </c>
      <c r="BB529" s="3" t="s">
        <v>7018</v>
      </c>
      <c r="BC529" s="3" t="s">
        <v>7019</v>
      </c>
      <c r="BD529" s="3" t="s">
        <v>7020</v>
      </c>
    </row>
    <row r="530" spans="1:56" ht="42.75" customHeight="1" x14ac:dyDescent="0.25">
      <c r="A530" s="7" t="s">
        <v>58</v>
      </c>
      <c r="B530" s="2" t="s">
        <v>7021</v>
      </c>
      <c r="C530" s="2" t="s">
        <v>7022</v>
      </c>
      <c r="D530" s="2" t="s">
        <v>7023</v>
      </c>
      <c r="F530" s="3" t="s">
        <v>58</v>
      </c>
      <c r="G530" s="3" t="s">
        <v>59</v>
      </c>
      <c r="H530" s="3" t="s">
        <v>86</v>
      </c>
      <c r="I530" s="3" t="s">
        <v>58</v>
      </c>
      <c r="J530" s="3" t="s">
        <v>60</v>
      </c>
      <c r="K530" s="2" t="s">
        <v>7024</v>
      </c>
      <c r="L530" s="2" t="s">
        <v>7025</v>
      </c>
      <c r="M530" s="3" t="s">
        <v>98</v>
      </c>
      <c r="N530" s="2" t="s">
        <v>1736</v>
      </c>
      <c r="O530" s="3" t="s">
        <v>64</v>
      </c>
      <c r="P530" s="3" t="s">
        <v>145</v>
      </c>
      <c r="R530" s="3" t="s">
        <v>67</v>
      </c>
      <c r="S530" s="4">
        <v>9</v>
      </c>
      <c r="T530" s="4">
        <v>9</v>
      </c>
      <c r="U530" s="5" t="s">
        <v>7026</v>
      </c>
      <c r="V530" s="5" t="s">
        <v>7026</v>
      </c>
      <c r="W530" s="5" t="s">
        <v>1576</v>
      </c>
      <c r="X530" s="5" t="s">
        <v>1576</v>
      </c>
      <c r="Y530" s="4">
        <v>272</v>
      </c>
      <c r="Z530" s="4">
        <v>210</v>
      </c>
      <c r="AA530" s="4">
        <v>212</v>
      </c>
      <c r="AB530" s="4">
        <v>2</v>
      </c>
      <c r="AC530" s="4">
        <v>2</v>
      </c>
      <c r="AD530" s="4">
        <v>8</v>
      </c>
      <c r="AE530" s="4">
        <v>8</v>
      </c>
      <c r="AF530" s="4">
        <v>1</v>
      </c>
      <c r="AG530" s="4">
        <v>1</v>
      </c>
      <c r="AH530" s="4">
        <v>1</v>
      </c>
      <c r="AI530" s="4">
        <v>1</v>
      </c>
      <c r="AJ530" s="4">
        <v>6</v>
      </c>
      <c r="AK530" s="4">
        <v>6</v>
      </c>
      <c r="AL530" s="4">
        <v>0</v>
      </c>
      <c r="AM530" s="4">
        <v>0</v>
      </c>
      <c r="AN530" s="4">
        <v>2</v>
      </c>
      <c r="AO530" s="4">
        <v>2</v>
      </c>
      <c r="AP530" s="3" t="s">
        <v>58</v>
      </c>
      <c r="AQ530" s="3" t="s">
        <v>86</v>
      </c>
      <c r="AR530" s="6" t="str">
        <f>HYPERLINK("http://catalog.hathitrust.org/Record/001073387","HathiTrust Record")</f>
        <v>HathiTrust Record</v>
      </c>
      <c r="AS530" s="6" t="str">
        <f>HYPERLINK("https://creighton-primo.hosted.exlibrisgroup.com/primo-explore/search?tab=default_tab&amp;search_scope=EVERYTHING&amp;vid=01CRU&amp;lang=en_US&amp;offset=0&amp;query=any,contains,991001031329702656","Catalog Record")</f>
        <v>Catalog Record</v>
      </c>
      <c r="AT530" s="6" t="str">
        <f>HYPERLINK("http://www.worldcat.org/oclc/15518144","WorldCat Record")</f>
        <v>WorldCat Record</v>
      </c>
      <c r="AU530" s="3" t="s">
        <v>7027</v>
      </c>
      <c r="AV530" s="3" t="s">
        <v>7028</v>
      </c>
      <c r="AW530" s="3" t="s">
        <v>7029</v>
      </c>
      <c r="AX530" s="3" t="s">
        <v>7029</v>
      </c>
      <c r="AY530" s="3" t="s">
        <v>7030</v>
      </c>
      <c r="AZ530" s="3" t="s">
        <v>74</v>
      </c>
      <c r="BB530" s="3" t="s">
        <v>7031</v>
      </c>
      <c r="BC530" s="3" t="s">
        <v>7032</v>
      </c>
      <c r="BD530" s="3" t="s">
        <v>7033</v>
      </c>
    </row>
    <row r="531" spans="1:56" ht="42.75" customHeight="1" x14ac:dyDescent="0.25">
      <c r="A531" s="7" t="s">
        <v>58</v>
      </c>
      <c r="B531" s="2" t="s">
        <v>7034</v>
      </c>
      <c r="C531" s="2" t="s">
        <v>7035</v>
      </c>
      <c r="D531" s="2" t="s">
        <v>7036</v>
      </c>
      <c r="F531" s="3" t="s">
        <v>58</v>
      </c>
      <c r="G531" s="3" t="s">
        <v>59</v>
      </c>
      <c r="H531" s="3" t="s">
        <v>86</v>
      </c>
      <c r="I531" s="3" t="s">
        <v>58</v>
      </c>
      <c r="J531" s="3" t="s">
        <v>60</v>
      </c>
      <c r="L531" s="2" t="s">
        <v>7037</v>
      </c>
      <c r="M531" s="3" t="s">
        <v>2227</v>
      </c>
      <c r="O531" s="3" t="s">
        <v>64</v>
      </c>
      <c r="P531" s="3" t="s">
        <v>359</v>
      </c>
      <c r="R531" s="3" t="s">
        <v>67</v>
      </c>
      <c r="S531" s="4">
        <v>5</v>
      </c>
      <c r="T531" s="4">
        <v>5</v>
      </c>
      <c r="U531" s="5" t="s">
        <v>7026</v>
      </c>
      <c r="V531" s="5" t="s">
        <v>7026</v>
      </c>
      <c r="W531" s="5" t="s">
        <v>7038</v>
      </c>
      <c r="X531" s="5" t="s">
        <v>7038</v>
      </c>
      <c r="Y531" s="4">
        <v>175</v>
      </c>
      <c r="Z531" s="4">
        <v>140</v>
      </c>
      <c r="AA531" s="4">
        <v>141</v>
      </c>
      <c r="AB531" s="4">
        <v>3</v>
      </c>
      <c r="AC531" s="4">
        <v>3</v>
      </c>
      <c r="AD531" s="4">
        <v>6</v>
      </c>
      <c r="AE531" s="4">
        <v>6</v>
      </c>
      <c r="AF531" s="4">
        <v>1</v>
      </c>
      <c r="AG531" s="4">
        <v>1</v>
      </c>
      <c r="AH531" s="4">
        <v>1</v>
      </c>
      <c r="AI531" s="4">
        <v>1</v>
      </c>
      <c r="AJ531" s="4">
        <v>4</v>
      </c>
      <c r="AK531" s="4">
        <v>4</v>
      </c>
      <c r="AL531" s="4">
        <v>1</v>
      </c>
      <c r="AM531" s="4">
        <v>1</v>
      </c>
      <c r="AN531" s="4">
        <v>0</v>
      </c>
      <c r="AO531" s="4">
        <v>0</v>
      </c>
      <c r="AP531" s="3" t="s">
        <v>58</v>
      </c>
      <c r="AQ531" s="3" t="s">
        <v>86</v>
      </c>
      <c r="AR531" s="6" t="str">
        <f>HYPERLINK("http://catalog.hathitrust.org/Record/101876530","HathiTrust Record")</f>
        <v>HathiTrust Record</v>
      </c>
      <c r="AS531" s="6" t="str">
        <f>HYPERLINK("https://creighton-primo.hosted.exlibrisgroup.com/primo-explore/search?tab=default_tab&amp;search_scope=EVERYTHING&amp;vid=01CRU&amp;lang=en_US&amp;offset=0&amp;query=any,contains,991000678149702656","Catalog Record")</f>
        <v>Catalog Record</v>
      </c>
      <c r="AT531" s="6" t="str">
        <f>HYPERLINK("http://www.worldcat.org/oclc/12370834","WorldCat Record")</f>
        <v>WorldCat Record</v>
      </c>
      <c r="AU531" s="3" t="s">
        <v>7039</v>
      </c>
      <c r="AV531" s="3" t="s">
        <v>7040</v>
      </c>
      <c r="AW531" s="3" t="s">
        <v>7041</v>
      </c>
      <c r="AX531" s="3" t="s">
        <v>7041</v>
      </c>
      <c r="AY531" s="3" t="s">
        <v>7042</v>
      </c>
      <c r="AZ531" s="3" t="s">
        <v>74</v>
      </c>
      <c r="BB531" s="3" t="s">
        <v>7043</v>
      </c>
      <c r="BC531" s="3" t="s">
        <v>7044</v>
      </c>
      <c r="BD531" s="3" t="s">
        <v>7045</v>
      </c>
    </row>
    <row r="532" spans="1:56" ht="42.75" customHeight="1" x14ac:dyDescent="0.25">
      <c r="A532" s="7" t="s">
        <v>58</v>
      </c>
      <c r="B532" s="2" t="s">
        <v>7046</v>
      </c>
      <c r="C532" s="2" t="s">
        <v>7047</v>
      </c>
      <c r="D532" s="2" t="s">
        <v>7048</v>
      </c>
      <c r="E532" s="3" t="s">
        <v>2397</v>
      </c>
      <c r="F532" s="3" t="s">
        <v>86</v>
      </c>
      <c r="G532" s="3" t="s">
        <v>59</v>
      </c>
      <c r="H532" s="3" t="s">
        <v>58</v>
      </c>
      <c r="I532" s="3" t="s">
        <v>58</v>
      </c>
      <c r="J532" s="3" t="s">
        <v>60</v>
      </c>
      <c r="L532" s="2" t="s">
        <v>7049</v>
      </c>
      <c r="M532" s="3" t="s">
        <v>2770</v>
      </c>
      <c r="N532" s="2" t="s">
        <v>1736</v>
      </c>
      <c r="O532" s="3" t="s">
        <v>64</v>
      </c>
      <c r="P532" s="3" t="s">
        <v>208</v>
      </c>
      <c r="R532" s="3" t="s">
        <v>67</v>
      </c>
      <c r="S532" s="4">
        <v>7</v>
      </c>
      <c r="T532" s="4">
        <v>11</v>
      </c>
      <c r="U532" s="5" t="s">
        <v>7050</v>
      </c>
      <c r="V532" s="5" t="s">
        <v>4578</v>
      </c>
      <c r="W532" s="5" t="s">
        <v>7051</v>
      </c>
      <c r="X532" s="5" t="s">
        <v>7051</v>
      </c>
      <c r="Y532" s="4">
        <v>639</v>
      </c>
      <c r="Z532" s="4">
        <v>579</v>
      </c>
      <c r="AA532" s="4">
        <v>651</v>
      </c>
      <c r="AB532" s="4">
        <v>9</v>
      </c>
      <c r="AC532" s="4">
        <v>9</v>
      </c>
      <c r="AD532" s="4">
        <v>31</v>
      </c>
      <c r="AE532" s="4">
        <v>33</v>
      </c>
      <c r="AF532" s="4">
        <v>9</v>
      </c>
      <c r="AG532" s="4">
        <v>10</v>
      </c>
      <c r="AH532" s="4">
        <v>4</v>
      </c>
      <c r="AI532" s="4">
        <v>5</v>
      </c>
      <c r="AJ532" s="4">
        <v>16</v>
      </c>
      <c r="AK532" s="4">
        <v>17</v>
      </c>
      <c r="AL532" s="4">
        <v>7</v>
      </c>
      <c r="AM532" s="4">
        <v>7</v>
      </c>
      <c r="AN532" s="4">
        <v>2</v>
      </c>
      <c r="AO532" s="4">
        <v>2</v>
      </c>
      <c r="AP532" s="3" t="s">
        <v>58</v>
      </c>
      <c r="AQ532" s="3" t="s">
        <v>86</v>
      </c>
      <c r="AR532" s="6" t="str">
        <f>HYPERLINK("http://catalog.hathitrust.org/Record/000748624","HathiTrust Record")</f>
        <v>HathiTrust Record</v>
      </c>
      <c r="AS532" s="6" t="str">
        <f>HYPERLINK("https://creighton-primo.hosted.exlibrisgroup.com/primo-explore/search?tab=default_tab&amp;search_scope=EVERYTHING&amp;vid=01CRU&amp;lang=en_US&amp;offset=0&amp;query=any,contains,991001766029702656","Catalog Record")</f>
        <v>Catalog Record</v>
      </c>
      <c r="AT532" s="6" t="str">
        <f>HYPERLINK("http://www.worldcat.org/oclc/3313473","WorldCat Record")</f>
        <v>WorldCat Record</v>
      </c>
      <c r="AU532" s="3" t="s">
        <v>7052</v>
      </c>
      <c r="AV532" s="3" t="s">
        <v>7053</v>
      </c>
      <c r="AW532" s="3" t="s">
        <v>7054</v>
      </c>
      <c r="AX532" s="3" t="s">
        <v>7054</v>
      </c>
      <c r="AY532" s="3" t="s">
        <v>7055</v>
      </c>
      <c r="AZ532" s="3" t="s">
        <v>74</v>
      </c>
      <c r="BB532" s="3" t="s">
        <v>7056</v>
      </c>
      <c r="BC532" s="3" t="s">
        <v>7057</v>
      </c>
      <c r="BD532" s="3" t="s">
        <v>7058</v>
      </c>
    </row>
    <row r="533" spans="1:56" ht="42.75" customHeight="1" x14ac:dyDescent="0.25">
      <c r="A533" s="7" t="s">
        <v>58</v>
      </c>
      <c r="B533" s="2" t="s">
        <v>7059</v>
      </c>
      <c r="C533" s="2" t="s">
        <v>7060</v>
      </c>
      <c r="D533" s="2" t="s">
        <v>7061</v>
      </c>
      <c r="F533" s="3" t="s">
        <v>58</v>
      </c>
      <c r="G533" s="3" t="s">
        <v>59</v>
      </c>
      <c r="H533" s="3" t="s">
        <v>86</v>
      </c>
      <c r="I533" s="3" t="s">
        <v>58</v>
      </c>
      <c r="J533" s="3" t="s">
        <v>60</v>
      </c>
      <c r="L533" s="2" t="s">
        <v>7062</v>
      </c>
      <c r="M533" s="3" t="s">
        <v>63</v>
      </c>
      <c r="O533" s="3" t="s">
        <v>64</v>
      </c>
      <c r="P533" s="3" t="s">
        <v>115</v>
      </c>
      <c r="R533" s="3" t="s">
        <v>67</v>
      </c>
      <c r="S533" s="4">
        <v>1</v>
      </c>
      <c r="T533" s="4">
        <v>1</v>
      </c>
      <c r="U533" s="5" t="s">
        <v>7063</v>
      </c>
      <c r="V533" s="5" t="s">
        <v>7063</v>
      </c>
      <c r="W533" s="5" t="s">
        <v>483</v>
      </c>
      <c r="X533" s="5" t="s">
        <v>483</v>
      </c>
      <c r="Y533" s="4">
        <v>394</v>
      </c>
      <c r="Z533" s="4">
        <v>310</v>
      </c>
      <c r="AA533" s="4">
        <v>330</v>
      </c>
      <c r="AB533" s="4">
        <v>5</v>
      </c>
      <c r="AC533" s="4">
        <v>5</v>
      </c>
      <c r="AD533" s="4">
        <v>20</v>
      </c>
      <c r="AE533" s="4">
        <v>21</v>
      </c>
      <c r="AF533" s="4">
        <v>8</v>
      </c>
      <c r="AG533" s="4">
        <v>9</v>
      </c>
      <c r="AH533" s="4">
        <v>4</v>
      </c>
      <c r="AI533" s="4">
        <v>5</v>
      </c>
      <c r="AJ533" s="4">
        <v>11</v>
      </c>
      <c r="AK533" s="4">
        <v>11</v>
      </c>
      <c r="AL533" s="4">
        <v>3</v>
      </c>
      <c r="AM533" s="4">
        <v>3</v>
      </c>
      <c r="AN533" s="4">
        <v>0</v>
      </c>
      <c r="AO533" s="4">
        <v>0</v>
      </c>
      <c r="AP533" s="3" t="s">
        <v>58</v>
      </c>
      <c r="AQ533" s="3" t="s">
        <v>86</v>
      </c>
      <c r="AR533" s="6" t="str">
        <f>HYPERLINK("http://catalog.hathitrust.org/Record/000203871","HathiTrust Record")</f>
        <v>HathiTrust Record</v>
      </c>
      <c r="AS533" s="6" t="str">
        <f>HYPERLINK("https://creighton-primo.hosted.exlibrisgroup.com/primo-explore/search?tab=default_tab&amp;search_scope=EVERYTHING&amp;vid=01CRU&amp;lang=en_US&amp;offset=0&amp;query=any,contains,991000254549702656","Catalog Record")</f>
        <v>Catalog Record</v>
      </c>
      <c r="AT533" s="6" t="str">
        <f>HYPERLINK("http://www.worldcat.org/oclc/9762433","WorldCat Record")</f>
        <v>WorldCat Record</v>
      </c>
      <c r="AU533" s="3" t="s">
        <v>7064</v>
      </c>
      <c r="AV533" s="3" t="s">
        <v>7065</v>
      </c>
      <c r="AW533" s="3" t="s">
        <v>7066</v>
      </c>
      <c r="AX533" s="3" t="s">
        <v>7066</v>
      </c>
      <c r="AY533" s="3" t="s">
        <v>7067</v>
      </c>
      <c r="AZ533" s="3" t="s">
        <v>74</v>
      </c>
      <c r="BB533" s="3" t="s">
        <v>7068</v>
      </c>
      <c r="BC533" s="3" t="s">
        <v>7069</v>
      </c>
      <c r="BD533" s="3" t="s">
        <v>7070</v>
      </c>
    </row>
    <row r="534" spans="1:56" ht="42.75" customHeight="1" x14ac:dyDescent="0.25">
      <c r="A534" s="7" t="s">
        <v>58</v>
      </c>
      <c r="B534" s="2" t="s">
        <v>7071</v>
      </c>
      <c r="C534" s="2" t="s">
        <v>7072</v>
      </c>
      <c r="D534" s="2" t="s">
        <v>7073</v>
      </c>
      <c r="F534" s="3" t="s">
        <v>58</v>
      </c>
      <c r="G534" s="3" t="s">
        <v>59</v>
      </c>
      <c r="H534" s="3" t="s">
        <v>86</v>
      </c>
      <c r="I534" s="3" t="s">
        <v>58</v>
      </c>
      <c r="J534" s="3" t="s">
        <v>60</v>
      </c>
      <c r="L534" s="2" t="s">
        <v>7074</v>
      </c>
      <c r="M534" s="3" t="s">
        <v>371</v>
      </c>
      <c r="O534" s="3" t="s">
        <v>64</v>
      </c>
      <c r="P534" s="3" t="s">
        <v>254</v>
      </c>
      <c r="R534" s="3" t="s">
        <v>67</v>
      </c>
      <c r="S534" s="4">
        <v>14</v>
      </c>
      <c r="T534" s="4">
        <v>14</v>
      </c>
      <c r="U534" s="5" t="s">
        <v>7075</v>
      </c>
      <c r="V534" s="5" t="s">
        <v>7075</v>
      </c>
      <c r="W534" s="5" t="s">
        <v>7076</v>
      </c>
      <c r="X534" s="5" t="s">
        <v>7076</v>
      </c>
      <c r="Y534" s="4">
        <v>418</v>
      </c>
      <c r="Z534" s="4">
        <v>357</v>
      </c>
      <c r="AA534" s="4">
        <v>359</v>
      </c>
      <c r="AB534" s="4">
        <v>6</v>
      </c>
      <c r="AC534" s="4">
        <v>6</v>
      </c>
      <c r="AD534" s="4">
        <v>25</v>
      </c>
      <c r="AE534" s="4">
        <v>25</v>
      </c>
      <c r="AF534" s="4">
        <v>9</v>
      </c>
      <c r="AG534" s="4">
        <v>9</v>
      </c>
      <c r="AH534" s="4">
        <v>4</v>
      </c>
      <c r="AI534" s="4">
        <v>4</v>
      </c>
      <c r="AJ534" s="4">
        <v>13</v>
      </c>
      <c r="AK534" s="4">
        <v>13</v>
      </c>
      <c r="AL534" s="4">
        <v>3</v>
      </c>
      <c r="AM534" s="4">
        <v>3</v>
      </c>
      <c r="AN534" s="4">
        <v>1</v>
      </c>
      <c r="AO534" s="4">
        <v>1</v>
      </c>
      <c r="AP534" s="3" t="s">
        <v>58</v>
      </c>
      <c r="AQ534" s="3" t="s">
        <v>86</v>
      </c>
      <c r="AR534" s="6" t="str">
        <f>HYPERLINK("http://catalog.hathitrust.org/Record/000471128","HathiTrust Record")</f>
        <v>HathiTrust Record</v>
      </c>
      <c r="AS534" s="6" t="str">
        <f>HYPERLINK("https://creighton-primo.hosted.exlibrisgroup.com/primo-explore/search?tab=default_tab&amp;search_scope=EVERYTHING&amp;vid=01CRU&amp;lang=en_US&amp;offset=0&amp;query=any,contains,991000707939702656","Catalog Record")</f>
        <v>Catalog Record</v>
      </c>
      <c r="AT534" s="6" t="str">
        <f>HYPERLINK("http://www.worldcat.org/oclc/12558600","WorldCat Record")</f>
        <v>WorldCat Record</v>
      </c>
      <c r="AU534" s="3" t="s">
        <v>7077</v>
      </c>
      <c r="AV534" s="3" t="s">
        <v>7078</v>
      </c>
      <c r="AW534" s="3" t="s">
        <v>7079</v>
      </c>
      <c r="AX534" s="3" t="s">
        <v>7079</v>
      </c>
      <c r="AY534" s="3" t="s">
        <v>7080</v>
      </c>
      <c r="AZ534" s="3" t="s">
        <v>74</v>
      </c>
      <c r="BB534" s="3" t="s">
        <v>7081</v>
      </c>
      <c r="BC534" s="3" t="s">
        <v>7082</v>
      </c>
      <c r="BD534" s="3" t="s">
        <v>7083</v>
      </c>
    </row>
    <row r="535" spans="1:56" ht="42.75" customHeight="1" x14ac:dyDescent="0.25">
      <c r="A535" s="7" t="s">
        <v>58</v>
      </c>
      <c r="B535" s="2" t="s">
        <v>7084</v>
      </c>
      <c r="C535" s="2" t="s">
        <v>7085</v>
      </c>
      <c r="D535" s="2" t="s">
        <v>7086</v>
      </c>
      <c r="F535" s="3" t="s">
        <v>58</v>
      </c>
      <c r="G535" s="3" t="s">
        <v>59</v>
      </c>
      <c r="H535" s="3" t="s">
        <v>58</v>
      </c>
      <c r="I535" s="3" t="s">
        <v>58</v>
      </c>
      <c r="J535" s="3" t="s">
        <v>60</v>
      </c>
      <c r="K535" s="2" t="s">
        <v>7087</v>
      </c>
      <c r="L535" s="2" t="s">
        <v>5226</v>
      </c>
      <c r="M535" s="3" t="s">
        <v>238</v>
      </c>
      <c r="O535" s="3" t="s">
        <v>64</v>
      </c>
      <c r="P535" s="3" t="s">
        <v>115</v>
      </c>
      <c r="Q535" s="2" t="s">
        <v>7088</v>
      </c>
      <c r="R535" s="3" t="s">
        <v>67</v>
      </c>
      <c r="S535" s="4">
        <v>10</v>
      </c>
      <c r="T535" s="4">
        <v>10</v>
      </c>
      <c r="U535" s="5" t="s">
        <v>7089</v>
      </c>
      <c r="V535" s="5" t="s">
        <v>7089</v>
      </c>
      <c r="W535" s="5" t="s">
        <v>7090</v>
      </c>
      <c r="X535" s="5" t="s">
        <v>7090</v>
      </c>
      <c r="Y535" s="4">
        <v>404</v>
      </c>
      <c r="Z535" s="4">
        <v>323</v>
      </c>
      <c r="AA535" s="4">
        <v>329</v>
      </c>
      <c r="AB535" s="4">
        <v>1</v>
      </c>
      <c r="AC535" s="4">
        <v>1</v>
      </c>
      <c r="AD535" s="4">
        <v>19</v>
      </c>
      <c r="AE535" s="4">
        <v>20</v>
      </c>
      <c r="AF535" s="4">
        <v>1</v>
      </c>
      <c r="AG535" s="4">
        <v>1</v>
      </c>
      <c r="AH535" s="4">
        <v>4</v>
      </c>
      <c r="AI535" s="4">
        <v>5</v>
      </c>
      <c r="AJ535" s="4">
        <v>5</v>
      </c>
      <c r="AK535" s="4">
        <v>6</v>
      </c>
      <c r="AL535" s="4">
        <v>0</v>
      </c>
      <c r="AM535" s="4">
        <v>0</v>
      </c>
      <c r="AN535" s="4">
        <v>11</v>
      </c>
      <c r="AO535" s="4">
        <v>11</v>
      </c>
      <c r="AP535" s="3" t="s">
        <v>58</v>
      </c>
      <c r="AQ535" s="3" t="s">
        <v>58</v>
      </c>
      <c r="AS535" s="6" t="str">
        <f>HYPERLINK("https://creighton-primo.hosted.exlibrisgroup.com/primo-explore/search?tab=default_tab&amp;search_scope=EVERYTHING&amp;vid=01CRU&amp;lang=en_US&amp;offset=0&amp;query=any,contains,991004869149702656","Catalog Record")</f>
        <v>Catalog Record</v>
      </c>
      <c r="AT535" s="6" t="str">
        <f>HYPERLINK("http://www.worldcat.org/oclc/5750222","WorldCat Record")</f>
        <v>WorldCat Record</v>
      </c>
      <c r="AU535" s="3" t="s">
        <v>7091</v>
      </c>
      <c r="AV535" s="3" t="s">
        <v>7092</v>
      </c>
      <c r="AW535" s="3" t="s">
        <v>7093</v>
      </c>
      <c r="AX535" s="3" t="s">
        <v>7093</v>
      </c>
      <c r="AY535" s="3" t="s">
        <v>7094</v>
      </c>
      <c r="AZ535" s="3" t="s">
        <v>74</v>
      </c>
      <c r="BB535" s="3" t="s">
        <v>7095</v>
      </c>
      <c r="BC535" s="3" t="s">
        <v>7096</v>
      </c>
      <c r="BD535" s="3" t="s">
        <v>7097</v>
      </c>
    </row>
    <row r="536" spans="1:56" ht="42.75" customHeight="1" x14ac:dyDescent="0.25">
      <c r="A536" s="7" t="s">
        <v>58</v>
      </c>
      <c r="B536" s="2" t="s">
        <v>7098</v>
      </c>
      <c r="C536" s="2" t="s">
        <v>7099</v>
      </c>
      <c r="D536" s="2" t="s">
        <v>7100</v>
      </c>
      <c r="F536" s="3" t="s">
        <v>58</v>
      </c>
      <c r="G536" s="3" t="s">
        <v>59</v>
      </c>
      <c r="H536" s="3" t="s">
        <v>58</v>
      </c>
      <c r="I536" s="3" t="s">
        <v>58</v>
      </c>
      <c r="J536" s="3" t="s">
        <v>60</v>
      </c>
      <c r="K536" s="2" t="s">
        <v>7101</v>
      </c>
      <c r="L536" s="2" t="s">
        <v>7102</v>
      </c>
      <c r="M536" s="3" t="s">
        <v>114</v>
      </c>
      <c r="O536" s="3" t="s">
        <v>64</v>
      </c>
      <c r="P536" s="3" t="s">
        <v>65</v>
      </c>
      <c r="R536" s="3" t="s">
        <v>67</v>
      </c>
      <c r="S536" s="4">
        <v>1</v>
      </c>
      <c r="T536" s="4">
        <v>1</v>
      </c>
      <c r="U536" s="5" t="s">
        <v>7063</v>
      </c>
      <c r="V536" s="5" t="s">
        <v>7063</v>
      </c>
      <c r="W536" s="5" t="s">
        <v>7090</v>
      </c>
      <c r="X536" s="5" t="s">
        <v>7090</v>
      </c>
      <c r="Y536" s="4">
        <v>147</v>
      </c>
      <c r="Z536" s="4">
        <v>91</v>
      </c>
      <c r="AA536" s="4">
        <v>94</v>
      </c>
      <c r="AB536" s="4">
        <v>2</v>
      </c>
      <c r="AC536" s="4">
        <v>2</v>
      </c>
      <c r="AD536" s="4">
        <v>5</v>
      </c>
      <c r="AE536" s="4">
        <v>5</v>
      </c>
      <c r="AF536" s="4">
        <v>2</v>
      </c>
      <c r="AG536" s="4">
        <v>2</v>
      </c>
      <c r="AH536" s="4">
        <v>1</v>
      </c>
      <c r="AI536" s="4">
        <v>1</v>
      </c>
      <c r="AJ536" s="4">
        <v>3</v>
      </c>
      <c r="AK536" s="4">
        <v>3</v>
      </c>
      <c r="AL536" s="4">
        <v>1</v>
      </c>
      <c r="AM536" s="4">
        <v>1</v>
      </c>
      <c r="AN536" s="4">
        <v>0</v>
      </c>
      <c r="AO536" s="4">
        <v>0</v>
      </c>
      <c r="AP536" s="3" t="s">
        <v>58</v>
      </c>
      <c r="AQ536" s="3" t="s">
        <v>86</v>
      </c>
      <c r="AR536" s="6" t="str">
        <f>HYPERLINK("http://catalog.hathitrust.org/Record/000416568","HathiTrust Record")</f>
        <v>HathiTrust Record</v>
      </c>
      <c r="AS536" s="6" t="str">
        <f>HYPERLINK("https://creighton-primo.hosted.exlibrisgroup.com/primo-explore/search?tab=default_tab&amp;search_scope=EVERYTHING&amp;vid=01CRU&amp;lang=en_US&amp;offset=0&amp;query=any,contains,991000615449702656","Catalog Record")</f>
        <v>Catalog Record</v>
      </c>
      <c r="AT536" s="6" t="str">
        <f>HYPERLINK("http://www.worldcat.org/oclc/11932033","WorldCat Record")</f>
        <v>WorldCat Record</v>
      </c>
      <c r="AU536" s="3" t="s">
        <v>7103</v>
      </c>
      <c r="AV536" s="3" t="s">
        <v>7104</v>
      </c>
      <c r="AW536" s="3" t="s">
        <v>7105</v>
      </c>
      <c r="AX536" s="3" t="s">
        <v>7105</v>
      </c>
      <c r="AY536" s="3" t="s">
        <v>7106</v>
      </c>
      <c r="AZ536" s="3" t="s">
        <v>74</v>
      </c>
      <c r="BB536" s="3" t="s">
        <v>7107</v>
      </c>
      <c r="BC536" s="3" t="s">
        <v>7108</v>
      </c>
      <c r="BD536" s="3" t="s">
        <v>7109</v>
      </c>
    </row>
    <row r="537" spans="1:56" ht="42.75" customHeight="1" x14ac:dyDescent="0.25">
      <c r="A537" s="7" t="s">
        <v>58</v>
      </c>
      <c r="B537" s="2" t="s">
        <v>7110</v>
      </c>
      <c r="C537" s="2" t="s">
        <v>7111</v>
      </c>
      <c r="D537" s="2" t="s">
        <v>7112</v>
      </c>
      <c r="F537" s="3" t="s">
        <v>58</v>
      </c>
      <c r="G537" s="3" t="s">
        <v>59</v>
      </c>
      <c r="H537" s="3" t="s">
        <v>86</v>
      </c>
      <c r="I537" s="3" t="s">
        <v>58</v>
      </c>
      <c r="J537" s="3" t="s">
        <v>60</v>
      </c>
      <c r="L537" s="2" t="s">
        <v>7113</v>
      </c>
      <c r="M537" s="3" t="s">
        <v>1574</v>
      </c>
      <c r="O537" s="3" t="s">
        <v>64</v>
      </c>
      <c r="P537" s="3" t="s">
        <v>115</v>
      </c>
      <c r="Q537" s="2" t="s">
        <v>7114</v>
      </c>
      <c r="R537" s="3" t="s">
        <v>67</v>
      </c>
      <c r="S537" s="4">
        <v>9</v>
      </c>
      <c r="T537" s="4">
        <v>16</v>
      </c>
      <c r="U537" s="5" t="s">
        <v>7115</v>
      </c>
      <c r="V537" s="5" t="s">
        <v>7115</v>
      </c>
      <c r="W537" s="5" t="s">
        <v>374</v>
      </c>
      <c r="X537" s="5" t="s">
        <v>374</v>
      </c>
      <c r="Y537" s="4">
        <v>395</v>
      </c>
      <c r="Z537" s="4">
        <v>334</v>
      </c>
      <c r="AA537" s="4">
        <v>334</v>
      </c>
      <c r="AB537" s="4">
        <v>4</v>
      </c>
      <c r="AC537" s="4">
        <v>4</v>
      </c>
      <c r="AD537" s="4">
        <v>19</v>
      </c>
      <c r="AE537" s="4">
        <v>19</v>
      </c>
      <c r="AF537" s="4">
        <v>5</v>
      </c>
      <c r="AG537" s="4">
        <v>5</v>
      </c>
      <c r="AH537" s="4">
        <v>4</v>
      </c>
      <c r="AI537" s="4">
        <v>4</v>
      </c>
      <c r="AJ537" s="4">
        <v>10</v>
      </c>
      <c r="AK537" s="4">
        <v>10</v>
      </c>
      <c r="AL537" s="4">
        <v>1</v>
      </c>
      <c r="AM537" s="4">
        <v>1</v>
      </c>
      <c r="AN537" s="4">
        <v>3</v>
      </c>
      <c r="AO537" s="4">
        <v>3</v>
      </c>
      <c r="AP537" s="3" t="s">
        <v>58</v>
      </c>
      <c r="AQ537" s="3" t="s">
        <v>58</v>
      </c>
      <c r="AS537" s="6" t="str">
        <f>HYPERLINK("https://creighton-primo.hosted.exlibrisgroup.com/primo-explore/search?tab=default_tab&amp;search_scope=EVERYTHING&amp;vid=01CRU&amp;lang=en_US&amp;offset=0&amp;query=any,contains,991001791459702656","Catalog Record")</f>
        <v>Catalog Record</v>
      </c>
      <c r="AT537" s="6" t="str">
        <f>HYPERLINK("http://www.worldcat.org/oclc/9139233","WorldCat Record")</f>
        <v>WorldCat Record</v>
      </c>
      <c r="AU537" s="3" t="s">
        <v>7116</v>
      </c>
      <c r="AV537" s="3" t="s">
        <v>7117</v>
      </c>
      <c r="AW537" s="3" t="s">
        <v>7118</v>
      </c>
      <c r="AX537" s="3" t="s">
        <v>7118</v>
      </c>
      <c r="AY537" s="3" t="s">
        <v>7119</v>
      </c>
      <c r="AZ537" s="3" t="s">
        <v>74</v>
      </c>
      <c r="BB537" s="3" t="s">
        <v>7120</v>
      </c>
      <c r="BC537" s="3" t="s">
        <v>7121</v>
      </c>
      <c r="BD537" s="3" t="s">
        <v>7122</v>
      </c>
    </row>
    <row r="538" spans="1:56" ht="42.75" customHeight="1" x14ac:dyDescent="0.25">
      <c r="A538" s="7" t="s">
        <v>58</v>
      </c>
      <c r="B538" s="2" t="s">
        <v>7123</v>
      </c>
      <c r="C538" s="2" t="s">
        <v>7124</v>
      </c>
      <c r="D538" s="2" t="s">
        <v>7125</v>
      </c>
      <c r="F538" s="3" t="s">
        <v>58</v>
      </c>
      <c r="G538" s="3" t="s">
        <v>59</v>
      </c>
      <c r="H538" s="3" t="s">
        <v>58</v>
      </c>
      <c r="I538" s="3" t="s">
        <v>58</v>
      </c>
      <c r="J538" s="3" t="s">
        <v>60</v>
      </c>
      <c r="K538" s="2" t="s">
        <v>7126</v>
      </c>
      <c r="L538" s="2" t="s">
        <v>7127</v>
      </c>
      <c r="M538" s="3" t="s">
        <v>888</v>
      </c>
      <c r="O538" s="3" t="s">
        <v>64</v>
      </c>
      <c r="P538" s="3" t="s">
        <v>115</v>
      </c>
      <c r="R538" s="3" t="s">
        <v>67</v>
      </c>
      <c r="S538" s="4">
        <v>7</v>
      </c>
      <c r="T538" s="4">
        <v>7</v>
      </c>
      <c r="U538" s="5" t="s">
        <v>7128</v>
      </c>
      <c r="V538" s="5" t="s">
        <v>7128</v>
      </c>
      <c r="W538" s="5" t="s">
        <v>4367</v>
      </c>
      <c r="X538" s="5" t="s">
        <v>4367</v>
      </c>
      <c r="Y538" s="4">
        <v>670</v>
      </c>
      <c r="Z538" s="4">
        <v>598</v>
      </c>
      <c r="AA538" s="4">
        <v>604</v>
      </c>
      <c r="AB538" s="4">
        <v>5</v>
      </c>
      <c r="AC538" s="4">
        <v>5</v>
      </c>
      <c r="AD538" s="4">
        <v>31</v>
      </c>
      <c r="AE538" s="4">
        <v>31</v>
      </c>
      <c r="AF538" s="4">
        <v>13</v>
      </c>
      <c r="AG538" s="4">
        <v>13</v>
      </c>
      <c r="AH538" s="4">
        <v>4</v>
      </c>
      <c r="AI538" s="4">
        <v>4</v>
      </c>
      <c r="AJ538" s="4">
        <v>12</v>
      </c>
      <c r="AK538" s="4">
        <v>12</v>
      </c>
      <c r="AL538" s="4">
        <v>4</v>
      </c>
      <c r="AM538" s="4">
        <v>4</v>
      </c>
      <c r="AN538" s="4">
        <v>5</v>
      </c>
      <c r="AO538" s="4">
        <v>5</v>
      </c>
      <c r="AP538" s="3" t="s">
        <v>58</v>
      </c>
      <c r="AQ538" s="3" t="s">
        <v>86</v>
      </c>
      <c r="AR538" s="6" t="str">
        <f>HYPERLINK("http://catalog.hathitrust.org/Record/003993556","HathiTrust Record")</f>
        <v>HathiTrust Record</v>
      </c>
      <c r="AS538" s="6" t="str">
        <f>HYPERLINK("https://creighton-primo.hosted.exlibrisgroup.com/primo-explore/search?tab=default_tab&amp;search_scope=EVERYTHING&amp;vid=01CRU&amp;lang=en_US&amp;offset=0&amp;query=any,contains,991002950389702656","Catalog Record")</f>
        <v>Catalog Record</v>
      </c>
      <c r="AT538" s="6" t="str">
        <f>HYPERLINK("http://www.worldcat.org/oclc/39313449","WorldCat Record")</f>
        <v>WorldCat Record</v>
      </c>
      <c r="AU538" s="3" t="s">
        <v>7129</v>
      </c>
      <c r="AV538" s="3" t="s">
        <v>7130</v>
      </c>
      <c r="AW538" s="3" t="s">
        <v>7131</v>
      </c>
      <c r="AX538" s="3" t="s">
        <v>7131</v>
      </c>
      <c r="AY538" s="3" t="s">
        <v>7132</v>
      </c>
      <c r="AZ538" s="3" t="s">
        <v>74</v>
      </c>
      <c r="BB538" s="3" t="s">
        <v>7133</v>
      </c>
      <c r="BC538" s="3" t="s">
        <v>7134</v>
      </c>
      <c r="BD538" s="3" t="s">
        <v>7135</v>
      </c>
    </row>
    <row r="539" spans="1:56" ht="42.75" customHeight="1" x14ac:dyDescent="0.25">
      <c r="A539" s="7" t="s">
        <v>58</v>
      </c>
      <c r="B539" s="2" t="s">
        <v>7136</v>
      </c>
      <c r="C539" s="2" t="s">
        <v>7137</v>
      </c>
      <c r="D539" s="2" t="s">
        <v>7138</v>
      </c>
      <c r="F539" s="3" t="s">
        <v>58</v>
      </c>
      <c r="G539" s="3" t="s">
        <v>59</v>
      </c>
      <c r="H539" s="3" t="s">
        <v>58</v>
      </c>
      <c r="I539" s="3" t="s">
        <v>58</v>
      </c>
      <c r="J539" s="3" t="s">
        <v>60</v>
      </c>
      <c r="K539" s="2" t="s">
        <v>7139</v>
      </c>
      <c r="L539" s="2" t="s">
        <v>7140</v>
      </c>
      <c r="M539" s="3" t="s">
        <v>1448</v>
      </c>
      <c r="O539" s="3" t="s">
        <v>64</v>
      </c>
      <c r="P539" s="3" t="s">
        <v>65</v>
      </c>
      <c r="R539" s="3" t="s">
        <v>67</v>
      </c>
      <c r="S539" s="4">
        <v>2</v>
      </c>
      <c r="T539" s="4">
        <v>2</v>
      </c>
      <c r="U539" s="5" t="s">
        <v>7141</v>
      </c>
      <c r="V539" s="5" t="s">
        <v>7141</v>
      </c>
      <c r="W539" s="5" t="s">
        <v>7142</v>
      </c>
      <c r="X539" s="5" t="s">
        <v>7142</v>
      </c>
      <c r="Y539" s="4">
        <v>572</v>
      </c>
      <c r="Z539" s="4">
        <v>476</v>
      </c>
      <c r="AA539" s="4">
        <v>747</v>
      </c>
      <c r="AB539" s="4">
        <v>3</v>
      </c>
      <c r="AC539" s="4">
        <v>6</v>
      </c>
      <c r="AD539" s="4">
        <v>26</v>
      </c>
      <c r="AE539" s="4">
        <v>29</v>
      </c>
      <c r="AF539" s="4">
        <v>9</v>
      </c>
      <c r="AG539" s="4">
        <v>9</v>
      </c>
      <c r="AH539" s="4">
        <v>4</v>
      </c>
      <c r="AI539" s="4">
        <v>4</v>
      </c>
      <c r="AJ539" s="4">
        <v>14</v>
      </c>
      <c r="AK539" s="4">
        <v>14</v>
      </c>
      <c r="AL539" s="4">
        <v>2</v>
      </c>
      <c r="AM539" s="4">
        <v>5</v>
      </c>
      <c r="AN539" s="4">
        <v>2</v>
      </c>
      <c r="AO539" s="4">
        <v>2</v>
      </c>
      <c r="AP539" s="3" t="s">
        <v>58</v>
      </c>
      <c r="AQ539" s="3" t="s">
        <v>58</v>
      </c>
      <c r="AS539" s="6" t="str">
        <f>HYPERLINK("https://creighton-primo.hosted.exlibrisgroup.com/primo-explore/search?tab=default_tab&amp;search_scope=EVERYTHING&amp;vid=01CRU&amp;lang=en_US&amp;offset=0&amp;query=any,contains,991005375859702656","Catalog Record")</f>
        <v>Catalog Record</v>
      </c>
      <c r="AT539" s="6" t="str">
        <f>HYPERLINK("http://www.worldcat.org/oclc/260204552","WorldCat Record")</f>
        <v>WorldCat Record</v>
      </c>
      <c r="AU539" s="3" t="s">
        <v>7143</v>
      </c>
      <c r="AV539" s="3" t="s">
        <v>7144</v>
      </c>
      <c r="AW539" s="3" t="s">
        <v>7145</v>
      </c>
      <c r="AX539" s="3" t="s">
        <v>7145</v>
      </c>
      <c r="AY539" s="3" t="s">
        <v>7146</v>
      </c>
      <c r="AZ539" s="3" t="s">
        <v>74</v>
      </c>
      <c r="BB539" s="3" t="s">
        <v>7147</v>
      </c>
      <c r="BC539" s="3" t="s">
        <v>7148</v>
      </c>
      <c r="BD539" s="3" t="s">
        <v>7149</v>
      </c>
    </row>
    <row r="540" spans="1:56" ht="42.75" customHeight="1" x14ac:dyDescent="0.25">
      <c r="A540" s="7" t="s">
        <v>58</v>
      </c>
      <c r="B540" s="2" t="s">
        <v>7150</v>
      </c>
      <c r="C540" s="2" t="s">
        <v>7151</v>
      </c>
      <c r="D540" s="2" t="s">
        <v>7152</v>
      </c>
      <c r="F540" s="3" t="s">
        <v>58</v>
      </c>
      <c r="G540" s="3" t="s">
        <v>59</v>
      </c>
      <c r="H540" s="3" t="s">
        <v>58</v>
      </c>
      <c r="I540" s="3" t="s">
        <v>58</v>
      </c>
      <c r="J540" s="3" t="s">
        <v>60</v>
      </c>
      <c r="K540" s="2" t="s">
        <v>7153</v>
      </c>
      <c r="L540" s="2" t="s">
        <v>7154</v>
      </c>
      <c r="M540" s="3" t="s">
        <v>805</v>
      </c>
      <c r="O540" s="3" t="s">
        <v>64</v>
      </c>
      <c r="P540" s="3" t="s">
        <v>145</v>
      </c>
      <c r="R540" s="3" t="s">
        <v>67</v>
      </c>
      <c r="S540" s="4">
        <v>18</v>
      </c>
      <c r="T540" s="4">
        <v>18</v>
      </c>
      <c r="U540" s="5" t="s">
        <v>7155</v>
      </c>
      <c r="V540" s="5" t="s">
        <v>7155</v>
      </c>
      <c r="W540" s="5" t="s">
        <v>7156</v>
      </c>
      <c r="X540" s="5" t="s">
        <v>7156</v>
      </c>
      <c r="Y540" s="4">
        <v>854</v>
      </c>
      <c r="Z540" s="4">
        <v>759</v>
      </c>
      <c r="AA540" s="4">
        <v>815</v>
      </c>
      <c r="AB540" s="4">
        <v>9</v>
      </c>
      <c r="AC540" s="4">
        <v>10</v>
      </c>
      <c r="AD540" s="4">
        <v>41</v>
      </c>
      <c r="AE540" s="4">
        <v>44</v>
      </c>
      <c r="AF540" s="4">
        <v>18</v>
      </c>
      <c r="AG540" s="4">
        <v>20</v>
      </c>
      <c r="AH540" s="4">
        <v>6</v>
      </c>
      <c r="AI540" s="4">
        <v>6</v>
      </c>
      <c r="AJ540" s="4">
        <v>17</v>
      </c>
      <c r="AK540" s="4">
        <v>17</v>
      </c>
      <c r="AL540" s="4">
        <v>7</v>
      </c>
      <c r="AM540" s="4">
        <v>8</v>
      </c>
      <c r="AN540" s="4">
        <v>0</v>
      </c>
      <c r="AO540" s="4">
        <v>0</v>
      </c>
      <c r="AP540" s="3" t="s">
        <v>58</v>
      </c>
      <c r="AQ540" s="3" t="s">
        <v>58</v>
      </c>
      <c r="AS540" s="6" t="str">
        <f>HYPERLINK("https://creighton-primo.hosted.exlibrisgroup.com/primo-explore/search?tab=default_tab&amp;search_scope=EVERYTHING&amp;vid=01CRU&amp;lang=en_US&amp;offset=0&amp;query=any,contains,991002685039702656","Catalog Record")</f>
        <v>Catalog Record</v>
      </c>
      <c r="AT540" s="6" t="str">
        <f>HYPERLINK("http://www.worldcat.org/oclc/35084823","WorldCat Record")</f>
        <v>WorldCat Record</v>
      </c>
      <c r="AU540" s="3" t="s">
        <v>7157</v>
      </c>
      <c r="AV540" s="3" t="s">
        <v>7158</v>
      </c>
      <c r="AW540" s="3" t="s">
        <v>7159</v>
      </c>
      <c r="AX540" s="3" t="s">
        <v>7159</v>
      </c>
      <c r="AY540" s="3" t="s">
        <v>7160</v>
      </c>
      <c r="AZ540" s="3" t="s">
        <v>74</v>
      </c>
      <c r="BB540" s="3" t="s">
        <v>7161</v>
      </c>
      <c r="BC540" s="3" t="s">
        <v>7162</v>
      </c>
      <c r="BD540" s="3" t="s">
        <v>7163</v>
      </c>
    </row>
    <row r="541" spans="1:56" ht="42.75" customHeight="1" x14ac:dyDescent="0.25">
      <c r="A541" s="7" t="s">
        <v>58</v>
      </c>
      <c r="B541" s="2" t="s">
        <v>7164</v>
      </c>
      <c r="C541" s="2" t="s">
        <v>7165</v>
      </c>
      <c r="D541" s="2" t="s">
        <v>7166</v>
      </c>
      <c r="F541" s="3" t="s">
        <v>58</v>
      </c>
      <c r="G541" s="3" t="s">
        <v>59</v>
      </c>
      <c r="H541" s="3" t="s">
        <v>58</v>
      </c>
      <c r="I541" s="3" t="s">
        <v>58</v>
      </c>
      <c r="J541" s="3" t="s">
        <v>60</v>
      </c>
      <c r="L541" s="2" t="s">
        <v>5842</v>
      </c>
      <c r="M541" s="3" t="s">
        <v>888</v>
      </c>
      <c r="O541" s="3" t="s">
        <v>64</v>
      </c>
      <c r="P541" s="3" t="s">
        <v>115</v>
      </c>
      <c r="R541" s="3" t="s">
        <v>67</v>
      </c>
      <c r="S541" s="4">
        <v>4</v>
      </c>
      <c r="T541" s="4">
        <v>4</v>
      </c>
      <c r="U541" s="5" t="s">
        <v>7167</v>
      </c>
      <c r="V541" s="5" t="s">
        <v>7167</v>
      </c>
      <c r="W541" s="5" t="s">
        <v>1885</v>
      </c>
      <c r="X541" s="5" t="s">
        <v>1885</v>
      </c>
      <c r="Y541" s="4">
        <v>606</v>
      </c>
      <c r="Z541" s="4">
        <v>504</v>
      </c>
      <c r="AA541" s="4">
        <v>504</v>
      </c>
      <c r="AB541" s="4">
        <v>4</v>
      </c>
      <c r="AC541" s="4">
        <v>4</v>
      </c>
      <c r="AD541" s="4">
        <v>24</v>
      </c>
      <c r="AE541" s="4">
        <v>24</v>
      </c>
      <c r="AF541" s="4">
        <v>7</v>
      </c>
      <c r="AG541" s="4">
        <v>7</v>
      </c>
      <c r="AH541" s="4">
        <v>6</v>
      </c>
      <c r="AI541" s="4">
        <v>6</v>
      </c>
      <c r="AJ541" s="4">
        <v>15</v>
      </c>
      <c r="AK541" s="4">
        <v>15</v>
      </c>
      <c r="AL541" s="4">
        <v>3</v>
      </c>
      <c r="AM541" s="4">
        <v>3</v>
      </c>
      <c r="AN541" s="4">
        <v>1</v>
      </c>
      <c r="AO541" s="4">
        <v>1</v>
      </c>
      <c r="AP541" s="3" t="s">
        <v>58</v>
      </c>
      <c r="AQ541" s="3" t="s">
        <v>58</v>
      </c>
      <c r="AS541" s="6" t="str">
        <f>HYPERLINK("https://creighton-primo.hosted.exlibrisgroup.com/primo-explore/search?tab=default_tab&amp;search_scope=EVERYTHING&amp;vid=01CRU&amp;lang=en_US&amp;offset=0&amp;query=any,contains,991002925419702656","Catalog Record")</f>
        <v>Catalog Record</v>
      </c>
      <c r="AT541" s="6" t="str">
        <f>HYPERLINK("http://www.worldcat.org/oclc/38884056","WorldCat Record")</f>
        <v>WorldCat Record</v>
      </c>
      <c r="AU541" s="3" t="s">
        <v>7168</v>
      </c>
      <c r="AV541" s="3" t="s">
        <v>7169</v>
      </c>
      <c r="AW541" s="3" t="s">
        <v>7170</v>
      </c>
      <c r="AX541" s="3" t="s">
        <v>7170</v>
      </c>
      <c r="AY541" s="3" t="s">
        <v>7171</v>
      </c>
      <c r="AZ541" s="3" t="s">
        <v>74</v>
      </c>
      <c r="BB541" s="3" t="s">
        <v>7172</v>
      </c>
      <c r="BC541" s="3" t="s">
        <v>7173</v>
      </c>
      <c r="BD541" s="3" t="s">
        <v>7174</v>
      </c>
    </row>
    <row r="542" spans="1:56" ht="42.75" customHeight="1" x14ac:dyDescent="0.25">
      <c r="A542" s="7" t="s">
        <v>58</v>
      </c>
      <c r="B542" s="2" t="s">
        <v>7175</v>
      </c>
      <c r="C542" s="2" t="s">
        <v>7176</v>
      </c>
      <c r="D542" s="2" t="s">
        <v>7177</v>
      </c>
      <c r="F542" s="3" t="s">
        <v>58</v>
      </c>
      <c r="G542" s="3" t="s">
        <v>59</v>
      </c>
      <c r="H542" s="3" t="s">
        <v>58</v>
      </c>
      <c r="I542" s="3" t="s">
        <v>58</v>
      </c>
      <c r="J542" s="3" t="s">
        <v>60</v>
      </c>
      <c r="K542" s="2" t="s">
        <v>7178</v>
      </c>
      <c r="L542" s="2" t="s">
        <v>7179</v>
      </c>
      <c r="M542" s="3" t="s">
        <v>144</v>
      </c>
      <c r="O542" s="3" t="s">
        <v>64</v>
      </c>
      <c r="P542" s="3" t="s">
        <v>178</v>
      </c>
      <c r="R542" s="3" t="s">
        <v>67</v>
      </c>
      <c r="S542" s="4">
        <v>7</v>
      </c>
      <c r="T542" s="4">
        <v>7</v>
      </c>
      <c r="U542" s="5" t="s">
        <v>7180</v>
      </c>
      <c r="V542" s="5" t="s">
        <v>7180</v>
      </c>
      <c r="W542" s="5" t="s">
        <v>7181</v>
      </c>
      <c r="X542" s="5" t="s">
        <v>7181</v>
      </c>
      <c r="Y542" s="4">
        <v>485</v>
      </c>
      <c r="Z542" s="4">
        <v>443</v>
      </c>
      <c r="AA542" s="4">
        <v>450</v>
      </c>
      <c r="AB542" s="4">
        <v>2</v>
      </c>
      <c r="AC542" s="4">
        <v>2</v>
      </c>
      <c r="AD542" s="4">
        <v>18</v>
      </c>
      <c r="AE542" s="4">
        <v>18</v>
      </c>
      <c r="AF542" s="4">
        <v>9</v>
      </c>
      <c r="AG542" s="4">
        <v>9</v>
      </c>
      <c r="AH542" s="4">
        <v>1</v>
      </c>
      <c r="AI542" s="4">
        <v>1</v>
      </c>
      <c r="AJ542" s="4">
        <v>13</v>
      </c>
      <c r="AK542" s="4">
        <v>13</v>
      </c>
      <c r="AL542" s="4">
        <v>1</v>
      </c>
      <c r="AM542" s="4">
        <v>1</v>
      </c>
      <c r="AN542" s="4">
        <v>0</v>
      </c>
      <c r="AO542" s="4">
        <v>0</v>
      </c>
      <c r="AP542" s="3" t="s">
        <v>58</v>
      </c>
      <c r="AQ542" s="3" t="s">
        <v>86</v>
      </c>
      <c r="AR542" s="6" t="str">
        <f>HYPERLINK("http://catalog.hathitrust.org/Record/003945925","HathiTrust Record")</f>
        <v>HathiTrust Record</v>
      </c>
      <c r="AS542" s="6" t="str">
        <f>HYPERLINK("https://creighton-primo.hosted.exlibrisgroup.com/primo-explore/search?tab=default_tab&amp;search_scope=EVERYTHING&amp;vid=01CRU&amp;lang=en_US&amp;offset=0&amp;query=any,contains,991002810119702656","Catalog Record")</f>
        <v>Catalog Record</v>
      </c>
      <c r="AT542" s="6" t="str">
        <f>HYPERLINK("http://www.worldcat.org/oclc/36915675","WorldCat Record")</f>
        <v>WorldCat Record</v>
      </c>
      <c r="AU542" s="3" t="s">
        <v>7182</v>
      </c>
      <c r="AV542" s="3" t="s">
        <v>7183</v>
      </c>
      <c r="AW542" s="3" t="s">
        <v>7184</v>
      </c>
      <c r="AX542" s="3" t="s">
        <v>7184</v>
      </c>
      <c r="AY542" s="3" t="s">
        <v>7185</v>
      </c>
      <c r="AZ542" s="3" t="s">
        <v>74</v>
      </c>
      <c r="BB542" s="3" t="s">
        <v>7186</v>
      </c>
      <c r="BC542" s="3" t="s">
        <v>7187</v>
      </c>
      <c r="BD542" s="3" t="s">
        <v>7188</v>
      </c>
    </row>
    <row r="543" spans="1:56" ht="42.75" customHeight="1" x14ac:dyDescent="0.25">
      <c r="A543" s="7" t="s">
        <v>58</v>
      </c>
      <c r="B543" s="2" t="s">
        <v>7189</v>
      </c>
      <c r="C543" s="2" t="s">
        <v>7190</v>
      </c>
      <c r="D543" s="2" t="s">
        <v>7191</v>
      </c>
      <c r="F543" s="3" t="s">
        <v>58</v>
      </c>
      <c r="G543" s="3" t="s">
        <v>59</v>
      </c>
      <c r="H543" s="3" t="s">
        <v>58</v>
      </c>
      <c r="I543" s="3" t="s">
        <v>58</v>
      </c>
      <c r="J543" s="3" t="s">
        <v>60</v>
      </c>
      <c r="K543" s="2" t="s">
        <v>7192</v>
      </c>
      <c r="L543" s="2" t="s">
        <v>7193</v>
      </c>
      <c r="M543" s="3" t="s">
        <v>534</v>
      </c>
      <c r="O543" s="3" t="s">
        <v>64</v>
      </c>
      <c r="P543" s="3" t="s">
        <v>1898</v>
      </c>
      <c r="R543" s="3" t="s">
        <v>67</v>
      </c>
      <c r="S543" s="4">
        <v>4</v>
      </c>
      <c r="T543" s="4">
        <v>4</v>
      </c>
      <c r="U543" s="5" t="s">
        <v>7194</v>
      </c>
      <c r="V543" s="5" t="s">
        <v>7194</v>
      </c>
      <c r="W543" s="5" t="s">
        <v>603</v>
      </c>
      <c r="X543" s="5" t="s">
        <v>603</v>
      </c>
      <c r="Y543" s="4">
        <v>535</v>
      </c>
      <c r="Z543" s="4">
        <v>486</v>
      </c>
      <c r="AA543" s="4">
        <v>491</v>
      </c>
      <c r="AB543" s="4">
        <v>1</v>
      </c>
      <c r="AC543" s="4">
        <v>1</v>
      </c>
      <c r="AD543" s="4">
        <v>21</v>
      </c>
      <c r="AE543" s="4">
        <v>21</v>
      </c>
      <c r="AF543" s="4">
        <v>9</v>
      </c>
      <c r="AG543" s="4">
        <v>9</v>
      </c>
      <c r="AH543" s="4">
        <v>6</v>
      </c>
      <c r="AI543" s="4">
        <v>6</v>
      </c>
      <c r="AJ543" s="4">
        <v>11</v>
      </c>
      <c r="AK543" s="4">
        <v>11</v>
      </c>
      <c r="AL543" s="4">
        <v>0</v>
      </c>
      <c r="AM543" s="4">
        <v>0</v>
      </c>
      <c r="AN543" s="4">
        <v>3</v>
      </c>
      <c r="AO543" s="4">
        <v>3</v>
      </c>
      <c r="AP543" s="3" t="s">
        <v>58</v>
      </c>
      <c r="AQ543" s="3" t="s">
        <v>58</v>
      </c>
      <c r="AS543" s="6" t="str">
        <f>HYPERLINK("https://creighton-primo.hosted.exlibrisgroup.com/primo-explore/search?tab=default_tab&amp;search_scope=EVERYTHING&amp;vid=01CRU&amp;lang=en_US&amp;offset=0&amp;query=any,contains,991001562739702656","Catalog Record")</f>
        <v>Catalog Record</v>
      </c>
      <c r="AT543" s="6" t="str">
        <f>HYPERLINK("http://www.worldcat.org/oclc/20318550","WorldCat Record")</f>
        <v>WorldCat Record</v>
      </c>
      <c r="AU543" s="3" t="s">
        <v>7195</v>
      </c>
      <c r="AV543" s="3" t="s">
        <v>7196</v>
      </c>
      <c r="AW543" s="3" t="s">
        <v>7197</v>
      </c>
      <c r="AX543" s="3" t="s">
        <v>7197</v>
      </c>
      <c r="AY543" s="3" t="s">
        <v>7198</v>
      </c>
      <c r="AZ543" s="3" t="s">
        <v>74</v>
      </c>
      <c r="BB543" s="3" t="s">
        <v>7199</v>
      </c>
      <c r="BC543" s="3" t="s">
        <v>7200</v>
      </c>
      <c r="BD543" s="3" t="s">
        <v>7201</v>
      </c>
    </row>
    <row r="544" spans="1:56" ht="42.75" customHeight="1" x14ac:dyDescent="0.25">
      <c r="A544" s="7" t="s">
        <v>58</v>
      </c>
      <c r="B544" s="2" t="s">
        <v>7202</v>
      </c>
      <c r="C544" s="2" t="s">
        <v>7203</v>
      </c>
      <c r="D544" s="2" t="s">
        <v>7204</v>
      </c>
      <c r="F544" s="3" t="s">
        <v>58</v>
      </c>
      <c r="G544" s="3" t="s">
        <v>59</v>
      </c>
      <c r="H544" s="3" t="s">
        <v>58</v>
      </c>
      <c r="I544" s="3" t="s">
        <v>58</v>
      </c>
      <c r="J544" s="3" t="s">
        <v>60</v>
      </c>
      <c r="K544" s="2" t="s">
        <v>7205</v>
      </c>
      <c r="L544" s="2" t="s">
        <v>7206</v>
      </c>
      <c r="M544" s="3" t="s">
        <v>1235</v>
      </c>
      <c r="N544" s="2" t="s">
        <v>1844</v>
      </c>
      <c r="O544" s="3" t="s">
        <v>64</v>
      </c>
      <c r="P544" s="3" t="s">
        <v>1898</v>
      </c>
      <c r="Q544" s="2" t="s">
        <v>7207</v>
      </c>
      <c r="R544" s="3" t="s">
        <v>67</v>
      </c>
      <c r="S544" s="4">
        <v>1</v>
      </c>
      <c r="T544" s="4">
        <v>1</v>
      </c>
      <c r="U544" s="5" t="s">
        <v>7208</v>
      </c>
      <c r="V544" s="5" t="s">
        <v>7208</v>
      </c>
      <c r="W544" s="5" t="s">
        <v>7209</v>
      </c>
      <c r="X544" s="5" t="s">
        <v>7209</v>
      </c>
      <c r="Y544" s="4">
        <v>89</v>
      </c>
      <c r="Z544" s="4">
        <v>68</v>
      </c>
      <c r="AA544" s="4">
        <v>545</v>
      </c>
      <c r="AB544" s="4">
        <v>1</v>
      </c>
      <c r="AC544" s="4">
        <v>5</v>
      </c>
      <c r="AD544" s="4">
        <v>1</v>
      </c>
      <c r="AE544" s="4">
        <v>24</v>
      </c>
      <c r="AF544" s="4">
        <v>1</v>
      </c>
      <c r="AG544" s="4">
        <v>9</v>
      </c>
      <c r="AH544" s="4">
        <v>0</v>
      </c>
      <c r="AI544" s="4">
        <v>6</v>
      </c>
      <c r="AJ544" s="4">
        <v>1</v>
      </c>
      <c r="AK544" s="4">
        <v>9</v>
      </c>
      <c r="AL544" s="4">
        <v>0</v>
      </c>
      <c r="AM544" s="4">
        <v>4</v>
      </c>
      <c r="AN544" s="4">
        <v>0</v>
      </c>
      <c r="AO544" s="4">
        <v>1</v>
      </c>
      <c r="AP544" s="3" t="s">
        <v>58</v>
      </c>
      <c r="AQ544" s="3" t="s">
        <v>86</v>
      </c>
      <c r="AR544" s="6" t="str">
        <f>HYPERLINK("http://catalog.hathitrust.org/Record/005060480","HathiTrust Record")</f>
        <v>HathiTrust Record</v>
      </c>
      <c r="AS544" s="6" t="str">
        <f>HYPERLINK("https://creighton-primo.hosted.exlibrisgroup.com/primo-explore/search?tab=default_tab&amp;search_scope=EVERYTHING&amp;vid=01CRU&amp;lang=en_US&amp;offset=0&amp;query=any,contains,991004750919702656","Catalog Record")</f>
        <v>Catalog Record</v>
      </c>
      <c r="AT544" s="6" t="str">
        <f>HYPERLINK("http://www.worldcat.org/oclc/57754403","WorldCat Record")</f>
        <v>WorldCat Record</v>
      </c>
      <c r="AU544" s="3" t="s">
        <v>7210</v>
      </c>
      <c r="AV544" s="3" t="s">
        <v>7211</v>
      </c>
      <c r="AW544" s="3" t="s">
        <v>7212</v>
      </c>
      <c r="AX544" s="3" t="s">
        <v>7212</v>
      </c>
      <c r="AY544" s="3" t="s">
        <v>7213</v>
      </c>
      <c r="AZ544" s="3" t="s">
        <v>74</v>
      </c>
      <c r="BB544" s="3" t="s">
        <v>7214</v>
      </c>
      <c r="BC544" s="3" t="s">
        <v>7215</v>
      </c>
      <c r="BD544" s="3" t="s">
        <v>7216</v>
      </c>
    </row>
    <row r="545" spans="1:56" ht="42.75" customHeight="1" x14ac:dyDescent="0.25">
      <c r="A545" s="7" t="s">
        <v>58</v>
      </c>
      <c r="B545" s="2" t="s">
        <v>7217</v>
      </c>
      <c r="C545" s="2" t="s">
        <v>7218</v>
      </c>
      <c r="D545" s="2" t="s">
        <v>7219</v>
      </c>
      <c r="F545" s="3" t="s">
        <v>58</v>
      </c>
      <c r="G545" s="3" t="s">
        <v>59</v>
      </c>
      <c r="H545" s="3" t="s">
        <v>58</v>
      </c>
      <c r="I545" s="3" t="s">
        <v>58</v>
      </c>
      <c r="J545" s="3" t="s">
        <v>60</v>
      </c>
      <c r="K545" s="2" t="s">
        <v>7220</v>
      </c>
      <c r="L545" s="2" t="s">
        <v>7221</v>
      </c>
      <c r="M545" s="3" t="s">
        <v>82</v>
      </c>
      <c r="O545" s="3" t="s">
        <v>64</v>
      </c>
      <c r="P545" s="3" t="s">
        <v>6581</v>
      </c>
      <c r="R545" s="3" t="s">
        <v>67</v>
      </c>
      <c r="S545" s="4">
        <v>11</v>
      </c>
      <c r="T545" s="4">
        <v>11</v>
      </c>
      <c r="U545" s="5" t="s">
        <v>7222</v>
      </c>
      <c r="V545" s="5" t="s">
        <v>7222</v>
      </c>
      <c r="W545" s="5" t="s">
        <v>5050</v>
      </c>
      <c r="X545" s="5" t="s">
        <v>5050</v>
      </c>
      <c r="Y545" s="4">
        <v>562</v>
      </c>
      <c r="Z545" s="4">
        <v>498</v>
      </c>
      <c r="AA545" s="4">
        <v>500</v>
      </c>
      <c r="AB545" s="4">
        <v>3</v>
      </c>
      <c r="AC545" s="4">
        <v>3</v>
      </c>
      <c r="AD545" s="4">
        <v>22</v>
      </c>
      <c r="AE545" s="4">
        <v>22</v>
      </c>
      <c r="AF545" s="4">
        <v>9</v>
      </c>
      <c r="AG545" s="4">
        <v>9</v>
      </c>
      <c r="AH545" s="4">
        <v>5</v>
      </c>
      <c r="AI545" s="4">
        <v>5</v>
      </c>
      <c r="AJ545" s="4">
        <v>11</v>
      </c>
      <c r="AK545" s="4">
        <v>11</v>
      </c>
      <c r="AL545" s="4">
        <v>2</v>
      </c>
      <c r="AM545" s="4">
        <v>2</v>
      </c>
      <c r="AN545" s="4">
        <v>1</v>
      </c>
      <c r="AO545" s="4">
        <v>1</v>
      </c>
      <c r="AP545" s="3" t="s">
        <v>58</v>
      </c>
      <c r="AQ545" s="3" t="s">
        <v>86</v>
      </c>
      <c r="AR545" s="6" t="str">
        <f>HYPERLINK("http://catalog.hathitrust.org/Record/000820785","HathiTrust Record")</f>
        <v>HathiTrust Record</v>
      </c>
      <c r="AS545" s="6" t="str">
        <f>HYPERLINK("https://creighton-primo.hosted.exlibrisgroup.com/primo-explore/search?tab=default_tab&amp;search_scope=EVERYTHING&amp;vid=01CRU&amp;lang=en_US&amp;offset=0&amp;query=any,contains,991000906299702656","Catalog Record")</f>
        <v>Catalog Record</v>
      </c>
      <c r="AT545" s="6" t="str">
        <f>HYPERLINK("http://www.worldcat.org/oclc/14098578","WorldCat Record")</f>
        <v>WorldCat Record</v>
      </c>
      <c r="AU545" s="3" t="s">
        <v>7223</v>
      </c>
      <c r="AV545" s="3" t="s">
        <v>7224</v>
      </c>
      <c r="AW545" s="3" t="s">
        <v>7225</v>
      </c>
      <c r="AX545" s="3" t="s">
        <v>7225</v>
      </c>
      <c r="AY545" s="3" t="s">
        <v>7226</v>
      </c>
      <c r="AZ545" s="3" t="s">
        <v>74</v>
      </c>
      <c r="BB545" s="3" t="s">
        <v>7227</v>
      </c>
      <c r="BC545" s="3" t="s">
        <v>7228</v>
      </c>
      <c r="BD545" s="3" t="s">
        <v>7229</v>
      </c>
    </row>
    <row r="546" spans="1:56" ht="42.75" customHeight="1" x14ac:dyDescent="0.25">
      <c r="A546" s="7" t="s">
        <v>58</v>
      </c>
      <c r="B546" s="2" t="s">
        <v>7230</v>
      </c>
      <c r="C546" s="2" t="s">
        <v>7231</v>
      </c>
      <c r="D546" s="2" t="s">
        <v>7232</v>
      </c>
      <c r="F546" s="3" t="s">
        <v>58</v>
      </c>
      <c r="G546" s="3" t="s">
        <v>59</v>
      </c>
      <c r="H546" s="3" t="s">
        <v>58</v>
      </c>
      <c r="I546" s="3" t="s">
        <v>58</v>
      </c>
      <c r="J546" s="3" t="s">
        <v>60</v>
      </c>
      <c r="L546" s="2" t="s">
        <v>7233</v>
      </c>
      <c r="M546" s="3" t="s">
        <v>1235</v>
      </c>
      <c r="N546" s="2" t="s">
        <v>1736</v>
      </c>
      <c r="O546" s="3" t="s">
        <v>64</v>
      </c>
      <c r="P546" s="3" t="s">
        <v>145</v>
      </c>
      <c r="R546" s="3" t="s">
        <v>67</v>
      </c>
      <c r="S546" s="4">
        <v>6</v>
      </c>
      <c r="T546" s="4">
        <v>6</v>
      </c>
      <c r="U546" s="5" t="s">
        <v>7234</v>
      </c>
      <c r="V546" s="5" t="s">
        <v>7234</v>
      </c>
      <c r="W546" s="5" t="s">
        <v>7235</v>
      </c>
      <c r="X546" s="5" t="s">
        <v>7235</v>
      </c>
      <c r="Y546" s="4">
        <v>894</v>
      </c>
      <c r="Z546" s="4">
        <v>754</v>
      </c>
      <c r="AA546" s="4">
        <v>810</v>
      </c>
      <c r="AB546" s="4">
        <v>3</v>
      </c>
      <c r="AC546" s="4">
        <v>4</v>
      </c>
      <c r="AD546" s="4">
        <v>35</v>
      </c>
      <c r="AE546" s="4">
        <v>38</v>
      </c>
      <c r="AF546" s="4">
        <v>14</v>
      </c>
      <c r="AG546" s="4">
        <v>16</v>
      </c>
      <c r="AH546" s="4">
        <v>5</v>
      </c>
      <c r="AI546" s="4">
        <v>5</v>
      </c>
      <c r="AJ546" s="4">
        <v>20</v>
      </c>
      <c r="AK546" s="4">
        <v>20</v>
      </c>
      <c r="AL546" s="4">
        <v>2</v>
      </c>
      <c r="AM546" s="4">
        <v>3</v>
      </c>
      <c r="AN546" s="4">
        <v>1</v>
      </c>
      <c r="AO546" s="4">
        <v>1</v>
      </c>
      <c r="AP546" s="3" t="s">
        <v>58</v>
      </c>
      <c r="AQ546" s="3" t="s">
        <v>58</v>
      </c>
      <c r="AS546" s="6" t="str">
        <f>HYPERLINK("https://creighton-primo.hosted.exlibrisgroup.com/primo-explore/search?tab=default_tab&amp;search_scope=EVERYTHING&amp;vid=01CRU&amp;lang=en_US&amp;offset=0&amp;query=any,contains,991004510799702656","Catalog Record")</f>
        <v>Catalog Record</v>
      </c>
      <c r="AT546" s="6" t="str">
        <f>HYPERLINK("http://www.worldcat.org/oclc/55729724","WorldCat Record")</f>
        <v>WorldCat Record</v>
      </c>
      <c r="AU546" s="3" t="s">
        <v>7236</v>
      </c>
      <c r="AV546" s="3" t="s">
        <v>7237</v>
      </c>
      <c r="AW546" s="3" t="s">
        <v>7238</v>
      </c>
      <c r="AX546" s="3" t="s">
        <v>7238</v>
      </c>
      <c r="AY546" s="3" t="s">
        <v>7239</v>
      </c>
      <c r="AZ546" s="3" t="s">
        <v>74</v>
      </c>
      <c r="BB546" s="3" t="s">
        <v>7240</v>
      </c>
      <c r="BC546" s="3" t="s">
        <v>7241</v>
      </c>
      <c r="BD546" s="3" t="s">
        <v>7242</v>
      </c>
    </row>
    <row r="547" spans="1:56" ht="42.75" customHeight="1" x14ac:dyDescent="0.25">
      <c r="A547" s="7" t="s">
        <v>58</v>
      </c>
      <c r="B547" s="2" t="s">
        <v>7243</v>
      </c>
      <c r="C547" s="2" t="s">
        <v>7244</v>
      </c>
      <c r="D547" s="2" t="s">
        <v>7245</v>
      </c>
      <c r="F547" s="3" t="s">
        <v>58</v>
      </c>
      <c r="G547" s="3" t="s">
        <v>59</v>
      </c>
      <c r="H547" s="3" t="s">
        <v>58</v>
      </c>
      <c r="I547" s="3" t="s">
        <v>58</v>
      </c>
      <c r="J547" s="3" t="s">
        <v>60</v>
      </c>
      <c r="K547" s="2" t="s">
        <v>7246</v>
      </c>
      <c r="L547" s="2" t="s">
        <v>7247</v>
      </c>
      <c r="M547" s="3" t="s">
        <v>480</v>
      </c>
      <c r="O547" s="3" t="s">
        <v>64</v>
      </c>
      <c r="P547" s="3" t="s">
        <v>1898</v>
      </c>
      <c r="R547" s="3" t="s">
        <v>67</v>
      </c>
      <c r="S547" s="4">
        <v>3</v>
      </c>
      <c r="T547" s="4">
        <v>3</v>
      </c>
      <c r="U547" s="5" t="s">
        <v>7248</v>
      </c>
      <c r="V547" s="5" t="s">
        <v>7248</v>
      </c>
      <c r="W547" s="5" t="s">
        <v>7249</v>
      </c>
      <c r="X547" s="5" t="s">
        <v>7249</v>
      </c>
      <c r="Y547" s="4">
        <v>749</v>
      </c>
      <c r="Z547" s="4">
        <v>589</v>
      </c>
      <c r="AA547" s="4">
        <v>602</v>
      </c>
      <c r="AB547" s="4">
        <v>3</v>
      </c>
      <c r="AC547" s="4">
        <v>3</v>
      </c>
      <c r="AD547" s="4">
        <v>21</v>
      </c>
      <c r="AE547" s="4">
        <v>21</v>
      </c>
      <c r="AF547" s="4">
        <v>8</v>
      </c>
      <c r="AG547" s="4">
        <v>8</v>
      </c>
      <c r="AH547" s="4">
        <v>4</v>
      </c>
      <c r="AI547" s="4">
        <v>4</v>
      </c>
      <c r="AJ547" s="4">
        <v>11</v>
      </c>
      <c r="AK547" s="4">
        <v>11</v>
      </c>
      <c r="AL547" s="4">
        <v>2</v>
      </c>
      <c r="AM547" s="4">
        <v>2</v>
      </c>
      <c r="AN547" s="4">
        <v>0</v>
      </c>
      <c r="AO547" s="4">
        <v>0</v>
      </c>
      <c r="AP547" s="3" t="s">
        <v>58</v>
      </c>
      <c r="AQ547" s="3" t="s">
        <v>58</v>
      </c>
      <c r="AS547" s="6" t="str">
        <f>HYPERLINK("https://creighton-primo.hosted.exlibrisgroup.com/primo-explore/search?tab=default_tab&amp;search_scope=EVERYTHING&amp;vid=01CRU&amp;lang=en_US&amp;offset=0&amp;query=any,contains,991004986749702656","Catalog Record")</f>
        <v>Catalog Record</v>
      </c>
      <c r="AT547" s="6" t="str">
        <f>HYPERLINK("http://www.worldcat.org/oclc/18779232","WorldCat Record")</f>
        <v>WorldCat Record</v>
      </c>
      <c r="AU547" s="3" t="s">
        <v>7250</v>
      </c>
      <c r="AV547" s="3" t="s">
        <v>7251</v>
      </c>
      <c r="AW547" s="3" t="s">
        <v>7252</v>
      </c>
      <c r="AX547" s="3" t="s">
        <v>7252</v>
      </c>
      <c r="AY547" s="3" t="s">
        <v>7253</v>
      </c>
      <c r="AZ547" s="3" t="s">
        <v>74</v>
      </c>
      <c r="BB547" s="3" t="s">
        <v>7254</v>
      </c>
      <c r="BC547" s="3" t="s">
        <v>7255</v>
      </c>
      <c r="BD547" s="3" t="s">
        <v>7256</v>
      </c>
    </row>
    <row r="548" spans="1:56" ht="42.75" customHeight="1" x14ac:dyDescent="0.25">
      <c r="A548" s="7" t="s">
        <v>58</v>
      </c>
      <c r="B548" s="2" t="s">
        <v>7257</v>
      </c>
      <c r="C548" s="2" t="s">
        <v>7258</v>
      </c>
      <c r="D548" s="2" t="s">
        <v>7259</v>
      </c>
      <c r="F548" s="3" t="s">
        <v>58</v>
      </c>
      <c r="G548" s="3" t="s">
        <v>59</v>
      </c>
      <c r="H548" s="3" t="s">
        <v>58</v>
      </c>
      <c r="I548" s="3" t="s">
        <v>86</v>
      </c>
      <c r="J548" s="3" t="s">
        <v>60</v>
      </c>
      <c r="K548" s="2" t="s">
        <v>7260</v>
      </c>
      <c r="L548" s="2" t="s">
        <v>7261</v>
      </c>
      <c r="M548" s="3" t="s">
        <v>114</v>
      </c>
      <c r="N548" s="2" t="s">
        <v>1736</v>
      </c>
      <c r="O548" s="3" t="s">
        <v>64</v>
      </c>
      <c r="P548" s="3" t="s">
        <v>115</v>
      </c>
      <c r="R548" s="3" t="s">
        <v>67</v>
      </c>
      <c r="S548" s="4">
        <v>5</v>
      </c>
      <c r="T548" s="4">
        <v>5</v>
      </c>
      <c r="U548" s="5" t="s">
        <v>7262</v>
      </c>
      <c r="V548" s="5" t="s">
        <v>7262</v>
      </c>
      <c r="W548" s="5" t="s">
        <v>7263</v>
      </c>
      <c r="X548" s="5" t="s">
        <v>7263</v>
      </c>
      <c r="Y548" s="4">
        <v>1081</v>
      </c>
      <c r="Z548" s="4">
        <v>1005</v>
      </c>
      <c r="AA548" s="4">
        <v>1197</v>
      </c>
      <c r="AB548" s="4">
        <v>11</v>
      </c>
      <c r="AC548" s="4">
        <v>12</v>
      </c>
      <c r="AD548" s="4">
        <v>27</v>
      </c>
      <c r="AE548" s="4">
        <v>34</v>
      </c>
      <c r="AF548" s="4">
        <v>11</v>
      </c>
      <c r="AG548" s="4">
        <v>13</v>
      </c>
      <c r="AH548" s="4">
        <v>6</v>
      </c>
      <c r="AI548" s="4">
        <v>7</v>
      </c>
      <c r="AJ548" s="4">
        <v>13</v>
      </c>
      <c r="AK548" s="4">
        <v>17</v>
      </c>
      <c r="AL548" s="4">
        <v>5</v>
      </c>
      <c r="AM548" s="4">
        <v>6</v>
      </c>
      <c r="AN548" s="4">
        <v>0</v>
      </c>
      <c r="AO548" s="4">
        <v>0</v>
      </c>
      <c r="AP548" s="3" t="s">
        <v>58</v>
      </c>
      <c r="AQ548" s="3" t="s">
        <v>58</v>
      </c>
      <c r="AS548" s="6" t="str">
        <f>HYPERLINK("https://creighton-primo.hosted.exlibrisgroup.com/primo-explore/search?tab=default_tab&amp;search_scope=EVERYTHING&amp;vid=01CRU&amp;lang=en_US&amp;offset=0&amp;query=any,contains,991000451549702656","Catalog Record")</f>
        <v>Catalog Record</v>
      </c>
      <c r="AT548" s="6" t="str">
        <f>HYPERLINK("http://www.worldcat.org/oclc/10890535","WorldCat Record")</f>
        <v>WorldCat Record</v>
      </c>
      <c r="AU548" s="3" t="s">
        <v>7264</v>
      </c>
      <c r="AV548" s="3" t="s">
        <v>7265</v>
      </c>
      <c r="AW548" s="3" t="s">
        <v>7266</v>
      </c>
      <c r="AX548" s="3" t="s">
        <v>7266</v>
      </c>
      <c r="AY548" s="3" t="s">
        <v>7267</v>
      </c>
      <c r="AZ548" s="3" t="s">
        <v>74</v>
      </c>
      <c r="BB548" s="3" t="s">
        <v>7268</v>
      </c>
      <c r="BC548" s="3" t="s">
        <v>7269</v>
      </c>
      <c r="BD548" s="3" t="s">
        <v>7270</v>
      </c>
    </row>
    <row r="549" spans="1:56" ht="42.75" customHeight="1" x14ac:dyDescent="0.25">
      <c r="A549" s="7" t="s">
        <v>58</v>
      </c>
      <c r="B549" s="2" t="s">
        <v>7271</v>
      </c>
      <c r="C549" s="2" t="s">
        <v>7272</v>
      </c>
      <c r="D549" s="2" t="s">
        <v>7273</v>
      </c>
      <c r="F549" s="3" t="s">
        <v>58</v>
      </c>
      <c r="G549" s="3" t="s">
        <v>59</v>
      </c>
      <c r="H549" s="3" t="s">
        <v>58</v>
      </c>
      <c r="I549" s="3" t="s">
        <v>58</v>
      </c>
      <c r="J549" s="3" t="s">
        <v>60</v>
      </c>
      <c r="K549" s="2" t="s">
        <v>7274</v>
      </c>
      <c r="L549" s="2" t="s">
        <v>7275</v>
      </c>
      <c r="M549" s="3" t="s">
        <v>996</v>
      </c>
      <c r="N549" s="2" t="s">
        <v>1844</v>
      </c>
      <c r="O549" s="3" t="s">
        <v>64</v>
      </c>
      <c r="P549" s="3" t="s">
        <v>115</v>
      </c>
      <c r="R549" s="3" t="s">
        <v>67</v>
      </c>
      <c r="S549" s="4">
        <v>1</v>
      </c>
      <c r="T549" s="4">
        <v>1</v>
      </c>
      <c r="U549" s="5" t="s">
        <v>7276</v>
      </c>
      <c r="V549" s="5" t="s">
        <v>7276</v>
      </c>
      <c r="W549" s="5" t="s">
        <v>7276</v>
      </c>
      <c r="X549" s="5" t="s">
        <v>7276</v>
      </c>
      <c r="Y549" s="4">
        <v>163</v>
      </c>
      <c r="Z549" s="4">
        <v>145</v>
      </c>
      <c r="AA549" s="4">
        <v>299</v>
      </c>
      <c r="AB549" s="4">
        <v>1</v>
      </c>
      <c r="AC549" s="4">
        <v>1</v>
      </c>
      <c r="AD549" s="4">
        <v>7</v>
      </c>
      <c r="AE549" s="4">
        <v>12</v>
      </c>
      <c r="AF549" s="4">
        <v>4</v>
      </c>
      <c r="AG549" s="4">
        <v>5</v>
      </c>
      <c r="AH549" s="4">
        <v>1</v>
      </c>
      <c r="AI549" s="4">
        <v>2</v>
      </c>
      <c r="AJ549" s="4">
        <v>5</v>
      </c>
      <c r="AK549" s="4">
        <v>8</v>
      </c>
      <c r="AL549" s="4">
        <v>0</v>
      </c>
      <c r="AM549" s="4">
        <v>0</v>
      </c>
      <c r="AN549" s="4">
        <v>0</v>
      </c>
      <c r="AO549" s="4">
        <v>0</v>
      </c>
      <c r="AP549" s="3" t="s">
        <v>58</v>
      </c>
      <c r="AQ549" s="3" t="s">
        <v>86</v>
      </c>
      <c r="AR549" s="6" t="str">
        <f>HYPERLINK("http://catalog.hathitrust.org/Record/004115992","HathiTrust Record")</f>
        <v>HathiTrust Record</v>
      </c>
      <c r="AS549" s="6" t="str">
        <f>HYPERLINK("https://creighton-primo.hosted.exlibrisgroup.com/primo-explore/search?tab=default_tab&amp;search_scope=EVERYTHING&amp;vid=01CRU&amp;lang=en_US&amp;offset=0&amp;query=any,contains,991003284339702656","Catalog Record")</f>
        <v>Catalog Record</v>
      </c>
      <c r="AT549" s="6" t="str">
        <f>HYPERLINK("http://www.worldcat.org/oclc/42969482","WorldCat Record")</f>
        <v>WorldCat Record</v>
      </c>
      <c r="AU549" s="3" t="s">
        <v>7277</v>
      </c>
      <c r="AV549" s="3" t="s">
        <v>7278</v>
      </c>
      <c r="AW549" s="3" t="s">
        <v>7279</v>
      </c>
      <c r="AX549" s="3" t="s">
        <v>7279</v>
      </c>
      <c r="AY549" s="3" t="s">
        <v>7280</v>
      </c>
      <c r="AZ549" s="3" t="s">
        <v>74</v>
      </c>
      <c r="BB549" s="3" t="s">
        <v>7281</v>
      </c>
      <c r="BC549" s="3" t="s">
        <v>7282</v>
      </c>
      <c r="BD549" s="3" t="s">
        <v>7283</v>
      </c>
    </row>
    <row r="550" spans="1:56" ht="42.75" customHeight="1" x14ac:dyDescent="0.25">
      <c r="A550" s="7" t="s">
        <v>58</v>
      </c>
      <c r="B550" s="2" t="s">
        <v>7284</v>
      </c>
      <c r="C550" s="2" t="s">
        <v>7285</v>
      </c>
      <c r="D550" s="2" t="s">
        <v>7286</v>
      </c>
      <c r="F550" s="3" t="s">
        <v>58</v>
      </c>
      <c r="G550" s="3" t="s">
        <v>59</v>
      </c>
      <c r="H550" s="3" t="s">
        <v>58</v>
      </c>
      <c r="I550" s="3" t="s">
        <v>58</v>
      </c>
      <c r="J550" s="3" t="s">
        <v>60</v>
      </c>
      <c r="K550" s="2" t="s">
        <v>7287</v>
      </c>
      <c r="L550" s="2" t="s">
        <v>7288</v>
      </c>
      <c r="M550" s="3" t="s">
        <v>1574</v>
      </c>
      <c r="O550" s="3" t="s">
        <v>64</v>
      </c>
      <c r="P550" s="3" t="s">
        <v>208</v>
      </c>
      <c r="R550" s="3" t="s">
        <v>67</v>
      </c>
      <c r="S550" s="4">
        <v>6</v>
      </c>
      <c r="T550" s="4">
        <v>6</v>
      </c>
      <c r="U550" s="5" t="s">
        <v>7289</v>
      </c>
      <c r="V550" s="5" t="s">
        <v>7289</v>
      </c>
      <c r="W550" s="5" t="s">
        <v>7090</v>
      </c>
      <c r="X550" s="5" t="s">
        <v>7090</v>
      </c>
      <c r="Y550" s="4">
        <v>474</v>
      </c>
      <c r="Z550" s="4">
        <v>469</v>
      </c>
      <c r="AA550" s="4">
        <v>509</v>
      </c>
      <c r="AB550" s="4">
        <v>2</v>
      </c>
      <c r="AC550" s="4">
        <v>3</v>
      </c>
      <c r="AD550" s="4">
        <v>18</v>
      </c>
      <c r="AE550" s="4">
        <v>18</v>
      </c>
      <c r="AF550" s="4">
        <v>7</v>
      </c>
      <c r="AG550" s="4">
        <v>7</v>
      </c>
      <c r="AH550" s="4">
        <v>5</v>
      </c>
      <c r="AI550" s="4">
        <v>5</v>
      </c>
      <c r="AJ550" s="4">
        <v>10</v>
      </c>
      <c r="AK550" s="4">
        <v>10</v>
      </c>
      <c r="AL550" s="4">
        <v>1</v>
      </c>
      <c r="AM550" s="4">
        <v>1</v>
      </c>
      <c r="AN550" s="4">
        <v>0</v>
      </c>
      <c r="AO550" s="4">
        <v>0</v>
      </c>
      <c r="AP550" s="3" t="s">
        <v>58</v>
      </c>
      <c r="AQ550" s="3" t="s">
        <v>86</v>
      </c>
      <c r="AR550" s="6" t="str">
        <f>HYPERLINK("http://catalog.hathitrust.org/Record/006253419","HathiTrust Record")</f>
        <v>HathiTrust Record</v>
      </c>
      <c r="AS550" s="6" t="str">
        <f>HYPERLINK("https://creighton-primo.hosted.exlibrisgroup.com/primo-explore/search?tab=default_tab&amp;search_scope=EVERYTHING&amp;vid=01CRU&amp;lang=en_US&amp;offset=0&amp;query=any,contains,991000128849702656","Catalog Record")</f>
        <v>Catalog Record</v>
      </c>
      <c r="AT550" s="6" t="str">
        <f>HYPERLINK("http://www.worldcat.org/oclc/11972314","WorldCat Record")</f>
        <v>WorldCat Record</v>
      </c>
      <c r="AU550" s="3" t="s">
        <v>7290</v>
      </c>
      <c r="AV550" s="3" t="s">
        <v>7291</v>
      </c>
      <c r="AW550" s="3" t="s">
        <v>7292</v>
      </c>
      <c r="AX550" s="3" t="s">
        <v>7292</v>
      </c>
      <c r="AY550" s="3" t="s">
        <v>7293</v>
      </c>
      <c r="AZ550" s="3" t="s">
        <v>74</v>
      </c>
      <c r="BC550" s="3" t="s">
        <v>7294</v>
      </c>
      <c r="BD550" s="3" t="s">
        <v>7295</v>
      </c>
    </row>
    <row r="551" spans="1:56" ht="42.75" customHeight="1" x14ac:dyDescent="0.25">
      <c r="A551" s="7" t="s">
        <v>58</v>
      </c>
      <c r="B551" s="2" t="s">
        <v>7296</v>
      </c>
      <c r="C551" s="2" t="s">
        <v>7297</v>
      </c>
      <c r="D551" s="2" t="s">
        <v>7298</v>
      </c>
      <c r="F551" s="3" t="s">
        <v>58</v>
      </c>
      <c r="G551" s="3" t="s">
        <v>59</v>
      </c>
      <c r="H551" s="3" t="s">
        <v>58</v>
      </c>
      <c r="I551" s="3" t="s">
        <v>58</v>
      </c>
      <c r="J551" s="3" t="s">
        <v>60</v>
      </c>
      <c r="K551" s="2" t="s">
        <v>7299</v>
      </c>
      <c r="L551" s="2" t="s">
        <v>7300</v>
      </c>
      <c r="M551" s="3" t="s">
        <v>534</v>
      </c>
      <c r="O551" s="3" t="s">
        <v>64</v>
      </c>
      <c r="P551" s="3" t="s">
        <v>115</v>
      </c>
      <c r="R551" s="3" t="s">
        <v>67</v>
      </c>
      <c r="S551" s="4">
        <v>11</v>
      </c>
      <c r="T551" s="4">
        <v>11</v>
      </c>
      <c r="U551" s="5" t="s">
        <v>7301</v>
      </c>
      <c r="V551" s="5" t="s">
        <v>7301</v>
      </c>
      <c r="W551" s="5" t="s">
        <v>7302</v>
      </c>
      <c r="X551" s="5" t="s">
        <v>7302</v>
      </c>
      <c r="Y551" s="4">
        <v>435</v>
      </c>
      <c r="Z551" s="4">
        <v>366</v>
      </c>
      <c r="AA551" s="4">
        <v>368</v>
      </c>
      <c r="AB551" s="4">
        <v>2</v>
      </c>
      <c r="AC551" s="4">
        <v>2</v>
      </c>
      <c r="AD551" s="4">
        <v>16</v>
      </c>
      <c r="AE551" s="4">
        <v>16</v>
      </c>
      <c r="AF551" s="4">
        <v>5</v>
      </c>
      <c r="AG551" s="4">
        <v>5</v>
      </c>
      <c r="AH551" s="4">
        <v>4</v>
      </c>
      <c r="AI551" s="4">
        <v>4</v>
      </c>
      <c r="AJ551" s="4">
        <v>11</v>
      </c>
      <c r="AK551" s="4">
        <v>11</v>
      </c>
      <c r="AL551" s="4">
        <v>1</v>
      </c>
      <c r="AM551" s="4">
        <v>1</v>
      </c>
      <c r="AN551" s="4">
        <v>0</v>
      </c>
      <c r="AO551" s="4">
        <v>0</v>
      </c>
      <c r="AP551" s="3" t="s">
        <v>58</v>
      </c>
      <c r="AQ551" s="3" t="s">
        <v>86</v>
      </c>
      <c r="AR551" s="6" t="str">
        <f>HYPERLINK("http://catalog.hathitrust.org/Record/002437451","HathiTrust Record")</f>
        <v>HathiTrust Record</v>
      </c>
      <c r="AS551" s="6" t="str">
        <f>HYPERLINK("https://creighton-primo.hosted.exlibrisgroup.com/primo-explore/search?tab=default_tab&amp;search_scope=EVERYTHING&amp;vid=01CRU&amp;lang=en_US&amp;offset=0&amp;query=any,contains,991001683009702656","Catalog Record")</f>
        <v>Catalog Record</v>
      </c>
      <c r="AT551" s="6" t="str">
        <f>HYPERLINK("http://www.worldcat.org/oclc/21374777","WorldCat Record")</f>
        <v>WorldCat Record</v>
      </c>
      <c r="AU551" s="3" t="s">
        <v>7303</v>
      </c>
      <c r="AV551" s="3" t="s">
        <v>7304</v>
      </c>
      <c r="AW551" s="3" t="s">
        <v>7305</v>
      </c>
      <c r="AX551" s="3" t="s">
        <v>7305</v>
      </c>
      <c r="AY551" s="3" t="s">
        <v>7306</v>
      </c>
      <c r="AZ551" s="3" t="s">
        <v>74</v>
      </c>
      <c r="BB551" s="3" t="s">
        <v>7307</v>
      </c>
      <c r="BC551" s="3" t="s">
        <v>7308</v>
      </c>
      <c r="BD551" s="3" t="s">
        <v>7309</v>
      </c>
    </row>
    <row r="552" spans="1:56" ht="42.75" customHeight="1" x14ac:dyDescent="0.25">
      <c r="A552" s="7" t="s">
        <v>58</v>
      </c>
      <c r="B552" s="2" t="s">
        <v>7310</v>
      </c>
      <c r="C552" s="2" t="s">
        <v>7311</v>
      </c>
      <c r="D552" s="2" t="s">
        <v>7312</v>
      </c>
      <c r="F552" s="3" t="s">
        <v>58</v>
      </c>
      <c r="G552" s="3" t="s">
        <v>59</v>
      </c>
      <c r="H552" s="3" t="s">
        <v>58</v>
      </c>
      <c r="I552" s="3" t="s">
        <v>58</v>
      </c>
      <c r="J552" s="3" t="s">
        <v>60</v>
      </c>
      <c r="L552" s="2" t="s">
        <v>7313</v>
      </c>
      <c r="M552" s="3" t="s">
        <v>1404</v>
      </c>
      <c r="O552" s="3" t="s">
        <v>64</v>
      </c>
      <c r="P552" s="3" t="s">
        <v>359</v>
      </c>
      <c r="R552" s="3" t="s">
        <v>67</v>
      </c>
      <c r="S552" s="4">
        <v>4</v>
      </c>
      <c r="T552" s="4">
        <v>4</v>
      </c>
      <c r="U552" s="5" t="s">
        <v>7314</v>
      </c>
      <c r="V552" s="5" t="s">
        <v>7314</v>
      </c>
      <c r="W552" s="5" t="s">
        <v>7315</v>
      </c>
      <c r="X552" s="5" t="s">
        <v>7315</v>
      </c>
      <c r="Y552" s="4">
        <v>190</v>
      </c>
      <c r="Z552" s="4">
        <v>163</v>
      </c>
      <c r="AA552" s="4">
        <v>233</v>
      </c>
      <c r="AB552" s="4">
        <v>2</v>
      </c>
      <c r="AC552" s="4">
        <v>2</v>
      </c>
      <c r="AD552" s="4">
        <v>8</v>
      </c>
      <c r="AE552" s="4">
        <v>9</v>
      </c>
      <c r="AF552" s="4">
        <v>3</v>
      </c>
      <c r="AG552" s="4">
        <v>4</v>
      </c>
      <c r="AH552" s="4">
        <v>2</v>
      </c>
      <c r="AI552" s="4">
        <v>3</v>
      </c>
      <c r="AJ552" s="4">
        <v>5</v>
      </c>
      <c r="AK552" s="4">
        <v>5</v>
      </c>
      <c r="AL552" s="4">
        <v>1</v>
      </c>
      <c r="AM552" s="4">
        <v>1</v>
      </c>
      <c r="AN552" s="4">
        <v>0</v>
      </c>
      <c r="AO552" s="4">
        <v>0</v>
      </c>
      <c r="AP552" s="3" t="s">
        <v>58</v>
      </c>
      <c r="AQ552" s="3" t="s">
        <v>58</v>
      </c>
      <c r="AS552" s="6" t="str">
        <f>HYPERLINK("https://creighton-primo.hosted.exlibrisgroup.com/primo-explore/search?tab=default_tab&amp;search_scope=EVERYTHING&amp;vid=01CRU&amp;lang=en_US&amp;offset=0&amp;query=any,contains,991005341499702656","Catalog Record")</f>
        <v>Catalog Record</v>
      </c>
      <c r="AT552" s="6" t="str">
        <f>HYPERLINK("http://www.worldcat.org/oclc/195766968","WorldCat Record")</f>
        <v>WorldCat Record</v>
      </c>
      <c r="AU552" s="3" t="s">
        <v>7316</v>
      </c>
      <c r="AV552" s="3" t="s">
        <v>7317</v>
      </c>
      <c r="AW552" s="3" t="s">
        <v>7318</v>
      </c>
      <c r="AX552" s="3" t="s">
        <v>7318</v>
      </c>
      <c r="AY552" s="3" t="s">
        <v>7319</v>
      </c>
      <c r="AZ552" s="3" t="s">
        <v>74</v>
      </c>
      <c r="BB552" s="3" t="s">
        <v>7320</v>
      </c>
      <c r="BC552" s="3" t="s">
        <v>7321</v>
      </c>
      <c r="BD552" s="3" t="s">
        <v>7322</v>
      </c>
    </row>
    <row r="553" spans="1:56" ht="42.75" customHeight="1" x14ac:dyDescent="0.25">
      <c r="A553" s="7" t="s">
        <v>58</v>
      </c>
      <c r="B553" s="2" t="s">
        <v>7323</v>
      </c>
      <c r="C553" s="2" t="s">
        <v>7324</v>
      </c>
      <c r="D553" s="2" t="s">
        <v>7325</v>
      </c>
      <c r="F553" s="3" t="s">
        <v>58</v>
      </c>
      <c r="G553" s="3" t="s">
        <v>59</v>
      </c>
      <c r="H553" s="3" t="s">
        <v>58</v>
      </c>
      <c r="I553" s="3" t="s">
        <v>58</v>
      </c>
      <c r="J553" s="3" t="s">
        <v>60</v>
      </c>
      <c r="L553" s="2" t="s">
        <v>7326</v>
      </c>
      <c r="M553" s="3" t="s">
        <v>371</v>
      </c>
      <c r="O553" s="3" t="s">
        <v>64</v>
      </c>
      <c r="P553" s="3" t="s">
        <v>83</v>
      </c>
      <c r="R553" s="3" t="s">
        <v>67</v>
      </c>
      <c r="S553" s="4">
        <v>1</v>
      </c>
      <c r="T553" s="4">
        <v>1</v>
      </c>
      <c r="U553" s="5" t="s">
        <v>7327</v>
      </c>
      <c r="V553" s="5" t="s">
        <v>7327</v>
      </c>
      <c r="W553" s="5" t="s">
        <v>7328</v>
      </c>
      <c r="X553" s="5" t="s">
        <v>7328</v>
      </c>
      <c r="Y553" s="4">
        <v>333</v>
      </c>
      <c r="Z553" s="4">
        <v>288</v>
      </c>
      <c r="AA553" s="4">
        <v>290</v>
      </c>
      <c r="AB553" s="4">
        <v>3</v>
      </c>
      <c r="AC553" s="4">
        <v>3</v>
      </c>
      <c r="AD553" s="4">
        <v>10</v>
      </c>
      <c r="AE553" s="4">
        <v>10</v>
      </c>
      <c r="AF553" s="4">
        <v>2</v>
      </c>
      <c r="AG553" s="4">
        <v>2</v>
      </c>
      <c r="AH553" s="4">
        <v>1</v>
      </c>
      <c r="AI553" s="4">
        <v>1</v>
      </c>
      <c r="AJ553" s="4">
        <v>7</v>
      </c>
      <c r="AK553" s="4">
        <v>7</v>
      </c>
      <c r="AL553" s="4">
        <v>2</v>
      </c>
      <c r="AM553" s="4">
        <v>2</v>
      </c>
      <c r="AN553" s="4">
        <v>0</v>
      </c>
      <c r="AO553" s="4">
        <v>0</v>
      </c>
      <c r="AP553" s="3" t="s">
        <v>58</v>
      </c>
      <c r="AQ553" s="3" t="s">
        <v>86</v>
      </c>
      <c r="AR553" s="6" t="str">
        <f>HYPERLINK("http://catalog.hathitrust.org/Record/000813647","HathiTrust Record")</f>
        <v>HathiTrust Record</v>
      </c>
      <c r="AS553" s="6" t="str">
        <f>HYPERLINK("https://creighton-primo.hosted.exlibrisgroup.com/primo-explore/search?tab=default_tab&amp;search_scope=EVERYTHING&amp;vid=01CRU&amp;lang=en_US&amp;offset=0&amp;query=any,contains,991000836639702656","Catalog Record")</f>
        <v>Catalog Record</v>
      </c>
      <c r="AT553" s="6" t="str">
        <f>HYPERLINK("http://www.worldcat.org/oclc/13497783","WorldCat Record")</f>
        <v>WorldCat Record</v>
      </c>
      <c r="AU553" s="3" t="s">
        <v>7329</v>
      </c>
      <c r="AV553" s="3" t="s">
        <v>7330</v>
      </c>
      <c r="AW553" s="3" t="s">
        <v>7331</v>
      </c>
      <c r="AX553" s="3" t="s">
        <v>7331</v>
      </c>
      <c r="AY553" s="3" t="s">
        <v>7332</v>
      </c>
      <c r="AZ553" s="3" t="s">
        <v>74</v>
      </c>
      <c r="BB553" s="3" t="s">
        <v>7333</v>
      </c>
      <c r="BC553" s="3" t="s">
        <v>7334</v>
      </c>
      <c r="BD553" s="3" t="s">
        <v>7335</v>
      </c>
    </row>
    <row r="554" spans="1:56" ht="42.75" customHeight="1" x14ac:dyDescent="0.25">
      <c r="A554" s="7" t="s">
        <v>58</v>
      </c>
      <c r="B554" s="2" t="s">
        <v>7336</v>
      </c>
      <c r="C554" s="2" t="s">
        <v>7337</v>
      </c>
      <c r="D554" s="2" t="s">
        <v>7338</v>
      </c>
      <c r="F554" s="3" t="s">
        <v>58</v>
      </c>
      <c r="G554" s="3" t="s">
        <v>59</v>
      </c>
      <c r="H554" s="3" t="s">
        <v>58</v>
      </c>
      <c r="I554" s="3" t="s">
        <v>58</v>
      </c>
      <c r="J554" s="3" t="s">
        <v>60</v>
      </c>
      <c r="L554" s="2" t="s">
        <v>7339</v>
      </c>
      <c r="M554" s="3" t="s">
        <v>1574</v>
      </c>
      <c r="O554" s="3" t="s">
        <v>64</v>
      </c>
      <c r="P554" s="3" t="s">
        <v>239</v>
      </c>
      <c r="Q554" s="2" t="s">
        <v>7340</v>
      </c>
      <c r="R554" s="3" t="s">
        <v>67</v>
      </c>
      <c r="S554" s="4">
        <v>11</v>
      </c>
      <c r="T554" s="4">
        <v>11</v>
      </c>
      <c r="U554" s="5" t="s">
        <v>7341</v>
      </c>
      <c r="V554" s="5" t="s">
        <v>7341</v>
      </c>
      <c r="W554" s="5" t="s">
        <v>7090</v>
      </c>
      <c r="X554" s="5" t="s">
        <v>7090</v>
      </c>
      <c r="Y554" s="4">
        <v>365</v>
      </c>
      <c r="Z554" s="4">
        <v>250</v>
      </c>
      <c r="AA554" s="4">
        <v>295</v>
      </c>
      <c r="AB554" s="4">
        <v>2</v>
      </c>
      <c r="AC554" s="4">
        <v>3</v>
      </c>
      <c r="AD554" s="4">
        <v>13</v>
      </c>
      <c r="AE554" s="4">
        <v>14</v>
      </c>
      <c r="AF554" s="4">
        <v>1</v>
      </c>
      <c r="AG554" s="4">
        <v>1</v>
      </c>
      <c r="AH554" s="4">
        <v>5</v>
      </c>
      <c r="AI554" s="4">
        <v>5</v>
      </c>
      <c r="AJ554" s="4">
        <v>7</v>
      </c>
      <c r="AK554" s="4">
        <v>7</v>
      </c>
      <c r="AL554" s="4">
        <v>1</v>
      </c>
      <c r="AM554" s="4">
        <v>2</v>
      </c>
      <c r="AN554" s="4">
        <v>1</v>
      </c>
      <c r="AO554" s="4">
        <v>1</v>
      </c>
      <c r="AP554" s="3" t="s">
        <v>58</v>
      </c>
      <c r="AQ554" s="3" t="s">
        <v>58</v>
      </c>
      <c r="AS554" s="6" t="str">
        <f>HYPERLINK("https://creighton-primo.hosted.exlibrisgroup.com/primo-explore/search?tab=default_tab&amp;search_scope=EVERYTHING&amp;vid=01CRU&amp;lang=en_US&amp;offset=0&amp;query=any,contains,991005225619702656","Catalog Record")</f>
        <v>Catalog Record</v>
      </c>
      <c r="AT554" s="6" t="str">
        <f>HYPERLINK("http://www.worldcat.org/oclc/8281884","WorldCat Record")</f>
        <v>WorldCat Record</v>
      </c>
      <c r="AU554" s="3" t="s">
        <v>7342</v>
      </c>
      <c r="AV554" s="3" t="s">
        <v>7343</v>
      </c>
      <c r="AW554" s="3" t="s">
        <v>7344</v>
      </c>
      <c r="AX554" s="3" t="s">
        <v>7344</v>
      </c>
      <c r="AY554" s="3" t="s">
        <v>7345</v>
      </c>
      <c r="AZ554" s="3" t="s">
        <v>74</v>
      </c>
      <c r="BB554" s="3" t="s">
        <v>7346</v>
      </c>
      <c r="BC554" s="3" t="s">
        <v>7347</v>
      </c>
      <c r="BD554" s="3" t="s">
        <v>7348</v>
      </c>
    </row>
    <row r="555" spans="1:56" ht="42.75" customHeight="1" x14ac:dyDescent="0.25">
      <c r="A555" s="7" t="s">
        <v>58</v>
      </c>
      <c r="B555" s="2" t="s">
        <v>7349</v>
      </c>
      <c r="C555" s="2" t="s">
        <v>7350</v>
      </c>
      <c r="D555" s="2" t="s">
        <v>7351</v>
      </c>
      <c r="F555" s="3" t="s">
        <v>58</v>
      </c>
      <c r="G555" s="3" t="s">
        <v>59</v>
      </c>
      <c r="H555" s="3" t="s">
        <v>58</v>
      </c>
      <c r="I555" s="3" t="s">
        <v>58</v>
      </c>
      <c r="J555" s="3" t="s">
        <v>60</v>
      </c>
      <c r="L555" s="2" t="s">
        <v>7352</v>
      </c>
      <c r="M555" s="3" t="s">
        <v>2770</v>
      </c>
      <c r="O555" s="3" t="s">
        <v>64</v>
      </c>
      <c r="P555" s="3" t="s">
        <v>115</v>
      </c>
      <c r="R555" s="3" t="s">
        <v>67</v>
      </c>
      <c r="S555" s="4">
        <v>4</v>
      </c>
      <c r="T555" s="4">
        <v>4</v>
      </c>
      <c r="U555" s="5" t="s">
        <v>179</v>
      </c>
      <c r="V555" s="5" t="s">
        <v>179</v>
      </c>
      <c r="W555" s="5" t="s">
        <v>7090</v>
      </c>
      <c r="X555" s="5" t="s">
        <v>7090</v>
      </c>
      <c r="Y555" s="4">
        <v>295</v>
      </c>
      <c r="Z555" s="4">
        <v>226</v>
      </c>
      <c r="AA555" s="4">
        <v>231</v>
      </c>
      <c r="AB555" s="4">
        <v>3</v>
      </c>
      <c r="AC555" s="4">
        <v>3</v>
      </c>
      <c r="AD555" s="4">
        <v>6</v>
      </c>
      <c r="AE555" s="4">
        <v>6</v>
      </c>
      <c r="AF555" s="4">
        <v>0</v>
      </c>
      <c r="AG555" s="4">
        <v>0</v>
      </c>
      <c r="AH555" s="4">
        <v>1</v>
      </c>
      <c r="AI555" s="4">
        <v>1</v>
      </c>
      <c r="AJ555" s="4">
        <v>4</v>
      </c>
      <c r="AK555" s="4">
        <v>4</v>
      </c>
      <c r="AL555" s="4">
        <v>2</v>
      </c>
      <c r="AM555" s="4">
        <v>2</v>
      </c>
      <c r="AN555" s="4">
        <v>0</v>
      </c>
      <c r="AO555" s="4">
        <v>0</v>
      </c>
      <c r="AP555" s="3" t="s">
        <v>58</v>
      </c>
      <c r="AQ555" s="3" t="s">
        <v>58</v>
      </c>
      <c r="AS555" s="6" t="str">
        <f>HYPERLINK("https://creighton-primo.hosted.exlibrisgroup.com/primo-explore/search?tab=default_tab&amp;search_scope=EVERYTHING&amp;vid=01CRU&amp;lang=en_US&amp;offset=0&amp;query=any,contains,991004350529702656","Catalog Record")</f>
        <v>Catalog Record</v>
      </c>
      <c r="AT555" s="6" t="str">
        <f>HYPERLINK("http://www.worldcat.org/oclc/3119632","WorldCat Record")</f>
        <v>WorldCat Record</v>
      </c>
      <c r="AU555" s="3" t="s">
        <v>7353</v>
      </c>
      <c r="AV555" s="3" t="s">
        <v>7354</v>
      </c>
      <c r="AW555" s="3" t="s">
        <v>7355</v>
      </c>
      <c r="AX555" s="3" t="s">
        <v>7355</v>
      </c>
      <c r="AY555" s="3" t="s">
        <v>7356</v>
      </c>
      <c r="AZ555" s="3" t="s">
        <v>74</v>
      </c>
      <c r="BB555" s="3" t="s">
        <v>7357</v>
      </c>
      <c r="BC555" s="3" t="s">
        <v>7358</v>
      </c>
      <c r="BD555" s="3" t="s">
        <v>7359</v>
      </c>
    </row>
    <row r="556" spans="1:56" ht="42.75" customHeight="1" x14ac:dyDescent="0.25">
      <c r="A556" s="7" t="s">
        <v>58</v>
      </c>
      <c r="B556" s="2" t="s">
        <v>7360</v>
      </c>
      <c r="C556" s="2" t="s">
        <v>7361</v>
      </c>
      <c r="D556" s="2" t="s">
        <v>7362</v>
      </c>
      <c r="F556" s="3" t="s">
        <v>58</v>
      </c>
      <c r="G556" s="3" t="s">
        <v>59</v>
      </c>
      <c r="H556" s="3" t="s">
        <v>58</v>
      </c>
      <c r="I556" s="3" t="s">
        <v>58</v>
      </c>
      <c r="J556" s="3" t="s">
        <v>60</v>
      </c>
      <c r="L556" s="2" t="s">
        <v>7363</v>
      </c>
      <c r="M556" s="3" t="s">
        <v>765</v>
      </c>
      <c r="O556" s="3" t="s">
        <v>64</v>
      </c>
      <c r="P556" s="3" t="s">
        <v>2331</v>
      </c>
      <c r="R556" s="3" t="s">
        <v>67</v>
      </c>
      <c r="S556" s="4">
        <v>4</v>
      </c>
      <c r="T556" s="4">
        <v>4</v>
      </c>
      <c r="U556" s="5" t="s">
        <v>7364</v>
      </c>
      <c r="V556" s="5" t="s">
        <v>7364</v>
      </c>
      <c r="W556" s="5" t="s">
        <v>7365</v>
      </c>
      <c r="X556" s="5" t="s">
        <v>7365</v>
      </c>
      <c r="Y556" s="4">
        <v>280</v>
      </c>
      <c r="Z556" s="4">
        <v>218</v>
      </c>
      <c r="AA556" s="4">
        <v>226</v>
      </c>
      <c r="AB556" s="4">
        <v>2</v>
      </c>
      <c r="AC556" s="4">
        <v>2</v>
      </c>
      <c r="AD556" s="4">
        <v>11</v>
      </c>
      <c r="AE556" s="4">
        <v>11</v>
      </c>
      <c r="AF556" s="4">
        <v>5</v>
      </c>
      <c r="AG556" s="4">
        <v>5</v>
      </c>
      <c r="AH556" s="4">
        <v>2</v>
      </c>
      <c r="AI556" s="4">
        <v>2</v>
      </c>
      <c r="AJ556" s="4">
        <v>7</v>
      </c>
      <c r="AK556" s="4">
        <v>7</v>
      </c>
      <c r="AL556" s="4">
        <v>1</v>
      </c>
      <c r="AM556" s="4">
        <v>1</v>
      </c>
      <c r="AN556" s="4">
        <v>1</v>
      </c>
      <c r="AO556" s="4">
        <v>1</v>
      </c>
      <c r="AP556" s="3" t="s">
        <v>58</v>
      </c>
      <c r="AQ556" s="3" t="s">
        <v>86</v>
      </c>
      <c r="AR556" s="6" t="str">
        <f>HYPERLINK("http://catalog.hathitrust.org/Record/003024163","HathiTrust Record")</f>
        <v>HathiTrust Record</v>
      </c>
      <c r="AS556" s="6" t="str">
        <f>HYPERLINK("https://creighton-primo.hosted.exlibrisgroup.com/primo-explore/search?tab=default_tab&amp;search_scope=EVERYTHING&amp;vid=01CRU&amp;lang=en_US&amp;offset=0&amp;query=any,contains,991002423759702656","Catalog Record")</f>
        <v>Catalog Record</v>
      </c>
      <c r="AT556" s="6" t="str">
        <f>HYPERLINK("http://www.worldcat.org/oclc/31606098","WorldCat Record")</f>
        <v>WorldCat Record</v>
      </c>
      <c r="AU556" s="3" t="s">
        <v>7366</v>
      </c>
      <c r="AV556" s="3" t="s">
        <v>7367</v>
      </c>
      <c r="AW556" s="3" t="s">
        <v>7368</v>
      </c>
      <c r="AX556" s="3" t="s">
        <v>7368</v>
      </c>
      <c r="AY556" s="3" t="s">
        <v>7369</v>
      </c>
      <c r="AZ556" s="3" t="s">
        <v>74</v>
      </c>
      <c r="BB556" s="3" t="s">
        <v>7370</v>
      </c>
      <c r="BC556" s="3" t="s">
        <v>7371</v>
      </c>
      <c r="BD556" s="3" t="s">
        <v>7372</v>
      </c>
    </row>
    <row r="557" spans="1:56" ht="42.75" customHeight="1" x14ac:dyDescent="0.25">
      <c r="A557" s="7" t="s">
        <v>58</v>
      </c>
      <c r="B557" s="2" t="s">
        <v>7373</v>
      </c>
      <c r="C557" s="2" t="s">
        <v>7374</v>
      </c>
      <c r="D557" s="2" t="s">
        <v>7375</v>
      </c>
      <c r="F557" s="3" t="s">
        <v>58</v>
      </c>
      <c r="G557" s="3" t="s">
        <v>59</v>
      </c>
      <c r="H557" s="3" t="s">
        <v>58</v>
      </c>
      <c r="I557" s="3" t="s">
        <v>58</v>
      </c>
      <c r="J557" s="3" t="s">
        <v>60</v>
      </c>
      <c r="K557" s="2" t="s">
        <v>7376</v>
      </c>
      <c r="L557" s="2" t="s">
        <v>7377</v>
      </c>
      <c r="M557" s="3" t="s">
        <v>996</v>
      </c>
      <c r="O557" s="3" t="s">
        <v>64</v>
      </c>
      <c r="P557" s="3" t="s">
        <v>65</v>
      </c>
      <c r="R557" s="3" t="s">
        <v>67</v>
      </c>
      <c r="S557" s="4">
        <v>1</v>
      </c>
      <c r="T557" s="4">
        <v>1</v>
      </c>
      <c r="U557" s="5" t="s">
        <v>7378</v>
      </c>
      <c r="V557" s="5" t="s">
        <v>7378</v>
      </c>
      <c r="W557" s="5" t="s">
        <v>7378</v>
      </c>
      <c r="X557" s="5" t="s">
        <v>7378</v>
      </c>
      <c r="Y557" s="4">
        <v>184</v>
      </c>
      <c r="Z557" s="4">
        <v>99</v>
      </c>
      <c r="AA557" s="4">
        <v>99</v>
      </c>
      <c r="AB557" s="4">
        <v>2</v>
      </c>
      <c r="AC557" s="4">
        <v>2</v>
      </c>
      <c r="AD557" s="4">
        <v>5</v>
      </c>
      <c r="AE557" s="4">
        <v>5</v>
      </c>
      <c r="AF557" s="4">
        <v>1</v>
      </c>
      <c r="AG557" s="4">
        <v>1</v>
      </c>
      <c r="AH557" s="4">
        <v>2</v>
      </c>
      <c r="AI557" s="4">
        <v>2</v>
      </c>
      <c r="AJ557" s="4">
        <v>2</v>
      </c>
      <c r="AK557" s="4">
        <v>2</v>
      </c>
      <c r="AL557" s="4">
        <v>1</v>
      </c>
      <c r="AM557" s="4">
        <v>1</v>
      </c>
      <c r="AN557" s="4">
        <v>0</v>
      </c>
      <c r="AO557" s="4">
        <v>0</v>
      </c>
      <c r="AP557" s="3" t="s">
        <v>58</v>
      </c>
      <c r="AQ557" s="3" t="s">
        <v>58</v>
      </c>
      <c r="AS557" s="6" t="str">
        <f>HYPERLINK("https://creighton-primo.hosted.exlibrisgroup.com/primo-explore/search?tab=default_tab&amp;search_scope=EVERYTHING&amp;vid=01CRU&amp;lang=en_US&amp;offset=0&amp;query=any,contains,991004397699702656","Catalog Record")</f>
        <v>Catalog Record</v>
      </c>
      <c r="AT557" s="6" t="str">
        <f>HYPERLINK("http://www.worldcat.org/oclc/42309762","WorldCat Record")</f>
        <v>WorldCat Record</v>
      </c>
      <c r="AU557" s="3" t="s">
        <v>7379</v>
      </c>
      <c r="AV557" s="3" t="s">
        <v>7380</v>
      </c>
      <c r="AW557" s="3" t="s">
        <v>7381</v>
      </c>
      <c r="AX557" s="3" t="s">
        <v>7381</v>
      </c>
      <c r="AY557" s="3" t="s">
        <v>7382</v>
      </c>
      <c r="AZ557" s="3" t="s">
        <v>74</v>
      </c>
      <c r="BB557" s="3" t="s">
        <v>7383</v>
      </c>
      <c r="BC557" s="3" t="s">
        <v>7384</v>
      </c>
      <c r="BD557" s="3" t="s">
        <v>7385</v>
      </c>
    </row>
    <row r="558" spans="1:56" ht="42.75" customHeight="1" x14ac:dyDescent="0.25">
      <c r="A558" s="7" t="s">
        <v>58</v>
      </c>
      <c r="B558" s="2" t="s">
        <v>7386</v>
      </c>
      <c r="C558" s="2" t="s">
        <v>7387</v>
      </c>
      <c r="D558" s="2" t="s">
        <v>7388</v>
      </c>
      <c r="F558" s="3" t="s">
        <v>58</v>
      </c>
      <c r="G558" s="3" t="s">
        <v>59</v>
      </c>
      <c r="H558" s="3" t="s">
        <v>58</v>
      </c>
      <c r="I558" s="3" t="s">
        <v>58</v>
      </c>
      <c r="J558" s="3" t="s">
        <v>60</v>
      </c>
      <c r="K558" s="2" t="s">
        <v>7389</v>
      </c>
      <c r="L558" s="2" t="s">
        <v>7390</v>
      </c>
      <c r="M558" s="3" t="s">
        <v>1101</v>
      </c>
      <c r="O558" s="3" t="s">
        <v>64</v>
      </c>
      <c r="P558" s="3" t="s">
        <v>115</v>
      </c>
      <c r="R558" s="3" t="s">
        <v>67</v>
      </c>
      <c r="S558" s="4">
        <v>2</v>
      </c>
      <c r="T558" s="4">
        <v>2</v>
      </c>
      <c r="U558" s="5" t="s">
        <v>7391</v>
      </c>
      <c r="V558" s="5" t="s">
        <v>7391</v>
      </c>
      <c r="W558" s="5" t="s">
        <v>7391</v>
      </c>
      <c r="X558" s="5" t="s">
        <v>7391</v>
      </c>
      <c r="Y558" s="4">
        <v>509</v>
      </c>
      <c r="Z558" s="4">
        <v>421</v>
      </c>
      <c r="AA558" s="4">
        <v>427</v>
      </c>
      <c r="AB558" s="4">
        <v>3</v>
      </c>
      <c r="AC558" s="4">
        <v>3</v>
      </c>
      <c r="AD558" s="4">
        <v>24</v>
      </c>
      <c r="AE558" s="4">
        <v>24</v>
      </c>
      <c r="AF558" s="4">
        <v>10</v>
      </c>
      <c r="AG558" s="4">
        <v>10</v>
      </c>
      <c r="AH558" s="4">
        <v>3</v>
      </c>
      <c r="AI558" s="4">
        <v>3</v>
      </c>
      <c r="AJ558" s="4">
        <v>13</v>
      </c>
      <c r="AK558" s="4">
        <v>13</v>
      </c>
      <c r="AL558" s="4">
        <v>2</v>
      </c>
      <c r="AM558" s="4">
        <v>2</v>
      </c>
      <c r="AN558" s="4">
        <v>0</v>
      </c>
      <c r="AO558" s="4">
        <v>0</v>
      </c>
      <c r="AP558" s="3" t="s">
        <v>58</v>
      </c>
      <c r="AQ558" s="3" t="s">
        <v>58</v>
      </c>
      <c r="AS558" s="6" t="str">
        <f>HYPERLINK("https://creighton-primo.hosted.exlibrisgroup.com/primo-explore/search?tab=default_tab&amp;search_scope=EVERYTHING&amp;vid=01CRU&amp;lang=en_US&amp;offset=0&amp;query=any,contains,991004101739702656","Catalog Record")</f>
        <v>Catalog Record</v>
      </c>
      <c r="AT558" s="6" t="str">
        <f>HYPERLINK("http://www.worldcat.org/oclc/49558888","WorldCat Record")</f>
        <v>WorldCat Record</v>
      </c>
      <c r="AU558" s="3" t="s">
        <v>7392</v>
      </c>
      <c r="AV558" s="3" t="s">
        <v>7393</v>
      </c>
      <c r="AW558" s="3" t="s">
        <v>7394</v>
      </c>
      <c r="AX558" s="3" t="s">
        <v>7394</v>
      </c>
      <c r="AY558" s="3" t="s">
        <v>7395</v>
      </c>
      <c r="AZ558" s="3" t="s">
        <v>74</v>
      </c>
      <c r="BB558" s="3" t="s">
        <v>7396</v>
      </c>
      <c r="BC558" s="3" t="s">
        <v>7397</v>
      </c>
      <c r="BD558" s="3" t="s">
        <v>7398</v>
      </c>
    </row>
    <row r="559" spans="1:56" ht="42.75" customHeight="1" x14ac:dyDescent="0.25">
      <c r="A559" s="7" t="s">
        <v>58</v>
      </c>
      <c r="B559" s="2" t="s">
        <v>7399</v>
      </c>
      <c r="C559" s="2" t="s">
        <v>7400</v>
      </c>
      <c r="D559" s="2" t="s">
        <v>7401</v>
      </c>
      <c r="F559" s="3" t="s">
        <v>58</v>
      </c>
      <c r="G559" s="3" t="s">
        <v>59</v>
      </c>
      <c r="H559" s="3" t="s">
        <v>58</v>
      </c>
      <c r="I559" s="3" t="s">
        <v>58</v>
      </c>
      <c r="J559" s="3" t="s">
        <v>60</v>
      </c>
      <c r="L559" s="2" t="s">
        <v>7402</v>
      </c>
      <c r="M559" s="3" t="s">
        <v>1235</v>
      </c>
      <c r="O559" s="3" t="s">
        <v>64</v>
      </c>
      <c r="P559" s="3" t="s">
        <v>1898</v>
      </c>
      <c r="R559" s="3" t="s">
        <v>67</v>
      </c>
      <c r="S559" s="4">
        <v>5</v>
      </c>
      <c r="T559" s="4">
        <v>5</v>
      </c>
      <c r="U559" s="5" t="s">
        <v>7403</v>
      </c>
      <c r="V559" s="5" t="s">
        <v>7403</v>
      </c>
      <c r="W559" s="5" t="s">
        <v>7404</v>
      </c>
      <c r="X559" s="5" t="s">
        <v>7404</v>
      </c>
      <c r="Y559" s="4">
        <v>328</v>
      </c>
      <c r="Z559" s="4">
        <v>251</v>
      </c>
      <c r="AA559" s="4">
        <v>1119</v>
      </c>
      <c r="AB559" s="4">
        <v>2</v>
      </c>
      <c r="AC559" s="4">
        <v>32</v>
      </c>
      <c r="AD559" s="4">
        <v>13</v>
      </c>
      <c r="AE559" s="4">
        <v>41</v>
      </c>
      <c r="AF559" s="4">
        <v>3</v>
      </c>
      <c r="AG559" s="4">
        <v>12</v>
      </c>
      <c r="AH559" s="4">
        <v>5</v>
      </c>
      <c r="AI559" s="4">
        <v>8</v>
      </c>
      <c r="AJ559" s="4">
        <v>7</v>
      </c>
      <c r="AK559" s="4">
        <v>13</v>
      </c>
      <c r="AL559" s="4">
        <v>1</v>
      </c>
      <c r="AM559" s="4">
        <v>13</v>
      </c>
      <c r="AN559" s="4">
        <v>0</v>
      </c>
      <c r="AO559" s="4">
        <v>1</v>
      </c>
      <c r="AP559" s="3" t="s">
        <v>58</v>
      </c>
      <c r="AQ559" s="3" t="s">
        <v>86</v>
      </c>
      <c r="AR559" s="6" t="str">
        <f>HYPERLINK("http://catalog.hathitrust.org/Record/004975414","HathiTrust Record")</f>
        <v>HathiTrust Record</v>
      </c>
      <c r="AS559" s="6" t="str">
        <f>HYPERLINK("https://creighton-primo.hosted.exlibrisgroup.com/primo-explore/search?tab=default_tab&amp;search_scope=EVERYTHING&amp;vid=01CRU&amp;lang=en_US&amp;offset=0&amp;query=any,contains,991004517889702656","Catalog Record")</f>
        <v>Catalog Record</v>
      </c>
      <c r="AT559" s="6" t="str">
        <f>HYPERLINK("http://www.worldcat.org/oclc/56840821","WorldCat Record")</f>
        <v>WorldCat Record</v>
      </c>
      <c r="AU559" s="3" t="s">
        <v>7405</v>
      </c>
      <c r="AV559" s="3" t="s">
        <v>7406</v>
      </c>
      <c r="AW559" s="3" t="s">
        <v>7407</v>
      </c>
      <c r="AX559" s="3" t="s">
        <v>7407</v>
      </c>
      <c r="AY559" s="3" t="s">
        <v>7408</v>
      </c>
      <c r="AZ559" s="3" t="s">
        <v>74</v>
      </c>
      <c r="BB559" s="3" t="s">
        <v>7409</v>
      </c>
      <c r="BC559" s="3" t="s">
        <v>7410</v>
      </c>
      <c r="BD559" s="3" t="s">
        <v>7411</v>
      </c>
    </row>
    <row r="560" spans="1:56" ht="42.75" customHeight="1" x14ac:dyDescent="0.25">
      <c r="A560" s="7" t="s">
        <v>58</v>
      </c>
      <c r="B560" s="2" t="s">
        <v>7412</v>
      </c>
      <c r="C560" s="2" t="s">
        <v>7413</v>
      </c>
      <c r="D560" s="2" t="s">
        <v>7414</v>
      </c>
      <c r="F560" s="3" t="s">
        <v>58</v>
      </c>
      <c r="G560" s="3" t="s">
        <v>59</v>
      </c>
      <c r="H560" s="3" t="s">
        <v>58</v>
      </c>
      <c r="I560" s="3" t="s">
        <v>58</v>
      </c>
      <c r="J560" s="3" t="s">
        <v>60</v>
      </c>
      <c r="L560" s="2" t="s">
        <v>7415</v>
      </c>
      <c r="M560" s="3" t="s">
        <v>82</v>
      </c>
      <c r="O560" s="3" t="s">
        <v>64</v>
      </c>
      <c r="P560" s="3" t="s">
        <v>115</v>
      </c>
      <c r="R560" s="3" t="s">
        <v>67</v>
      </c>
      <c r="S560" s="4">
        <v>4</v>
      </c>
      <c r="T560" s="4">
        <v>4</v>
      </c>
      <c r="U560" s="5" t="s">
        <v>7416</v>
      </c>
      <c r="V560" s="5" t="s">
        <v>7416</v>
      </c>
      <c r="W560" s="5" t="s">
        <v>2439</v>
      </c>
      <c r="X560" s="5" t="s">
        <v>2439</v>
      </c>
      <c r="Y560" s="4">
        <v>502</v>
      </c>
      <c r="Z560" s="4">
        <v>428</v>
      </c>
      <c r="AA560" s="4">
        <v>430</v>
      </c>
      <c r="AB560" s="4">
        <v>2</v>
      </c>
      <c r="AC560" s="4">
        <v>2</v>
      </c>
      <c r="AD560" s="4">
        <v>15</v>
      </c>
      <c r="AE560" s="4">
        <v>15</v>
      </c>
      <c r="AF560" s="4">
        <v>4</v>
      </c>
      <c r="AG560" s="4">
        <v>4</v>
      </c>
      <c r="AH560" s="4">
        <v>3</v>
      </c>
      <c r="AI560" s="4">
        <v>3</v>
      </c>
      <c r="AJ560" s="4">
        <v>12</v>
      </c>
      <c r="AK560" s="4">
        <v>12</v>
      </c>
      <c r="AL560" s="4">
        <v>1</v>
      </c>
      <c r="AM560" s="4">
        <v>1</v>
      </c>
      <c r="AN560" s="4">
        <v>0</v>
      </c>
      <c r="AO560" s="4">
        <v>0</v>
      </c>
      <c r="AP560" s="3" t="s">
        <v>58</v>
      </c>
      <c r="AQ560" s="3" t="s">
        <v>58</v>
      </c>
      <c r="AS560" s="6" t="str">
        <f>HYPERLINK("https://creighton-primo.hosted.exlibrisgroup.com/primo-explore/search?tab=default_tab&amp;search_scope=EVERYTHING&amp;vid=01CRU&amp;lang=en_US&amp;offset=0&amp;query=any,contains,991000923019702656","Catalog Record")</f>
        <v>Catalog Record</v>
      </c>
      <c r="AT560" s="6" t="str">
        <f>HYPERLINK("http://www.worldcat.org/oclc/14214572","WorldCat Record")</f>
        <v>WorldCat Record</v>
      </c>
      <c r="AU560" s="3" t="s">
        <v>7417</v>
      </c>
      <c r="AV560" s="3" t="s">
        <v>7418</v>
      </c>
      <c r="AW560" s="3" t="s">
        <v>7419</v>
      </c>
      <c r="AX560" s="3" t="s">
        <v>7419</v>
      </c>
      <c r="AY560" s="3" t="s">
        <v>7420</v>
      </c>
      <c r="AZ560" s="3" t="s">
        <v>74</v>
      </c>
      <c r="BB560" s="3" t="s">
        <v>7421</v>
      </c>
      <c r="BC560" s="3" t="s">
        <v>7422</v>
      </c>
      <c r="BD560" s="3" t="s">
        <v>7423</v>
      </c>
    </row>
    <row r="561" spans="1:56" ht="42.75" customHeight="1" x14ac:dyDescent="0.25">
      <c r="A561" s="7" t="s">
        <v>58</v>
      </c>
      <c r="B561" s="2" t="s">
        <v>7424</v>
      </c>
      <c r="C561" s="2" t="s">
        <v>7425</v>
      </c>
      <c r="D561" s="2" t="s">
        <v>7426</v>
      </c>
      <c r="F561" s="3" t="s">
        <v>58</v>
      </c>
      <c r="G561" s="3" t="s">
        <v>59</v>
      </c>
      <c r="H561" s="3" t="s">
        <v>58</v>
      </c>
      <c r="I561" s="3" t="s">
        <v>58</v>
      </c>
      <c r="J561" s="3" t="s">
        <v>60</v>
      </c>
      <c r="L561" s="2" t="s">
        <v>7427</v>
      </c>
      <c r="M561" s="3" t="s">
        <v>888</v>
      </c>
      <c r="O561" s="3" t="s">
        <v>64</v>
      </c>
      <c r="P561" s="3" t="s">
        <v>115</v>
      </c>
      <c r="R561" s="3" t="s">
        <v>67</v>
      </c>
      <c r="S561" s="4">
        <v>4</v>
      </c>
      <c r="T561" s="4">
        <v>4</v>
      </c>
      <c r="U561" s="5" t="s">
        <v>7428</v>
      </c>
      <c r="V561" s="5" t="s">
        <v>7428</v>
      </c>
      <c r="W561" s="5" t="s">
        <v>7429</v>
      </c>
      <c r="X561" s="5" t="s">
        <v>7429</v>
      </c>
      <c r="Y561" s="4">
        <v>453</v>
      </c>
      <c r="Z561" s="4">
        <v>388</v>
      </c>
      <c r="AA561" s="4">
        <v>388</v>
      </c>
      <c r="AB561" s="4">
        <v>4</v>
      </c>
      <c r="AC561" s="4">
        <v>4</v>
      </c>
      <c r="AD561" s="4">
        <v>25</v>
      </c>
      <c r="AE561" s="4">
        <v>25</v>
      </c>
      <c r="AF561" s="4">
        <v>10</v>
      </c>
      <c r="AG561" s="4">
        <v>10</v>
      </c>
      <c r="AH561" s="4">
        <v>4</v>
      </c>
      <c r="AI561" s="4">
        <v>4</v>
      </c>
      <c r="AJ561" s="4">
        <v>15</v>
      </c>
      <c r="AK561" s="4">
        <v>15</v>
      </c>
      <c r="AL561" s="4">
        <v>3</v>
      </c>
      <c r="AM561" s="4">
        <v>3</v>
      </c>
      <c r="AN561" s="4">
        <v>0</v>
      </c>
      <c r="AO561" s="4">
        <v>0</v>
      </c>
      <c r="AP561" s="3" t="s">
        <v>58</v>
      </c>
      <c r="AQ561" s="3" t="s">
        <v>58</v>
      </c>
      <c r="AS561" s="6" t="str">
        <f>HYPERLINK("https://creighton-primo.hosted.exlibrisgroup.com/primo-explore/search?tab=default_tab&amp;search_scope=EVERYTHING&amp;vid=01CRU&amp;lang=en_US&amp;offset=0&amp;query=any,contains,991002915699702656","Catalog Record")</f>
        <v>Catalog Record</v>
      </c>
      <c r="AT561" s="6" t="str">
        <f>HYPERLINK("http://www.worldcat.org/oclc/38550851","WorldCat Record")</f>
        <v>WorldCat Record</v>
      </c>
      <c r="AU561" s="3" t="s">
        <v>7430</v>
      </c>
      <c r="AV561" s="3" t="s">
        <v>7431</v>
      </c>
      <c r="AW561" s="3" t="s">
        <v>7432</v>
      </c>
      <c r="AX561" s="3" t="s">
        <v>7432</v>
      </c>
      <c r="AY561" s="3" t="s">
        <v>7433</v>
      </c>
      <c r="AZ561" s="3" t="s">
        <v>74</v>
      </c>
      <c r="BB561" s="3" t="s">
        <v>7434</v>
      </c>
      <c r="BC561" s="3" t="s">
        <v>7435</v>
      </c>
      <c r="BD561" s="3" t="s">
        <v>7436</v>
      </c>
    </row>
    <row r="562" spans="1:56" ht="42.75" customHeight="1" x14ac:dyDescent="0.25">
      <c r="A562" s="7" t="s">
        <v>58</v>
      </c>
      <c r="B562" s="2" t="s">
        <v>7437</v>
      </c>
      <c r="C562" s="2" t="s">
        <v>7438</v>
      </c>
      <c r="D562" s="2" t="s">
        <v>7439</v>
      </c>
      <c r="F562" s="3" t="s">
        <v>58</v>
      </c>
      <c r="G562" s="3" t="s">
        <v>59</v>
      </c>
      <c r="H562" s="3" t="s">
        <v>58</v>
      </c>
      <c r="I562" s="3" t="s">
        <v>58</v>
      </c>
      <c r="J562" s="3" t="s">
        <v>60</v>
      </c>
      <c r="L562" s="2" t="s">
        <v>7440</v>
      </c>
      <c r="M562" s="3" t="s">
        <v>805</v>
      </c>
      <c r="O562" s="3" t="s">
        <v>64</v>
      </c>
      <c r="P562" s="3" t="s">
        <v>115</v>
      </c>
      <c r="Q562" s="2" t="s">
        <v>7441</v>
      </c>
      <c r="R562" s="3" t="s">
        <v>67</v>
      </c>
      <c r="S562" s="4">
        <v>7</v>
      </c>
      <c r="T562" s="4">
        <v>7</v>
      </c>
      <c r="U562" s="5" t="s">
        <v>7442</v>
      </c>
      <c r="V562" s="5" t="s">
        <v>7442</v>
      </c>
      <c r="W562" s="5" t="s">
        <v>7443</v>
      </c>
      <c r="X562" s="5" t="s">
        <v>7443</v>
      </c>
      <c r="Y562" s="4">
        <v>361</v>
      </c>
      <c r="Z562" s="4">
        <v>292</v>
      </c>
      <c r="AA562" s="4">
        <v>300</v>
      </c>
      <c r="AB562" s="4">
        <v>2</v>
      </c>
      <c r="AC562" s="4">
        <v>2</v>
      </c>
      <c r="AD562" s="4">
        <v>13</v>
      </c>
      <c r="AE562" s="4">
        <v>13</v>
      </c>
      <c r="AF562" s="4">
        <v>4</v>
      </c>
      <c r="AG562" s="4">
        <v>4</v>
      </c>
      <c r="AH562" s="4">
        <v>3</v>
      </c>
      <c r="AI562" s="4">
        <v>3</v>
      </c>
      <c r="AJ562" s="4">
        <v>9</v>
      </c>
      <c r="AK562" s="4">
        <v>9</v>
      </c>
      <c r="AL562" s="4">
        <v>1</v>
      </c>
      <c r="AM562" s="4">
        <v>1</v>
      </c>
      <c r="AN562" s="4">
        <v>0</v>
      </c>
      <c r="AO562" s="4">
        <v>0</v>
      </c>
      <c r="AP562" s="3" t="s">
        <v>58</v>
      </c>
      <c r="AQ562" s="3" t="s">
        <v>86</v>
      </c>
      <c r="AR562" s="6" t="str">
        <f>HYPERLINK("http://catalog.hathitrust.org/Record/003056835","HathiTrust Record")</f>
        <v>HathiTrust Record</v>
      </c>
      <c r="AS562" s="6" t="str">
        <f>HYPERLINK("https://creighton-primo.hosted.exlibrisgroup.com/primo-explore/search?tab=default_tab&amp;search_scope=EVERYTHING&amp;vid=01CRU&amp;lang=en_US&amp;offset=0&amp;query=any,contains,991002515609702656","Catalog Record")</f>
        <v>Catalog Record</v>
      </c>
      <c r="AT562" s="6" t="str">
        <f>HYPERLINK("http://www.worldcat.org/oclc/32703768","WorldCat Record")</f>
        <v>WorldCat Record</v>
      </c>
      <c r="AU562" s="3" t="s">
        <v>7444</v>
      </c>
      <c r="AV562" s="3" t="s">
        <v>7445</v>
      </c>
      <c r="AW562" s="3" t="s">
        <v>7446</v>
      </c>
      <c r="AX562" s="3" t="s">
        <v>7446</v>
      </c>
      <c r="AY562" s="3" t="s">
        <v>7447</v>
      </c>
      <c r="AZ562" s="3" t="s">
        <v>74</v>
      </c>
      <c r="BB562" s="3" t="s">
        <v>7448</v>
      </c>
      <c r="BC562" s="3" t="s">
        <v>7449</v>
      </c>
      <c r="BD562" s="3" t="s">
        <v>7450</v>
      </c>
    </row>
    <row r="563" spans="1:56" ht="42.75" customHeight="1" x14ac:dyDescent="0.25">
      <c r="A563" s="7" t="s">
        <v>58</v>
      </c>
      <c r="B563" s="2" t="s">
        <v>7451</v>
      </c>
      <c r="C563" s="2" t="s">
        <v>7452</v>
      </c>
      <c r="D563" s="2" t="s">
        <v>7453</v>
      </c>
      <c r="F563" s="3" t="s">
        <v>58</v>
      </c>
      <c r="G563" s="3" t="s">
        <v>59</v>
      </c>
      <c r="H563" s="3" t="s">
        <v>58</v>
      </c>
      <c r="I563" s="3" t="s">
        <v>58</v>
      </c>
      <c r="J563" s="3" t="s">
        <v>60</v>
      </c>
      <c r="K563" s="2" t="s">
        <v>7454</v>
      </c>
      <c r="L563" s="2" t="s">
        <v>7455</v>
      </c>
      <c r="M563" s="3" t="s">
        <v>642</v>
      </c>
      <c r="O563" s="3" t="s">
        <v>64</v>
      </c>
      <c r="P563" s="3" t="s">
        <v>115</v>
      </c>
      <c r="R563" s="3" t="s">
        <v>67</v>
      </c>
      <c r="S563" s="4">
        <v>11</v>
      </c>
      <c r="T563" s="4">
        <v>11</v>
      </c>
      <c r="U563" s="5" t="s">
        <v>7456</v>
      </c>
      <c r="V563" s="5" t="s">
        <v>7456</v>
      </c>
      <c r="W563" s="5" t="s">
        <v>5930</v>
      </c>
      <c r="X563" s="5" t="s">
        <v>5930</v>
      </c>
      <c r="Y563" s="4">
        <v>265</v>
      </c>
      <c r="Z563" s="4">
        <v>231</v>
      </c>
      <c r="AA563" s="4">
        <v>262</v>
      </c>
      <c r="AB563" s="4">
        <v>2</v>
      </c>
      <c r="AC563" s="4">
        <v>2</v>
      </c>
      <c r="AD563" s="4">
        <v>6</v>
      </c>
      <c r="AE563" s="4">
        <v>8</v>
      </c>
      <c r="AF563" s="4">
        <v>1</v>
      </c>
      <c r="AG563" s="4">
        <v>3</v>
      </c>
      <c r="AH563" s="4">
        <v>1</v>
      </c>
      <c r="AI563" s="4">
        <v>1</v>
      </c>
      <c r="AJ563" s="4">
        <v>5</v>
      </c>
      <c r="AK563" s="4">
        <v>6</v>
      </c>
      <c r="AL563" s="4">
        <v>1</v>
      </c>
      <c r="AM563" s="4">
        <v>1</v>
      </c>
      <c r="AN563" s="4">
        <v>0</v>
      </c>
      <c r="AO563" s="4">
        <v>0</v>
      </c>
      <c r="AP563" s="3" t="s">
        <v>58</v>
      </c>
      <c r="AQ563" s="3" t="s">
        <v>86</v>
      </c>
      <c r="AR563" s="6" t="str">
        <f>HYPERLINK("http://catalog.hathitrust.org/Record/002547056","HathiTrust Record")</f>
        <v>HathiTrust Record</v>
      </c>
      <c r="AS563" s="6" t="str">
        <f>HYPERLINK("https://creighton-primo.hosted.exlibrisgroup.com/primo-explore/search?tab=default_tab&amp;search_scope=EVERYTHING&amp;vid=01CRU&amp;lang=en_US&amp;offset=0&amp;query=any,contains,991001982259702656","Catalog Record")</f>
        <v>Catalog Record</v>
      </c>
      <c r="AT563" s="6" t="str">
        <f>HYPERLINK("http://www.worldcat.org/oclc/25164069","WorldCat Record")</f>
        <v>WorldCat Record</v>
      </c>
      <c r="AU563" s="3" t="s">
        <v>7457</v>
      </c>
      <c r="AV563" s="3" t="s">
        <v>7458</v>
      </c>
      <c r="AW563" s="3" t="s">
        <v>7459</v>
      </c>
      <c r="AX563" s="3" t="s">
        <v>7459</v>
      </c>
      <c r="AY563" s="3" t="s">
        <v>7460</v>
      </c>
      <c r="AZ563" s="3" t="s">
        <v>74</v>
      </c>
      <c r="BB563" s="3" t="s">
        <v>7461</v>
      </c>
      <c r="BC563" s="3" t="s">
        <v>7462</v>
      </c>
      <c r="BD563" s="3" t="s">
        <v>7463</v>
      </c>
    </row>
    <row r="564" spans="1:56" ht="42.75" customHeight="1" x14ac:dyDescent="0.25">
      <c r="A564" s="7" t="s">
        <v>58</v>
      </c>
      <c r="B564" s="2" t="s">
        <v>7464</v>
      </c>
      <c r="C564" s="2" t="s">
        <v>7465</v>
      </c>
      <c r="D564" s="2" t="s">
        <v>7466</v>
      </c>
      <c r="F564" s="3" t="s">
        <v>58</v>
      </c>
      <c r="G564" s="3" t="s">
        <v>59</v>
      </c>
      <c r="H564" s="3" t="s">
        <v>58</v>
      </c>
      <c r="I564" s="3" t="s">
        <v>58</v>
      </c>
      <c r="J564" s="3" t="s">
        <v>60</v>
      </c>
      <c r="L564" s="2" t="s">
        <v>7467</v>
      </c>
      <c r="M564" s="3" t="s">
        <v>4296</v>
      </c>
      <c r="O564" s="3" t="s">
        <v>64</v>
      </c>
      <c r="P564" s="3" t="s">
        <v>83</v>
      </c>
      <c r="R564" s="3" t="s">
        <v>67</v>
      </c>
      <c r="S564" s="4">
        <v>2</v>
      </c>
      <c r="T564" s="4">
        <v>2</v>
      </c>
      <c r="U564" s="5" t="s">
        <v>7180</v>
      </c>
      <c r="V564" s="5" t="s">
        <v>7180</v>
      </c>
      <c r="W564" s="5" t="s">
        <v>3917</v>
      </c>
      <c r="X564" s="5" t="s">
        <v>3917</v>
      </c>
      <c r="Y564" s="4">
        <v>438</v>
      </c>
      <c r="Z564" s="4">
        <v>349</v>
      </c>
      <c r="AA564" s="4">
        <v>446</v>
      </c>
      <c r="AB564" s="4">
        <v>3</v>
      </c>
      <c r="AC564" s="4">
        <v>4</v>
      </c>
      <c r="AD564" s="4">
        <v>12</v>
      </c>
      <c r="AE564" s="4">
        <v>15</v>
      </c>
      <c r="AF564" s="4">
        <v>4</v>
      </c>
      <c r="AG564" s="4">
        <v>5</v>
      </c>
      <c r="AH564" s="4">
        <v>4</v>
      </c>
      <c r="AI564" s="4">
        <v>5</v>
      </c>
      <c r="AJ564" s="4">
        <v>7</v>
      </c>
      <c r="AK564" s="4">
        <v>9</v>
      </c>
      <c r="AL564" s="4">
        <v>1</v>
      </c>
      <c r="AM564" s="4">
        <v>2</v>
      </c>
      <c r="AN564" s="4">
        <v>0</v>
      </c>
      <c r="AO564" s="4">
        <v>0</v>
      </c>
      <c r="AP564" s="3" t="s">
        <v>58</v>
      </c>
      <c r="AQ564" s="3" t="s">
        <v>58</v>
      </c>
      <c r="AS564" s="6" t="str">
        <f>HYPERLINK("https://creighton-primo.hosted.exlibrisgroup.com/primo-explore/search?tab=default_tab&amp;search_scope=EVERYTHING&amp;vid=01CRU&amp;lang=en_US&amp;offset=0&amp;query=any,contains,991003646729702656","Catalog Record")</f>
        <v>Catalog Record</v>
      </c>
      <c r="AT564" s="6" t="str">
        <f>HYPERLINK("http://www.worldcat.org/oclc/1248715","WorldCat Record")</f>
        <v>WorldCat Record</v>
      </c>
      <c r="AU564" s="3" t="s">
        <v>7468</v>
      </c>
      <c r="AV564" s="3" t="s">
        <v>7469</v>
      </c>
      <c r="AW564" s="3" t="s">
        <v>7470</v>
      </c>
      <c r="AX564" s="3" t="s">
        <v>7470</v>
      </c>
      <c r="AY564" s="3" t="s">
        <v>7471</v>
      </c>
      <c r="AZ564" s="3" t="s">
        <v>74</v>
      </c>
      <c r="BB564" s="3" t="s">
        <v>7472</v>
      </c>
      <c r="BC564" s="3" t="s">
        <v>7473</v>
      </c>
      <c r="BD564" s="3" t="s">
        <v>7474</v>
      </c>
    </row>
    <row r="565" spans="1:56" ht="42.75" customHeight="1" x14ac:dyDescent="0.25">
      <c r="A565" s="7" t="s">
        <v>58</v>
      </c>
      <c r="B565" s="2" t="s">
        <v>7475</v>
      </c>
      <c r="C565" s="2" t="s">
        <v>7476</v>
      </c>
      <c r="D565" s="2" t="s">
        <v>7477</v>
      </c>
      <c r="F565" s="3" t="s">
        <v>58</v>
      </c>
      <c r="G565" s="3" t="s">
        <v>59</v>
      </c>
      <c r="H565" s="3" t="s">
        <v>58</v>
      </c>
      <c r="I565" s="3" t="s">
        <v>58</v>
      </c>
      <c r="J565" s="3" t="s">
        <v>60</v>
      </c>
      <c r="K565" s="2" t="s">
        <v>7478</v>
      </c>
      <c r="L565" s="2" t="s">
        <v>7479</v>
      </c>
      <c r="M565" s="3" t="s">
        <v>223</v>
      </c>
      <c r="O565" s="3" t="s">
        <v>64</v>
      </c>
      <c r="P565" s="3" t="s">
        <v>115</v>
      </c>
      <c r="R565" s="3" t="s">
        <v>67</v>
      </c>
      <c r="S565" s="4">
        <v>8</v>
      </c>
      <c r="T565" s="4">
        <v>8</v>
      </c>
      <c r="U565" s="5" t="s">
        <v>7480</v>
      </c>
      <c r="V565" s="5" t="s">
        <v>7480</v>
      </c>
      <c r="W565" s="5" t="s">
        <v>7090</v>
      </c>
      <c r="X565" s="5" t="s">
        <v>7090</v>
      </c>
      <c r="Y565" s="4">
        <v>435</v>
      </c>
      <c r="Z565" s="4">
        <v>353</v>
      </c>
      <c r="AA565" s="4">
        <v>354</v>
      </c>
      <c r="AB565" s="4">
        <v>5</v>
      </c>
      <c r="AC565" s="4">
        <v>5</v>
      </c>
      <c r="AD565" s="4">
        <v>10</v>
      </c>
      <c r="AE565" s="4">
        <v>10</v>
      </c>
      <c r="AF565" s="4">
        <v>2</v>
      </c>
      <c r="AG565" s="4">
        <v>2</v>
      </c>
      <c r="AH565" s="4">
        <v>1</v>
      </c>
      <c r="AI565" s="4">
        <v>1</v>
      </c>
      <c r="AJ565" s="4">
        <v>4</v>
      </c>
      <c r="AK565" s="4">
        <v>4</v>
      </c>
      <c r="AL565" s="4">
        <v>3</v>
      </c>
      <c r="AM565" s="4">
        <v>3</v>
      </c>
      <c r="AN565" s="4">
        <v>0</v>
      </c>
      <c r="AO565" s="4">
        <v>0</v>
      </c>
      <c r="AP565" s="3" t="s">
        <v>58</v>
      </c>
      <c r="AQ565" s="3" t="s">
        <v>86</v>
      </c>
      <c r="AR565" s="6" t="str">
        <f>HYPERLINK("http://catalog.hathitrust.org/Record/007479496","HathiTrust Record")</f>
        <v>HathiTrust Record</v>
      </c>
      <c r="AS565" s="6" t="str">
        <f>HYPERLINK("https://creighton-primo.hosted.exlibrisgroup.com/primo-explore/search?tab=default_tab&amp;search_scope=EVERYTHING&amp;vid=01CRU&amp;lang=en_US&amp;offset=0&amp;query=any,contains,991004623529702656","Catalog Record")</f>
        <v>Catalog Record</v>
      </c>
      <c r="AT565" s="6" t="str">
        <f>HYPERLINK("http://www.worldcat.org/oclc/4318353","WorldCat Record")</f>
        <v>WorldCat Record</v>
      </c>
      <c r="AU565" s="3" t="s">
        <v>7481</v>
      </c>
      <c r="AV565" s="3" t="s">
        <v>7482</v>
      </c>
      <c r="AW565" s="3" t="s">
        <v>7483</v>
      </c>
      <c r="AX565" s="3" t="s">
        <v>7483</v>
      </c>
      <c r="AY565" s="3" t="s">
        <v>7484</v>
      </c>
      <c r="AZ565" s="3" t="s">
        <v>74</v>
      </c>
      <c r="BB565" s="3" t="s">
        <v>7485</v>
      </c>
      <c r="BC565" s="3" t="s">
        <v>7486</v>
      </c>
      <c r="BD565" s="3" t="s">
        <v>7487</v>
      </c>
    </row>
    <row r="566" spans="1:56" ht="42.75" customHeight="1" x14ac:dyDescent="0.25">
      <c r="A566" s="7" t="s">
        <v>58</v>
      </c>
      <c r="B566" s="2" t="s">
        <v>7488</v>
      </c>
      <c r="C566" s="2" t="s">
        <v>7489</v>
      </c>
      <c r="D566" s="2" t="s">
        <v>7490</v>
      </c>
      <c r="F566" s="3" t="s">
        <v>58</v>
      </c>
      <c r="G566" s="3" t="s">
        <v>59</v>
      </c>
      <c r="H566" s="3" t="s">
        <v>58</v>
      </c>
      <c r="I566" s="3" t="s">
        <v>58</v>
      </c>
      <c r="J566" s="3" t="s">
        <v>60</v>
      </c>
      <c r="L566" s="2" t="s">
        <v>7491</v>
      </c>
      <c r="M566" s="3" t="s">
        <v>82</v>
      </c>
      <c r="O566" s="3" t="s">
        <v>64</v>
      </c>
      <c r="P566" s="3" t="s">
        <v>115</v>
      </c>
      <c r="R566" s="3" t="s">
        <v>67</v>
      </c>
      <c r="S566" s="4">
        <v>6</v>
      </c>
      <c r="T566" s="4">
        <v>6</v>
      </c>
      <c r="U566" s="5" t="s">
        <v>7492</v>
      </c>
      <c r="V566" s="5" t="s">
        <v>7492</v>
      </c>
      <c r="W566" s="5" t="s">
        <v>7493</v>
      </c>
      <c r="X566" s="5" t="s">
        <v>7493</v>
      </c>
      <c r="Y566" s="4">
        <v>274</v>
      </c>
      <c r="Z566" s="4">
        <v>222</v>
      </c>
      <c r="AA566" s="4">
        <v>229</v>
      </c>
      <c r="AB566" s="4">
        <v>2</v>
      </c>
      <c r="AC566" s="4">
        <v>2</v>
      </c>
      <c r="AD566" s="4">
        <v>7</v>
      </c>
      <c r="AE566" s="4">
        <v>7</v>
      </c>
      <c r="AF566" s="4">
        <v>2</v>
      </c>
      <c r="AG566" s="4">
        <v>2</v>
      </c>
      <c r="AH566" s="4">
        <v>1</v>
      </c>
      <c r="AI566" s="4">
        <v>1</v>
      </c>
      <c r="AJ566" s="4">
        <v>4</v>
      </c>
      <c r="AK566" s="4">
        <v>4</v>
      </c>
      <c r="AL566" s="4">
        <v>1</v>
      </c>
      <c r="AM566" s="4">
        <v>1</v>
      </c>
      <c r="AN566" s="4">
        <v>0</v>
      </c>
      <c r="AO566" s="4">
        <v>0</v>
      </c>
      <c r="AP566" s="3" t="s">
        <v>58</v>
      </c>
      <c r="AQ566" s="3" t="s">
        <v>86</v>
      </c>
      <c r="AR566" s="6" t="str">
        <f>HYPERLINK("http://catalog.hathitrust.org/Record/000881669","HathiTrust Record")</f>
        <v>HathiTrust Record</v>
      </c>
      <c r="AS566" s="6" t="str">
        <f>HYPERLINK("https://creighton-primo.hosted.exlibrisgroup.com/primo-explore/search?tab=default_tab&amp;search_scope=EVERYTHING&amp;vid=01CRU&amp;lang=en_US&amp;offset=0&amp;query=any,contains,991001024219702656","Catalog Record")</f>
        <v>Catalog Record</v>
      </c>
      <c r="AT566" s="6" t="str">
        <f>HYPERLINK("http://www.worldcat.org/oclc/15428441","WorldCat Record")</f>
        <v>WorldCat Record</v>
      </c>
      <c r="AU566" s="3" t="s">
        <v>7494</v>
      </c>
      <c r="AV566" s="3" t="s">
        <v>7495</v>
      </c>
      <c r="AW566" s="3" t="s">
        <v>7496</v>
      </c>
      <c r="AX566" s="3" t="s">
        <v>7496</v>
      </c>
      <c r="AY566" s="3" t="s">
        <v>7497</v>
      </c>
      <c r="AZ566" s="3" t="s">
        <v>74</v>
      </c>
      <c r="BB566" s="3" t="s">
        <v>7498</v>
      </c>
      <c r="BC566" s="3" t="s">
        <v>7499</v>
      </c>
      <c r="BD566" s="3" t="s">
        <v>7500</v>
      </c>
    </row>
    <row r="567" spans="1:56" ht="42.75" customHeight="1" x14ac:dyDescent="0.25">
      <c r="A567" s="7" t="s">
        <v>58</v>
      </c>
      <c r="B567" s="2" t="s">
        <v>7501</v>
      </c>
      <c r="C567" s="2" t="s">
        <v>7502</v>
      </c>
      <c r="D567" s="2" t="s">
        <v>7503</v>
      </c>
      <c r="F567" s="3" t="s">
        <v>58</v>
      </c>
      <c r="G567" s="3" t="s">
        <v>59</v>
      </c>
      <c r="H567" s="3" t="s">
        <v>58</v>
      </c>
      <c r="I567" s="3" t="s">
        <v>58</v>
      </c>
      <c r="J567" s="3" t="s">
        <v>60</v>
      </c>
      <c r="K567" s="2" t="s">
        <v>7504</v>
      </c>
      <c r="L567" s="2" t="s">
        <v>7505</v>
      </c>
      <c r="M567" s="3" t="s">
        <v>695</v>
      </c>
      <c r="N567" s="2" t="s">
        <v>1736</v>
      </c>
      <c r="O567" s="3" t="s">
        <v>64</v>
      </c>
      <c r="P567" s="3" t="s">
        <v>115</v>
      </c>
      <c r="R567" s="3" t="s">
        <v>67</v>
      </c>
      <c r="S567" s="4">
        <v>17</v>
      </c>
      <c r="T567" s="4">
        <v>17</v>
      </c>
      <c r="U567" s="5" t="s">
        <v>7506</v>
      </c>
      <c r="V567" s="5" t="s">
        <v>7506</v>
      </c>
      <c r="W567" s="5" t="s">
        <v>7507</v>
      </c>
      <c r="X567" s="5" t="s">
        <v>7507</v>
      </c>
      <c r="Y567" s="4">
        <v>454</v>
      </c>
      <c r="Z567" s="4">
        <v>404</v>
      </c>
      <c r="AA567" s="4">
        <v>435</v>
      </c>
      <c r="AB567" s="4">
        <v>2</v>
      </c>
      <c r="AC567" s="4">
        <v>2</v>
      </c>
      <c r="AD567" s="4">
        <v>6</v>
      </c>
      <c r="AE567" s="4">
        <v>6</v>
      </c>
      <c r="AF567" s="4">
        <v>2</v>
      </c>
      <c r="AG567" s="4">
        <v>2</v>
      </c>
      <c r="AH567" s="4">
        <v>1</v>
      </c>
      <c r="AI567" s="4">
        <v>1</v>
      </c>
      <c r="AJ567" s="4">
        <v>2</v>
      </c>
      <c r="AK567" s="4">
        <v>2</v>
      </c>
      <c r="AL567" s="4">
        <v>1</v>
      </c>
      <c r="AM567" s="4">
        <v>1</v>
      </c>
      <c r="AN567" s="4">
        <v>0</v>
      </c>
      <c r="AO567" s="4">
        <v>0</v>
      </c>
      <c r="AP567" s="3" t="s">
        <v>58</v>
      </c>
      <c r="AQ567" s="3" t="s">
        <v>86</v>
      </c>
      <c r="AR567" s="6" t="str">
        <f>HYPERLINK("http://catalog.hathitrust.org/Record/002865145","HathiTrust Record")</f>
        <v>HathiTrust Record</v>
      </c>
      <c r="AS567" s="6" t="str">
        <f>HYPERLINK("https://creighton-primo.hosted.exlibrisgroup.com/primo-explore/search?tab=default_tab&amp;search_scope=EVERYTHING&amp;vid=01CRU&amp;lang=en_US&amp;offset=0&amp;query=any,contains,991002083109702656","Catalog Record")</f>
        <v>Catalog Record</v>
      </c>
      <c r="AT567" s="6" t="str">
        <f>HYPERLINK("http://www.worldcat.org/oclc/26722216","WorldCat Record")</f>
        <v>WorldCat Record</v>
      </c>
      <c r="AU567" s="3" t="s">
        <v>7508</v>
      </c>
      <c r="AV567" s="3" t="s">
        <v>7509</v>
      </c>
      <c r="AW567" s="3" t="s">
        <v>7510</v>
      </c>
      <c r="AX567" s="3" t="s">
        <v>7510</v>
      </c>
      <c r="AY567" s="3" t="s">
        <v>7511</v>
      </c>
      <c r="AZ567" s="3" t="s">
        <v>74</v>
      </c>
      <c r="BB567" s="3" t="s">
        <v>7512</v>
      </c>
      <c r="BC567" s="3" t="s">
        <v>7513</v>
      </c>
      <c r="BD567" s="3" t="s">
        <v>7514</v>
      </c>
    </row>
    <row r="568" spans="1:56" ht="42.75" customHeight="1" x14ac:dyDescent="0.25">
      <c r="A568" s="7" t="s">
        <v>58</v>
      </c>
      <c r="B568" s="2" t="s">
        <v>7515</v>
      </c>
      <c r="C568" s="2" t="s">
        <v>7516</v>
      </c>
      <c r="D568" s="2" t="s">
        <v>7517</v>
      </c>
      <c r="F568" s="3" t="s">
        <v>58</v>
      </c>
      <c r="G568" s="3" t="s">
        <v>59</v>
      </c>
      <c r="H568" s="3" t="s">
        <v>58</v>
      </c>
      <c r="I568" s="3" t="s">
        <v>58</v>
      </c>
      <c r="J568" s="3" t="s">
        <v>60</v>
      </c>
      <c r="L568" s="2" t="s">
        <v>7518</v>
      </c>
      <c r="M568" s="3" t="s">
        <v>642</v>
      </c>
      <c r="O568" s="3" t="s">
        <v>64</v>
      </c>
      <c r="P568" s="3" t="s">
        <v>1898</v>
      </c>
      <c r="R568" s="3" t="s">
        <v>67</v>
      </c>
      <c r="S568" s="4">
        <v>25</v>
      </c>
      <c r="T568" s="4">
        <v>25</v>
      </c>
      <c r="U568" s="5" t="s">
        <v>7519</v>
      </c>
      <c r="V568" s="5" t="s">
        <v>7519</v>
      </c>
      <c r="W568" s="5" t="s">
        <v>7520</v>
      </c>
      <c r="X568" s="5" t="s">
        <v>7520</v>
      </c>
      <c r="Y568" s="4">
        <v>244</v>
      </c>
      <c r="Z568" s="4">
        <v>184</v>
      </c>
      <c r="AA568" s="4">
        <v>215</v>
      </c>
      <c r="AB568" s="4">
        <v>3</v>
      </c>
      <c r="AC568" s="4">
        <v>3</v>
      </c>
      <c r="AD568" s="4">
        <v>15</v>
      </c>
      <c r="AE568" s="4">
        <v>15</v>
      </c>
      <c r="AF568" s="4">
        <v>4</v>
      </c>
      <c r="AG568" s="4">
        <v>4</v>
      </c>
      <c r="AH568" s="4">
        <v>5</v>
      </c>
      <c r="AI568" s="4">
        <v>5</v>
      </c>
      <c r="AJ568" s="4">
        <v>9</v>
      </c>
      <c r="AK568" s="4">
        <v>9</v>
      </c>
      <c r="AL568" s="4">
        <v>2</v>
      </c>
      <c r="AM568" s="4">
        <v>2</v>
      </c>
      <c r="AN568" s="4">
        <v>0</v>
      </c>
      <c r="AO568" s="4">
        <v>0</v>
      </c>
      <c r="AP568" s="3" t="s">
        <v>58</v>
      </c>
      <c r="AQ568" s="3" t="s">
        <v>58</v>
      </c>
      <c r="AS568" s="6" t="str">
        <f>HYPERLINK("https://creighton-primo.hosted.exlibrisgroup.com/primo-explore/search?tab=default_tab&amp;search_scope=EVERYTHING&amp;vid=01CRU&amp;lang=en_US&amp;offset=0&amp;query=any,contains,991001951889702656","Catalog Record")</f>
        <v>Catalog Record</v>
      </c>
      <c r="AT568" s="6" t="str">
        <f>HYPERLINK("http://www.worldcat.org/oclc/24670941","WorldCat Record")</f>
        <v>WorldCat Record</v>
      </c>
      <c r="AU568" s="3" t="s">
        <v>7521</v>
      </c>
      <c r="AV568" s="3" t="s">
        <v>7522</v>
      </c>
      <c r="AW568" s="3" t="s">
        <v>7523</v>
      </c>
      <c r="AX568" s="3" t="s">
        <v>7523</v>
      </c>
      <c r="AY568" s="3" t="s">
        <v>7524</v>
      </c>
      <c r="AZ568" s="3" t="s">
        <v>74</v>
      </c>
      <c r="BB568" s="3" t="s">
        <v>7525</v>
      </c>
      <c r="BC568" s="3" t="s">
        <v>7526</v>
      </c>
      <c r="BD568" s="3" t="s">
        <v>7527</v>
      </c>
    </row>
    <row r="569" spans="1:56" ht="42.75" customHeight="1" x14ac:dyDescent="0.25">
      <c r="A569" s="7" t="s">
        <v>58</v>
      </c>
      <c r="B569" s="2" t="s">
        <v>7528</v>
      </c>
      <c r="C569" s="2" t="s">
        <v>7529</v>
      </c>
      <c r="D569" s="2" t="s">
        <v>7530</v>
      </c>
      <c r="F569" s="3" t="s">
        <v>58</v>
      </c>
      <c r="G569" s="3" t="s">
        <v>59</v>
      </c>
      <c r="H569" s="3" t="s">
        <v>58</v>
      </c>
      <c r="I569" s="3" t="s">
        <v>58</v>
      </c>
      <c r="J569" s="3" t="s">
        <v>60</v>
      </c>
      <c r="L569" s="2" t="s">
        <v>7531</v>
      </c>
      <c r="M569" s="3" t="s">
        <v>371</v>
      </c>
      <c r="O569" s="3" t="s">
        <v>64</v>
      </c>
      <c r="P569" s="3" t="s">
        <v>65</v>
      </c>
      <c r="R569" s="3" t="s">
        <v>67</v>
      </c>
      <c r="S569" s="4">
        <v>8</v>
      </c>
      <c r="T569" s="4">
        <v>8</v>
      </c>
      <c r="U569" s="5" t="s">
        <v>7532</v>
      </c>
      <c r="V569" s="5" t="s">
        <v>7532</v>
      </c>
      <c r="W569" s="5" t="s">
        <v>7090</v>
      </c>
      <c r="X569" s="5" t="s">
        <v>7090</v>
      </c>
      <c r="Y569" s="4">
        <v>230</v>
      </c>
      <c r="Z569" s="4">
        <v>175</v>
      </c>
      <c r="AA569" s="4">
        <v>176</v>
      </c>
      <c r="AB569" s="4">
        <v>1</v>
      </c>
      <c r="AC569" s="4">
        <v>1</v>
      </c>
      <c r="AD569" s="4">
        <v>7</v>
      </c>
      <c r="AE569" s="4">
        <v>7</v>
      </c>
      <c r="AF569" s="4">
        <v>0</v>
      </c>
      <c r="AG569" s="4">
        <v>0</v>
      </c>
      <c r="AH569" s="4">
        <v>3</v>
      </c>
      <c r="AI569" s="4">
        <v>3</v>
      </c>
      <c r="AJ569" s="4">
        <v>6</v>
      </c>
      <c r="AK569" s="4">
        <v>6</v>
      </c>
      <c r="AL569" s="4">
        <v>0</v>
      </c>
      <c r="AM569" s="4">
        <v>0</v>
      </c>
      <c r="AN569" s="4">
        <v>0</v>
      </c>
      <c r="AO569" s="4">
        <v>0</v>
      </c>
      <c r="AP569" s="3" t="s">
        <v>58</v>
      </c>
      <c r="AQ569" s="3" t="s">
        <v>58</v>
      </c>
      <c r="AS569" s="6" t="str">
        <f>HYPERLINK("https://creighton-primo.hosted.exlibrisgroup.com/primo-explore/search?tab=default_tab&amp;search_scope=EVERYTHING&amp;vid=01CRU&amp;lang=en_US&amp;offset=0&amp;query=any,contains,991000686629702656","Catalog Record")</f>
        <v>Catalog Record</v>
      </c>
      <c r="AT569" s="6" t="str">
        <f>HYPERLINK("http://www.worldcat.org/oclc/12421239","WorldCat Record")</f>
        <v>WorldCat Record</v>
      </c>
      <c r="AU569" s="3" t="s">
        <v>7533</v>
      </c>
      <c r="AV569" s="3" t="s">
        <v>7534</v>
      </c>
      <c r="AW569" s="3" t="s">
        <v>7535</v>
      </c>
      <c r="AX569" s="3" t="s">
        <v>7535</v>
      </c>
      <c r="AY569" s="3" t="s">
        <v>7536</v>
      </c>
      <c r="AZ569" s="3" t="s">
        <v>74</v>
      </c>
      <c r="BB569" s="3" t="s">
        <v>7537</v>
      </c>
      <c r="BC569" s="3" t="s">
        <v>7538</v>
      </c>
      <c r="BD569" s="3" t="s">
        <v>7539</v>
      </c>
    </row>
    <row r="570" spans="1:56" ht="42.75" customHeight="1" x14ac:dyDescent="0.25">
      <c r="A570" s="7" t="s">
        <v>58</v>
      </c>
      <c r="B570" s="2" t="s">
        <v>7540</v>
      </c>
      <c r="C570" s="2" t="s">
        <v>7541</v>
      </c>
      <c r="D570" s="2" t="s">
        <v>7542</v>
      </c>
      <c r="F570" s="3" t="s">
        <v>58</v>
      </c>
      <c r="G570" s="3" t="s">
        <v>59</v>
      </c>
      <c r="H570" s="3" t="s">
        <v>58</v>
      </c>
      <c r="I570" s="3" t="s">
        <v>58</v>
      </c>
      <c r="J570" s="3" t="s">
        <v>60</v>
      </c>
      <c r="K570" s="2" t="s">
        <v>7543</v>
      </c>
      <c r="L570" s="2" t="s">
        <v>7544</v>
      </c>
      <c r="M570" s="3" t="s">
        <v>1448</v>
      </c>
      <c r="O570" s="3" t="s">
        <v>64</v>
      </c>
      <c r="P570" s="3" t="s">
        <v>115</v>
      </c>
      <c r="R570" s="3" t="s">
        <v>67</v>
      </c>
      <c r="S570" s="4">
        <v>2</v>
      </c>
      <c r="T570" s="4">
        <v>2</v>
      </c>
      <c r="U570" s="5" t="s">
        <v>7545</v>
      </c>
      <c r="V570" s="5" t="s">
        <v>7545</v>
      </c>
      <c r="W570" s="5" t="s">
        <v>7545</v>
      </c>
      <c r="X570" s="5" t="s">
        <v>7545</v>
      </c>
      <c r="Y570" s="4">
        <v>132</v>
      </c>
      <c r="Z570" s="4">
        <v>101</v>
      </c>
      <c r="AA570" s="4">
        <v>173</v>
      </c>
      <c r="AB570" s="4">
        <v>1</v>
      </c>
      <c r="AC570" s="4">
        <v>1</v>
      </c>
      <c r="AD570" s="4">
        <v>4</v>
      </c>
      <c r="AE570" s="4">
        <v>4</v>
      </c>
      <c r="AF570" s="4">
        <v>1</v>
      </c>
      <c r="AG570" s="4">
        <v>1</v>
      </c>
      <c r="AH570" s="4">
        <v>2</v>
      </c>
      <c r="AI570" s="4">
        <v>2</v>
      </c>
      <c r="AJ570" s="4">
        <v>3</v>
      </c>
      <c r="AK570" s="4">
        <v>3</v>
      </c>
      <c r="AL570" s="4">
        <v>0</v>
      </c>
      <c r="AM570" s="4">
        <v>0</v>
      </c>
      <c r="AN570" s="4">
        <v>0</v>
      </c>
      <c r="AO570" s="4">
        <v>0</v>
      </c>
      <c r="AP570" s="3" t="s">
        <v>58</v>
      </c>
      <c r="AQ570" s="3" t="s">
        <v>58</v>
      </c>
      <c r="AS570" s="6" t="str">
        <f>HYPERLINK("https://creighton-primo.hosted.exlibrisgroup.com/primo-explore/search?tab=default_tab&amp;search_scope=EVERYTHING&amp;vid=01CRU&amp;lang=en_US&amp;offset=0&amp;query=any,contains,991005321839702656","Catalog Record")</f>
        <v>Catalog Record</v>
      </c>
      <c r="AT570" s="6" t="str">
        <f>HYPERLINK("http://www.worldcat.org/oclc/255903305","WorldCat Record")</f>
        <v>WorldCat Record</v>
      </c>
      <c r="AU570" s="3" t="s">
        <v>7546</v>
      </c>
      <c r="AV570" s="3" t="s">
        <v>7547</v>
      </c>
      <c r="AW570" s="3" t="s">
        <v>7548</v>
      </c>
      <c r="AX570" s="3" t="s">
        <v>7548</v>
      </c>
      <c r="AY570" s="3" t="s">
        <v>7549</v>
      </c>
      <c r="AZ570" s="3" t="s">
        <v>74</v>
      </c>
      <c r="BB570" s="3" t="s">
        <v>7550</v>
      </c>
      <c r="BC570" s="3" t="s">
        <v>7551</v>
      </c>
      <c r="BD570" s="3" t="s">
        <v>7552</v>
      </c>
    </row>
    <row r="571" spans="1:56" ht="42.75" customHeight="1" x14ac:dyDescent="0.25">
      <c r="A571" s="7" t="s">
        <v>58</v>
      </c>
      <c r="B571" s="2" t="s">
        <v>7553</v>
      </c>
      <c r="C571" s="2" t="s">
        <v>7554</v>
      </c>
      <c r="D571" s="2" t="s">
        <v>7555</v>
      </c>
      <c r="F571" s="3" t="s">
        <v>58</v>
      </c>
      <c r="G571" s="3" t="s">
        <v>59</v>
      </c>
      <c r="H571" s="3" t="s">
        <v>58</v>
      </c>
      <c r="I571" s="3" t="s">
        <v>58</v>
      </c>
      <c r="J571" s="3" t="s">
        <v>60</v>
      </c>
      <c r="K571" s="2" t="s">
        <v>7556</v>
      </c>
      <c r="L571" s="2" t="s">
        <v>7557</v>
      </c>
      <c r="M571" s="3" t="s">
        <v>534</v>
      </c>
      <c r="O571" s="3" t="s">
        <v>64</v>
      </c>
      <c r="P571" s="3" t="s">
        <v>83</v>
      </c>
      <c r="Q571" s="2" t="s">
        <v>7558</v>
      </c>
      <c r="R571" s="3" t="s">
        <v>67</v>
      </c>
      <c r="S571" s="4">
        <v>23</v>
      </c>
      <c r="T571" s="4">
        <v>23</v>
      </c>
      <c r="U571" s="5" t="s">
        <v>7559</v>
      </c>
      <c r="V571" s="5" t="s">
        <v>7559</v>
      </c>
      <c r="W571" s="5" t="s">
        <v>7560</v>
      </c>
      <c r="X571" s="5" t="s">
        <v>7560</v>
      </c>
      <c r="Y571" s="4">
        <v>151</v>
      </c>
      <c r="Z571" s="4">
        <v>119</v>
      </c>
      <c r="AA571" s="4">
        <v>121</v>
      </c>
      <c r="AB571" s="4">
        <v>2</v>
      </c>
      <c r="AC571" s="4">
        <v>2</v>
      </c>
      <c r="AD571" s="4">
        <v>6</v>
      </c>
      <c r="AE571" s="4">
        <v>6</v>
      </c>
      <c r="AF571" s="4">
        <v>0</v>
      </c>
      <c r="AG571" s="4">
        <v>0</v>
      </c>
      <c r="AH571" s="4">
        <v>1</v>
      </c>
      <c r="AI571" s="4">
        <v>1</v>
      </c>
      <c r="AJ571" s="4">
        <v>4</v>
      </c>
      <c r="AK571" s="4">
        <v>4</v>
      </c>
      <c r="AL571" s="4">
        <v>1</v>
      </c>
      <c r="AM571" s="4">
        <v>1</v>
      </c>
      <c r="AN571" s="4">
        <v>1</v>
      </c>
      <c r="AO571" s="4">
        <v>1</v>
      </c>
      <c r="AP571" s="3" t="s">
        <v>58</v>
      </c>
      <c r="AQ571" s="3" t="s">
        <v>86</v>
      </c>
      <c r="AR571" s="6" t="str">
        <f>HYPERLINK("http://catalog.hathitrust.org/Record/002456657","HathiTrust Record")</f>
        <v>HathiTrust Record</v>
      </c>
      <c r="AS571" s="6" t="str">
        <f>HYPERLINK("https://creighton-primo.hosted.exlibrisgroup.com/primo-explore/search?tab=default_tab&amp;search_scope=EVERYTHING&amp;vid=01CRU&amp;lang=en_US&amp;offset=0&amp;query=any,contains,991001714719702656","Catalog Record")</f>
        <v>Catalog Record</v>
      </c>
      <c r="AT571" s="6" t="str">
        <f>HYPERLINK("http://www.worldcat.org/oclc/21672375","WorldCat Record")</f>
        <v>WorldCat Record</v>
      </c>
      <c r="AU571" s="3" t="s">
        <v>7561</v>
      </c>
      <c r="AV571" s="3" t="s">
        <v>7562</v>
      </c>
      <c r="AW571" s="3" t="s">
        <v>7563</v>
      </c>
      <c r="AX571" s="3" t="s">
        <v>7563</v>
      </c>
      <c r="AY571" s="3" t="s">
        <v>7564</v>
      </c>
      <c r="AZ571" s="3" t="s">
        <v>74</v>
      </c>
      <c r="BB571" s="3" t="s">
        <v>7565</v>
      </c>
      <c r="BC571" s="3" t="s">
        <v>7566</v>
      </c>
      <c r="BD571" s="3" t="s">
        <v>7567</v>
      </c>
    </row>
    <row r="572" spans="1:56" ht="42.75" customHeight="1" x14ac:dyDescent="0.25">
      <c r="A572" s="7" t="s">
        <v>58</v>
      </c>
      <c r="B572" s="2" t="s">
        <v>7568</v>
      </c>
      <c r="C572" s="2" t="s">
        <v>7569</v>
      </c>
      <c r="D572" s="2" t="s">
        <v>7570</v>
      </c>
      <c r="F572" s="3" t="s">
        <v>58</v>
      </c>
      <c r="G572" s="3" t="s">
        <v>59</v>
      </c>
      <c r="H572" s="3" t="s">
        <v>58</v>
      </c>
      <c r="I572" s="3" t="s">
        <v>58</v>
      </c>
      <c r="J572" s="3" t="s">
        <v>60</v>
      </c>
      <c r="K572" s="2" t="s">
        <v>7571</v>
      </c>
      <c r="L572" s="2" t="s">
        <v>7572</v>
      </c>
      <c r="M572" s="3" t="s">
        <v>586</v>
      </c>
      <c r="O572" s="3" t="s">
        <v>64</v>
      </c>
      <c r="P572" s="3" t="s">
        <v>65</v>
      </c>
      <c r="R572" s="3" t="s">
        <v>67</v>
      </c>
      <c r="S572" s="4">
        <v>11</v>
      </c>
      <c r="T572" s="4">
        <v>11</v>
      </c>
      <c r="U572" s="5" t="s">
        <v>7248</v>
      </c>
      <c r="V572" s="5" t="s">
        <v>7248</v>
      </c>
      <c r="W572" s="5" t="s">
        <v>7573</v>
      </c>
      <c r="X572" s="5" t="s">
        <v>7573</v>
      </c>
      <c r="Y572" s="4">
        <v>667</v>
      </c>
      <c r="Z572" s="4">
        <v>491</v>
      </c>
      <c r="AA572" s="4">
        <v>1073</v>
      </c>
      <c r="AB572" s="4">
        <v>2</v>
      </c>
      <c r="AC572" s="4">
        <v>4</v>
      </c>
      <c r="AD572" s="4">
        <v>28</v>
      </c>
      <c r="AE572" s="4">
        <v>34</v>
      </c>
      <c r="AF572" s="4">
        <v>11</v>
      </c>
      <c r="AG572" s="4">
        <v>16</v>
      </c>
      <c r="AH572" s="4">
        <v>9</v>
      </c>
      <c r="AI572" s="4">
        <v>10</v>
      </c>
      <c r="AJ572" s="4">
        <v>16</v>
      </c>
      <c r="AK572" s="4">
        <v>18</v>
      </c>
      <c r="AL572" s="4">
        <v>1</v>
      </c>
      <c r="AM572" s="4">
        <v>2</v>
      </c>
      <c r="AN572" s="4">
        <v>0</v>
      </c>
      <c r="AO572" s="4">
        <v>0</v>
      </c>
      <c r="AP572" s="3" t="s">
        <v>58</v>
      </c>
      <c r="AQ572" s="3" t="s">
        <v>58</v>
      </c>
      <c r="AS572" s="6" t="str">
        <f>HYPERLINK("https://creighton-primo.hosted.exlibrisgroup.com/primo-explore/search?tab=default_tab&amp;search_scope=EVERYTHING&amp;vid=01CRU&amp;lang=en_US&amp;offset=0&amp;query=any,contains,991001694639702656","Catalog Record")</f>
        <v>Catalog Record</v>
      </c>
      <c r="AT572" s="6" t="str">
        <f>HYPERLINK("http://www.worldcat.org/oclc/21482025","WorldCat Record")</f>
        <v>WorldCat Record</v>
      </c>
      <c r="AU572" s="3" t="s">
        <v>7574</v>
      </c>
      <c r="AV572" s="3" t="s">
        <v>7575</v>
      </c>
      <c r="AW572" s="3" t="s">
        <v>7576</v>
      </c>
      <c r="AX572" s="3" t="s">
        <v>7576</v>
      </c>
      <c r="AY572" s="3" t="s">
        <v>7577</v>
      </c>
      <c r="AZ572" s="3" t="s">
        <v>74</v>
      </c>
      <c r="BB572" s="3" t="s">
        <v>7578</v>
      </c>
      <c r="BC572" s="3" t="s">
        <v>7579</v>
      </c>
      <c r="BD572" s="3" t="s">
        <v>7580</v>
      </c>
    </row>
    <row r="573" spans="1:56" ht="42.75" customHeight="1" x14ac:dyDescent="0.25">
      <c r="A573" s="7" t="s">
        <v>58</v>
      </c>
      <c r="B573" s="2" t="s">
        <v>7581</v>
      </c>
      <c r="C573" s="2" t="s">
        <v>7582</v>
      </c>
      <c r="D573" s="2" t="s">
        <v>7583</v>
      </c>
      <c r="F573" s="3" t="s">
        <v>58</v>
      </c>
      <c r="G573" s="3" t="s">
        <v>59</v>
      </c>
      <c r="H573" s="3" t="s">
        <v>58</v>
      </c>
      <c r="I573" s="3" t="s">
        <v>58</v>
      </c>
      <c r="J573" s="3" t="s">
        <v>60</v>
      </c>
      <c r="K573" s="2" t="s">
        <v>7584</v>
      </c>
      <c r="L573" s="2" t="s">
        <v>7585</v>
      </c>
      <c r="M573" s="3" t="s">
        <v>1141</v>
      </c>
      <c r="O573" s="3" t="s">
        <v>64</v>
      </c>
      <c r="P573" s="3" t="s">
        <v>2331</v>
      </c>
      <c r="R573" s="3" t="s">
        <v>67</v>
      </c>
      <c r="S573" s="4">
        <v>1</v>
      </c>
      <c r="T573" s="4">
        <v>1</v>
      </c>
      <c r="U573" s="5" t="s">
        <v>7586</v>
      </c>
      <c r="V573" s="5" t="s">
        <v>7586</v>
      </c>
      <c r="W573" s="5" t="s">
        <v>7586</v>
      </c>
      <c r="X573" s="5" t="s">
        <v>7586</v>
      </c>
      <c r="Y573" s="4">
        <v>210</v>
      </c>
      <c r="Z573" s="4">
        <v>171</v>
      </c>
      <c r="AA573" s="4">
        <v>175</v>
      </c>
      <c r="AB573" s="4">
        <v>2</v>
      </c>
      <c r="AC573" s="4">
        <v>2</v>
      </c>
      <c r="AD573" s="4">
        <v>10</v>
      </c>
      <c r="AE573" s="4">
        <v>10</v>
      </c>
      <c r="AF573" s="4">
        <v>2</v>
      </c>
      <c r="AG573" s="4">
        <v>2</v>
      </c>
      <c r="AH573" s="4">
        <v>4</v>
      </c>
      <c r="AI573" s="4">
        <v>4</v>
      </c>
      <c r="AJ573" s="4">
        <v>6</v>
      </c>
      <c r="AK573" s="4">
        <v>6</v>
      </c>
      <c r="AL573" s="4">
        <v>1</v>
      </c>
      <c r="AM573" s="4">
        <v>1</v>
      </c>
      <c r="AN573" s="4">
        <v>0</v>
      </c>
      <c r="AO573" s="4">
        <v>0</v>
      </c>
      <c r="AP573" s="3" t="s">
        <v>58</v>
      </c>
      <c r="AQ573" s="3" t="s">
        <v>86</v>
      </c>
      <c r="AR573" s="6" t="str">
        <f>HYPERLINK("http://catalog.hathitrust.org/Record/004768683","HathiTrust Record")</f>
        <v>HathiTrust Record</v>
      </c>
      <c r="AS573" s="6" t="str">
        <f>HYPERLINK("https://creighton-primo.hosted.exlibrisgroup.com/primo-explore/search?tab=default_tab&amp;search_scope=EVERYTHING&amp;vid=01CRU&amp;lang=en_US&amp;offset=0&amp;query=any,contains,991004426389702656","Catalog Record")</f>
        <v>Catalog Record</v>
      </c>
      <c r="AT573" s="6" t="str">
        <f>HYPERLINK("http://www.worldcat.org/oclc/51810420","WorldCat Record")</f>
        <v>WorldCat Record</v>
      </c>
      <c r="AU573" s="3" t="s">
        <v>7587</v>
      </c>
      <c r="AV573" s="3" t="s">
        <v>7588</v>
      </c>
      <c r="AW573" s="3" t="s">
        <v>7589</v>
      </c>
      <c r="AX573" s="3" t="s">
        <v>7589</v>
      </c>
      <c r="AY573" s="3" t="s">
        <v>7590</v>
      </c>
      <c r="AZ573" s="3" t="s">
        <v>74</v>
      </c>
      <c r="BB573" s="3" t="s">
        <v>7591</v>
      </c>
      <c r="BC573" s="3" t="s">
        <v>7592</v>
      </c>
      <c r="BD573" s="3" t="s">
        <v>7593</v>
      </c>
    </row>
    <row r="574" spans="1:56" ht="42.75" customHeight="1" x14ac:dyDescent="0.25">
      <c r="A574" s="7" t="s">
        <v>58</v>
      </c>
      <c r="B574" s="2" t="s">
        <v>7594</v>
      </c>
      <c r="C574" s="2" t="s">
        <v>7595</v>
      </c>
      <c r="D574" s="2" t="s">
        <v>7596</v>
      </c>
      <c r="F574" s="3" t="s">
        <v>58</v>
      </c>
      <c r="G574" s="3" t="s">
        <v>59</v>
      </c>
      <c r="H574" s="3" t="s">
        <v>58</v>
      </c>
      <c r="I574" s="3" t="s">
        <v>58</v>
      </c>
      <c r="J574" s="3" t="s">
        <v>60</v>
      </c>
      <c r="K574" s="2" t="s">
        <v>7597</v>
      </c>
      <c r="L574" s="2" t="s">
        <v>7598</v>
      </c>
      <c r="M574" s="3" t="s">
        <v>371</v>
      </c>
      <c r="N574" s="2" t="s">
        <v>1736</v>
      </c>
      <c r="O574" s="3" t="s">
        <v>64</v>
      </c>
      <c r="P574" s="3" t="s">
        <v>99</v>
      </c>
      <c r="Q574" s="2" t="s">
        <v>7599</v>
      </c>
      <c r="R574" s="3" t="s">
        <v>67</v>
      </c>
      <c r="S574" s="4">
        <v>8</v>
      </c>
      <c r="T574" s="4">
        <v>8</v>
      </c>
      <c r="U574" s="5" t="s">
        <v>7600</v>
      </c>
      <c r="V574" s="5" t="s">
        <v>7600</v>
      </c>
      <c r="W574" s="5" t="s">
        <v>7601</v>
      </c>
      <c r="X574" s="5" t="s">
        <v>7601</v>
      </c>
      <c r="Y574" s="4">
        <v>683</v>
      </c>
      <c r="Z574" s="4">
        <v>575</v>
      </c>
      <c r="AA574" s="4">
        <v>582</v>
      </c>
      <c r="AB574" s="4">
        <v>3</v>
      </c>
      <c r="AC574" s="4">
        <v>3</v>
      </c>
      <c r="AD574" s="4">
        <v>17</v>
      </c>
      <c r="AE574" s="4">
        <v>17</v>
      </c>
      <c r="AF574" s="4">
        <v>5</v>
      </c>
      <c r="AG574" s="4">
        <v>5</v>
      </c>
      <c r="AH574" s="4">
        <v>4</v>
      </c>
      <c r="AI574" s="4">
        <v>4</v>
      </c>
      <c r="AJ574" s="4">
        <v>9</v>
      </c>
      <c r="AK574" s="4">
        <v>9</v>
      </c>
      <c r="AL574" s="4">
        <v>2</v>
      </c>
      <c r="AM574" s="4">
        <v>2</v>
      </c>
      <c r="AN574" s="4">
        <v>0</v>
      </c>
      <c r="AO574" s="4">
        <v>0</v>
      </c>
      <c r="AP574" s="3" t="s">
        <v>58</v>
      </c>
      <c r="AQ574" s="3" t="s">
        <v>86</v>
      </c>
      <c r="AR574" s="6" t="str">
        <f>HYPERLINK("http://catalog.hathitrust.org/Record/000398359","HathiTrust Record")</f>
        <v>HathiTrust Record</v>
      </c>
      <c r="AS574" s="6" t="str">
        <f>HYPERLINK("https://creighton-primo.hosted.exlibrisgroup.com/primo-explore/search?tab=default_tab&amp;search_scope=EVERYTHING&amp;vid=01CRU&amp;lang=en_US&amp;offset=0&amp;query=any,contains,991000864309702656","Catalog Record")</f>
        <v>Catalog Record</v>
      </c>
      <c r="AT574" s="6" t="str">
        <f>HYPERLINK("http://www.worldcat.org/oclc/13703112","WorldCat Record")</f>
        <v>WorldCat Record</v>
      </c>
      <c r="AU574" s="3" t="s">
        <v>7602</v>
      </c>
      <c r="AV574" s="3" t="s">
        <v>7603</v>
      </c>
      <c r="AW574" s="3" t="s">
        <v>7604</v>
      </c>
      <c r="AX574" s="3" t="s">
        <v>7604</v>
      </c>
      <c r="AY574" s="3" t="s">
        <v>7605</v>
      </c>
      <c r="AZ574" s="3" t="s">
        <v>74</v>
      </c>
      <c r="BB574" s="3" t="s">
        <v>7606</v>
      </c>
      <c r="BC574" s="3" t="s">
        <v>7607</v>
      </c>
      <c r="BD574" s="3" t="s">
        <v>7608</v>
      </c>
    </row>
    <row r="575" spans="1:56" ht="42.75" customHeight="1" x14ac:dyDescent="0.25">
      <c r="A575" s="7" t="s">
        <v>58</v>
      </c>
      <c r="B575" s="2" t="s">
        <v>7609</v>
      </c>
      <c r="C575" s="2" t="s">
        <v>7610</v>
      </c>
      <c r="D575" s="2" t="s">
        <v>7611</v>
      </c>
      <c r="F575" s="3" t="s">
        <v>58</v>
      </c>
      <c r="G575" s="3" t="s">
        <v>59</v>
      </c>
      <c r="H575" s="3" t="s">
        <v>58</v>
      </c>
      <c r="I575" s="3" t="s">
        <v>58</v>
      </c>
      <c r="J575" s="3" t="s">
        <v>60</v>
      </c>
      <c r="L575" s="2" t="s">
        <v>7612</v>
      </c>
      <c r="M575" s="3" t="s">
        <v>586</v>
      </c>
      <c r="O575" s="3" t="s">
        <v>64</v>
      </c>
      <c r="P575" s="3" t="s">
        <v>65</v>
      </c>
      <c r="R575" s="3" t="s">
        <v>67</v>
      </c>
      <c r="S575" s="4">
        <v>6</v>
      </c>
      <c r="T575" s="4">
        <v>6</v>
      </c>
      <c r="U575" s="5" t="s">
        <v>7613</v>
      </c>
      <c r="V575" s="5" t="s">
        <v>7613</v>
      </c>
      <c r="W575" s="5" t="s">
        <v>7614</v>
      </c>
      <c r="X575" s="5" t="s">
        <v>7614</v>
      </c>
      <c r="Y575" s="4">
        <v>184</v>
      </c>
      <c r="Z575" s="4">
        <v>132</v>
      </c>
      <c r="AA575" s="4">
        <v>141</v>
      </c>
      <c r="AB575" s="4">
        <v>2</v>
      </c>
      <c r="AC575" s="4">
        <v>2</v>
      </c>
      <c r="AD575" s="4">
        <v>6</v>
      </c>
      <c r="AE575" s="4">
        <v>6</v>
      </c>
      <c r="AF575" s="4">
        <v>3</v>
      </c>
      <c r="AG575" s="4">
        <v>3</v>
      </c>
      <c r="AH575" s="4">
        <v>2</v>
      </c>
      <c r="AI575" s="4">
        <v>2</v>
      </c>
      <c r="AJ575" s="4">
        <v>2</v>
      </c>
      <c r="AK575" s="4">
        <v>2</v>
      </c>
      <c r="AL575" s="4">
        <v>1</v>
      </c>
      <c r="AM575" s="4">
        <v>1</v>
      </c>
      <c r="AN575" s="4">
        <v>0</v>
      </c>
      <c r="AO575" s="4">
        <v>0</v>
      </c>
      <c r="AP575" s="3" t="s">
        <v>58</v>
      </c>
      <c r="AQ575" s="3" t="s">
        <v>58</v>
      </c>
      <c r="AS575" s="6" t="str">
        <f>HYPERLINK("https://creighton-primo.hosted.exlibrisgroup.com/primo-explore/search?tab=default_tab&amp;search_scope=EVERYTHING&amp;vid=01CRU&amp;lang=en_US&amp;offset=0&amp;query=any,contains,991001857019702656","Catalog Record")</f>
        <v>Catalog Record</v>
      </c>
      <c r="AT575" s="6" t="str">
        <f>HYPERLINK("http://www.worldcat.org/oclc/23287800","WorldCat Record")</f>
        <v>WorldCat Record</v>
      </c>
      <c r="AU575" s="3" t="s">
        <v>7615</v>
      </c>
      <c r="AV575" s="3" t="s">
        <v>7616</v>
      </c>
      <c r="AW575" s="3" t="s">
        <v>7617</v>
      </c>
      <c r="AX575" s="3" t="s">
        <v>7617</v>
      </c>
      <c r="AY575" s="3" t="s">
        <v>7618</v>
      </c>
      <c r="AZ575" s="3" t="s">
        <v>74</v>
      </c>
      <c r="BB575" s="3" t="s">
        <v>7619</v>
      </c>
      <c r="BC575" s="3" t="s">
        <v>7620</v>
      </c>
      <c r="BD575" s="3" t="s">
        <v>7621</v>
      </c>
    </row>
    <row r="576" spans="1:56" ht="42.75" customHeight="1" x14ac:dyDescent="0.25">
      <c r="A576" s="7" t="s">
        <v>58</v>
      </c>
      <c r="B576" s="2" t="s">
        <v>7622</v>
      </c>
      <c r="C576" s="2" t="s">
        <v>7623</v>
      </c>
      <c r="D576" s="2" t="s">
        <v>7624</v>
      </c>
      <c r="F576" s="3" t="s">
        <v>58</v>
      </c>
      <c r="G576" s="3" t="s">
        <v>59</v>
      </c>
      <c r="H576" s="3" t="s">
        <v>58</v>
      </c>
      <c r="I576" s="3" t="s">
        <v>58</v>
      </c>
      <c r="J576" s="3" t="s">
        <v>60</v>
      </c>
      <c r="L576" s="2" t="s">
        <v>7625</v>
      </c>
      <c r="M576" s="3" t="s">
        <v>534</v>
      </c>
      <c r="O576" s="3" t="s">
        <v>64</v>
      </c>
      <c r="P576" s="3" t="s">
        <v>65</v>
      </c>
      <c r="R576" s="3" t="s">
        <v>67</v>
      </c>
      <c r="S576" s="4">
        <v>13</v>
      </c>
      <c r="T576" s="4">
        <v>13</v>
      </c>
      <c r="U576" s="5" t="s">
        <v>7626</v>
      </c>
      <c r="V576" s="5" t="s">
        <v>7626</v>
      </c>
      <c r="W576" s="5" t="s">
        <v>7627</v>
      </c>
      <c r="X576" s="5" t="s">
        <v>7627</v>
      </c>
      <c r="Y576" s="4">
        <v>343</v>
      </c>
      <c r="Z576" s="4">
        <v>249</v>
      </c>
      <c r="AA576" s="4">
        <v>281</v>
      </c>
      <c r="AB576" s="4">
        <v>1</v>
      </c>
      <c r="AC576" s="4">
        <v>1</v>
      </c>
      <c r="AD576" s="4">
        <v>18</v>
      </c>
      <c r="AE576" s="4">
        <v>18</v>
      </c>
      <c r="AF576" s="4">
        <v>6</v>
      </c>
      <c r="AG576" s="4">
        <v>6</v>
      </c>
      <c r="AH576" s="4">
        <v>5</v>
      </c>
      <c r="AI576" s="4">
        <v>5</v>
      </c>
      <c r="AJ576" s="4">
        <v>14</v>
      </c>
      <c r="AK576" s="4">
        <v>14</v>
      </c>
      <c r="AL576" s="4">
        <v>0</v>
      </c>
      <c r="AM576" s="4">
        <v>0</v>
      </c>
      <c r="AN576" s="4">
        <v>0</v>
      </c>
      <c r="AO576" s="4">
        <v>0</v>
      </c>
      <c r="AP576" s="3" t="s">
        <v>58</v>
      </c>
      <c r="AQ576" s="3" t="s">
        <v>58</v>
      </c>
      <c r="AS576" s="6" t="str">
        <f>HYPERLINK("https://creighton-primo.hosted.exlibrisgroup.com/primo-explore/search?tab=default_tab&amp;search_scope=EVERYTHING&amp;vid=01CRU&amp;lang=en_US&amp;offset=0&amp;query=any,contains,991001516579702656","Catalog Record")</f>
        <v>Catalog Record</v>
      </c>
      <c r="AT576" s="6" t="str">
        <f>HYPERLINK("http://www.worldcat.org/oclc/19922832","WorldCat Record")</f>
        <v>WorldCat Record</v>
      </c>
      <c r="AU576" s="3" t="s">
        <v>7628</v>
      </c>
      <c r="AV576" s="3" t="s">
        <v>7629</v>
      </c>
      <c r="AW576" s="3" t="s">
        <v>7630</v>
      </c>
      <c r="AX576" s="3" t="s">
        <v>7630</v>
      </c>
      <c r="AY576" s="3" t="s">
        <v>7631</v>
      </c>
      <c r="AZ576" s="3" t="s">
        <v>74</v>
      </c>
      <c r="BB576" s="3" t="s">
        <v>7632</v>
      </c>
      <c r="BC576" s="3" t="s">
        <v>7633</v>
      </c>
      <c r="BD576" s="3" t="s">
        <v>7634</v>
      </c>
    </row>
    <row r="577" spans="1:56" ht="42.75" customHeight="1" x14ac:dyDescent="0.25">
      <c r="A577" s="7" t="s">
        <v>58</v>
      </c>
      <c r="B577" s="2" t="s">
        <v>7635</v>
      </c>
      <c r="C577" s="2" t="s">
        <v>7636</v>
      </c>
      <c r="D577" s="2" t="s">
        <v>7637</v>
      </c>
      <c r="F577" s="3" t="s">
        <v>58</v>
      </c>
      <c r="G577" s="3" t="s">
        <v>59</v>
      </c>
      <c r="H577" s="3" t="s">
        <v>86</v>
      </c>
      <c r="I577" s="3" t="s">
        <v>58</v>
      </c>
      <c r="J577" s="3" t="s">
        <v>60</v>
      </c>
      <c r="K577" s="2" t="s">
        <v>7638</v>
      </c>
      <c r="L577" s="2" t="s">
        <v>7639</v>
      </c>
      <c r="M577" s="3" t="s">
        <v>82</v>
      </c>
      <c r="O577" s="3" t="s">
        <v>64</v>
      </c>
      <c r="P577" s="3" t="s">
        <v>115</v>
      </c>
      <c r="Q577" s="2" t="s">
        <v>7640</v>
      </c>
      <c r="R577" s="3" t="s">
        <v>67</v>
      </c>
      <c r="S577" s="4">
        <v>6</v>
      </c>
      <c r="T577" s="4">
        <v>6</v>
      </c>
      <c r="U577" s="5" t="s">
        <v>2186</v>
      </c>
      <c r="V577" s="5" t="s">
        <v>2186</v>
      </c>
      <c r="W577" s="5" t="s">
        <v>7090</v>
      </c>
      <c r="X577" s="5" t="s">
        <v>7090</v>
      </c>
      <c r="Y577" s="4">
        <v>344</v>
      </c>
      <c r="Z577" s="4">
        <v>283</v>
      </c>
      <c r="AA577" s="4">
        <v>283</v>
      </c>
      <c r="AB577" s="4">
        <v>5</v>
      </c>
      <c r="AC577" s="4">
        <v>5</v>
      </c>
      <c r="AD577" s="4">
        <v>20</v>
      </c>
      <c r="AE577" s="4">
        <v>20</v>
      </c>
      <c r="AF577" s="4">
        <v>5</v>
      </c>
      <c r="AG577" s="4">
        <v>5</v>
      </c>
      <c r="AH577" s="4">
        <v>5</v>
      </c>
      <c r="AI577" s="4">
        <v>5</v>
      </c>
      <c r="AJ577" s="4">
        <v>12</v>
      </c>
      <c r="AK577" s="4">
        <v>12</v>
      </c>
      <c r="AL577" s="4">
        <v>3</v>
      </c>
      <c r="AM577" s="4">
        <v>3</v>
      </c>
      <c r="AN577" s="4">
        <v>0</v>
      </c>
      <c r="AO577" s="4">
        <v>0</v>
      </c>
      <c r="AP577" s="3" t="s">
        <v>58</v>
      </c>
      <c r="AQ577" s="3" t="s">
        <v>58</v>
      </c>
      <c r="AS577" s="6" t="str">
        <f>HYPERLINK("https://creighton-primo.hosted.exlibrisgroup.com/primo-explore/search?tab=default_tab&amp;search_scope=EVERYTHING&amp;vid=01CRU&amp;lang=en_US&amp;offset=0&amp;query=any,contains,991001002469702656","Catalog Record")</f>
        <v>Catalog Record</v>
      </c>
      <c r="AT577" s="6" t="str">
        <f>HYPERLINK("http://www.worldcat.org/oclc/15220957","WorldCat Record")</f>
        <v>WorldCat Record</v>
      </c>
      <c r="AU577" s="3" t="s">
        <v>7641</v>
      </c>
      <c r="AV577" s="3" t="s">
        <v>7642</v>
      </c>
      <c r="AW577" s="3" t="s">
        <v>7643</v>
      </c>
      <c r="AX577" s="3" t="s">
        <v>7643</v>
      </c>
      <c r="AY577" s="3" t="s">
        <v>7644</v>
      </c>
      <c r="AZ577" s="3" t="s">
        <v>74</v>
      </c>
      <c r="BB577" s="3" t="s">
        <v>7645</v>
      </c>
      <c r="BC577" s="3" t="s">
        <v>7646</v>
      </c>
      <c r="BD577" s="3" t="s">
        <v>7647</v>
      </c>
    </row>
    <row r="578" spans="1:56" ht="42.75" customHeight="1" x14ac:dyDescent="0.25">
      <c r="A578" s="7" t="s">
        <v>58</v>
      </c>
      <c r="B578" s="2" t="s">
        <v>7648</v>
      </c>
      <c r="C578" s="2" t="s">
        <v>7649</v>
      </c>
      <c r="D578" s="2" t="s">
        <v>7650</v>
      </c>
      <c r="F578" s="3" t="s">
        <v>58</v>
      </c>
      <c r="G578" s="3" t="s">
        <v>59</v>
      </c>
      <c r="H578" s="3" t="s">
        <v>58</v>
      </c>
      <c r="I578" s="3" t="s">
        <v>58</v>
      </c>
      <c r="J578" s="3" t="s">
        <v>60</v>
      </c>
      <c r="K578" s="2" t="s">
        <v>7651</v>
      </c>
      <c r="L578" s="2" t="s">
        <v>7652</v>
      </c>
      <c r="M578" s="3" t="s">
        <v>480</v>
      </c>
      <c r="O578" s="3" t="s">
        <v>64</v>
      </c>
      <c r="P578" s="3" t="s">
        <v>115</v>
      </c>
      <c r="R578" s="3" t="s">
        <v>67</v>
      </c>
      <c r="S578" s="4">
        <v>11</v>
      </c>
      <c r="T578" s="4">
        <v>11</v>
      </c>
      <c r="U578" s="5" t="s">
        <v>7653</v>
      </c>
      <c r="V578" s="5" t="s">
        <v>7653</v>
      </c>
      <c r="W578" s="5" t="s">
        <v>7654</v>
      </c>
      <c r="X578" s="5" t="s">
        <v>7654</v>
      </c>
      <c r="Y578" s="4">
        <v>250</v>
      </c>
      <c r="Z578" s="4">
        <v>205</v>
      </c>
      <c r="AA578" s="4">
        <v>212</v>
      </c>
      <c r="AB578" s="4">
        <v>1</v>
      </c>
      <c r="AC578" s="4">
        <v>1</v>
      </c>
      <c r="AD578" s="4">
        <v>7</v>
      </c>
      <c r="AE578" s="4">
        <v>7</v>
      </c>
      <c r="AF578" s="4">
        <v>2</v>
      </c>
      <c r="AG578" s="4">
        <v>2</v>
      </c>
      <c r="AH578" s="4">
        <v>0</v>
      </c>
      <c r="AI578" s="4">
        <v>0</v>
      </c>
      <c r="AJ578" s="4">
        <v>7</v>
      </c>
      <c r="AK578" s="4">
        <v>7</v>
      </c>
      <c r="AL578" s="4">
        <v>0</v>
      </c>
      <c r="AM578" s="4">
        <v>0</v>
      </c>
      <c r="AN578" s="4">
        <v>0</v>
      </c>
      <c r="AO578" s="4">
        <v>0</v>
      </c>
      <c r="AP578" s="3" t="s">
        <v>58</v>
      </c>
      <c r="AQ578" s="3" t="s">
        <v>86</v>
      </c>
      <c r="AR578" s="6" t="str">
        <f>HYPERLINK("http://catalog.hathitrust.org/Record/001292330","HathiTrust Record")</f>
        <v>HathiTrust Record</v>
      </c>
      <c r="AS578" s="6" t="str">
        <f>HYPERLINK("https://creighton-primo.hosted.exlibrisgroup.com/primo-explore/search?tab=default_tab&amp;search_scope=EVERYTHING&amp;vid=01CRU&amp;lang=en_US&amp;offset=0&amp;query=any,contains,991001345679702656","Catalog Record")</f>
        <v>Catalog Record</v>
      </c>
      <c r="AT578" s="6" t="str">
        <f>HYPERLINK("http://www.worldcat.org/oclc/18413551","WorldCat Record")</f>
        <v>WorldCat Record</v>
      </c>
      <c r="AU578" s="3" t="s">
        <v>7655</v>
      </c>
      <c r="AV578" s="3" t="s">
        <v>7656</v>
      </c>
      <c r="AW578" s="3" t="s">
        <v>7657</v>
      </c>
      <c r="AX578" s="3" t="s">
        <v>7657</v>
      </c>
      <c r="AY578" s="3" t="s">
        <v>7658</v>
      </c>
      <c r="AZ578" s="3" t="s">
        <v>74</v>
      </c>
      <c r="BB578" s="3" t="s">
        <v>7659</v>
      </c>
      <c r="BC578" s="3" t="s">
        <v>7660</v>
      </c>
      <c r="BD578" s="3" t="s">
        <v>7661</v>
      </c>
    </row>
    <row r="579" spans="1:56" ht="42.75" customHeight="1" x14ac:dyDescent="0.25">
      <c r="A579" s="7" t="s">
        <v>58</v>
      </c>
      <c r="B579" s="2" t="s">
        <v>7662</v>
      </c>
      <c r="C579" s="2" t="s">
        <v>7663</v>
      </c>
      <c r="D579" s="2" t="s">
        <v>7664</v>
      </c>
      <c r="F579" s="3" t="s">
        <v>58</v>
      </c>
      <c r="G579" s="3" t="s">
        <v>59</v>
      </c>
      <c r="H579" s="3" t="s">
        <v>58</v>
      </c>
      <c r="I579" s="3" t="s">
        <v>58</v>
      </c>
      <c r="J579" s="3" t="s">
        <v>60</v>
      </c>
      <c r="L579" s="2" t="s">
        <v>3285</v>
      </c>
      <c r="M579" s="3" t="s">
        <v>695</v>
      </c>
      <c r="O579" s="3" t="s">
        <v>64</v>
      </c>
      <c r="P579" s="3" t="s">
        <v>115</v>
      </c>
      <c r="Q579" s="2" t="s">
        <v>7665</v>
      </c>
      <c r="R579" s="3" t="s">
        <v>67</v>
      </c>
      <c r="S579" s="4">
        <v>4</v>
      </c>
      <c r="T579" s="4">
        <v>4</v>
      </c>
      <c r="U579" s="5" t="s">
        <v>7666</v>
      </c>
      <c r="V579" s="5" t="s">
        <v>7666</v>
      </c>
      <c r="W579" s="5" t="s">
        <v>7667</v>
      </c>
      <c r="X579" s="5" t="s">
        <v>7667</v>
      </c>
      <c r="Y579" s="4">
        <v>927</v>
      </c>
      <c r="Z579" s="4">
        <v>763</v>
      </c>
      <c r="AA579" s="4">
        <v>784</v>
      </c>
      <c r="AB579" s="4">
        <v>8</v>
      </c>
      <c r="AC579" s="4">
        <v>8</v>
      </c>
      <c r="AD579" s="4">
        <v>37</v>
      </c>
      <c r="AE579" s="4">
        <v>38</v>
      </c>
      <c r="AF579" s="4">
        <v>17</v>
      </c>
      <c r="AG579" s="4">
        <v>18</v>
      </c>
      <c r="AH579" s="4">
        <v>6</v>
      </c>
      <c r="AI579" s="4">
        <v>6</v>
      </c>
      <c r="AJ579" s="4">
        <v>19</v>
      </c>
      <c r="AK579" s="4">
        <v>19</v>
      </c>
      <c r="AL579" s="4">
        <v>7</v>
      </c>
      <c r="AM579" s="4">
        <v>7</v>
      </c>
      <c r="AN579" s="4">
        <v>0</v>
      </c>
      <c r="AO579" s="4">
        <v>0</v>
      </c>
      <c r="AP579" s="3" t="s">
        <v>58</v>
      </c>
      <c r="AQ579" s="3" t="s">
        <v>86</v>
      </c>
      <c r="AR579" s="6" t="str">
        <f>HYPERLINK("http://catalog.hathitrust.org/Record/002645645","HathiTrust Record")</f>
        <v>HathiTrust Record</v>
      </c>
      <c r="AS579" s="6" t="str">
        <f>HYPERLINK("https://creighton-primo.hosted.exlibrisgroup.com/primo-explore/search?tab=default_tab&amp;search_scope=EVERYTHING&amp;vid=01CRU&amp;lang=en_US&amp;offset=0&amp;query=any,contains,991002152949702656","Catalog Record")</f>
        <v>Catalog Record</v>
      </c>
      <c r="AT579" s="6" t="str">
        <f>HYPERLINK("http://www.worldcat.org/oclc/27729279","WorldCat Record")</f>
        <v>WorldCat Record</v>
      </c>
      <c r="AU579" s="3" t="s">
        <v>7668</v>
      </c>
      <c r="AV579" s="3" t="s">
        <v>7669</v>
      </c>
      <c r="AW579" s="3" t="s">
        <v>7670</v>
      </c>
      <c r="AX579" s="3" t="s">
        <v>7670</v>
      </c>
      <c r="AY579" s="3" t="s">
        <v>7671</v>
      </c>
      <c r="AZ579" s="3" t="s">
        <v>74</v>
      </c>
      <c r="BB579" s="3" t="s">
        <v>7672</v>
      </c>
      <c r="BC579" s="3" t="s">
        <v>7673</v>
      </c>
      <c r="BD579" s="3" t="s">
        <v>7674</v>
      </c>
    </row>
    <row r="580" spans="1:56" ht="42.75" customHeight="1" x14ac:dyDescent="0.25">
      <c r="A580" s="7" t="s">
        <v>58</v>
      </c>
      <c r="B580" s="2" t="s">
        <v>7675</v>
      </c>
      <c r="C580" s="2" t="s">
        <v>7676</v>
      </c>
      <c r="D580" s="2" t="s">
        <v>7677</v>
      </c>
      <c r="F580" s="3" t="s">
        <v>58</v>
      </c>
      <c r="G580" s="3" t="s">
        <v>59</v>
      </c>
      <c r="H580" s="3" t="s">
        <v>58</v>
      </c>
      <c r="I580" s="3" t="s">
        <v>58</v>
      </c>
      <c r="J580" s="3" t="s">
        <v>60</v>
      </c>
      <c r="K580" s="2" t="s">
        <v>7678</v>
      </c>
      <c r="L580" s="2" t="s">
        <v>7679</v>
      </c>
      <c r="M580" s="3" t="s">
        <v>82</v>
      </c>
      <c r="O580" s="3" t="s">
        <v>64</v>
      </c>
      <c r="P580" s="3" t="s">
        <v>115</v>
      </c>
      <c r="R580" s="3" t="s">
        <v>67</v>
      </c>
      <c r="S580" s="4">
        <v>8</v>
      </c>
      <c r="T580" s="4">
        <v>8</v>
      </c>
      <c r="U580" s="5" t="s">
        <v>7680</v>
      </c>
      <c r="V580" s="5" t="s">
        <v>7680</v>
      </c>
      <c r="W580" s="5" t="s">
        <v>7681</v>
      </c>
      <c r="X580" s="5" t="s">
        <v>7681</v>
      </c>
      <c r="Y580" s="4">
        <v>252</v>
      </c>
      <c r="Z580" s="4">
        <v>205</v>
      </c>
      <c r="AA580" s="4">
        <v>207</v>
      </c>
      <c r="AB580" s="4">
        <v>3</v>
      </c>
      <c r="AC580" s="4">
        <v>3</v>
      </c>
      <c r="AD580" s="4">
        <v>11</v>
      </c>
      <c r="AE580" s="4">
        <v>11</v>
      </c>
      <c r="AF580" s="4">
        <v>3</v>
      </c>
      <c r="AG580" s="4">
        <v>3</v>
      </c>
      <c r="AH580" s="4">
        <v>2</v>
      </c>
      <c r="AI580" s="4">
        <v>2</v>
      </c>
      <c r="AJ580" s="4">
        <v>7</v>
      </c>
      <c r="AK580" s="4">
        <v>7</v>
      </c>
      <c r="AL580" s="4">
        <v>2</v>
      </c>
      <c r="AM580" s="4">
        <v>2</v>
      </c>
      <c r="AN580" s="4">
        <v>0</v>
      </c>
      <c r="AO580" s="4">
        <v>0</v>
      </c>
      <c r="AP580" s="3" t="s">
        <v>58</v>
      </c>
      <c r="AQ580" s="3" t="s">
        <v>86</v>
      </c>
      <c r="AR580" s="6" t="str">
        <f>HYPERLINK("http://catalog.hathitrust.org/Record/000870739","HathiTrust Record")</f>
        <v>HathiTrust Record</v>
      </c>
      <c r="AS580" s="6" t="str">
        <f>HYPERLINK("https://creighton-primo.hosted.exlibrisgroup.com/primo-explore/search?tab=default_tab&amp;search_scope=EVERYTHING&amp;vid=01CRU&amp;lang=en_US&amp;offset=0&amp;query=any,contains,991001007119702656","Catalog Record")</f>
        <v>Catalog Record</v>
      </c>
      <c r="AT580" s="6" t="str">
        <f>HYPERLINK("http://www.worldcat.org/oclc/15252050","WorldCat Record")</f>
        <v>WorldCat Record</v>
      </c>
      <c r="AU580" s="3" t="s">
        <v>7682</v>
      </c>
      <c r="AV580" s="3" t="s">
        <v>7683</v>
      </c>
      <c r="AW580" s="3" t="s">
        <v>7684</v>
      </c>
      <c r="AX580" s="3" t="s">
        <v>7684</v>
      </c>
      <c r="AY580" s="3" t="s">
        <v>7685</v>
      </c>
      <c r="AZ580" s="3" t="s">
        <v>74</v>
      </c>
      <c r="BB580" s="3" t="s">
        <v>7686</v>
      </c>
      <c r="BC580" s="3" t="s">
        <v>7687</v>
      </c>
      <c r="BD580" s="3" t="s">
        <v>7688</v>
      </c>
    </row>
    <row r="581" spans="1:56" ht="42.75" customHeight="1" x14ac:dyDescent="0.25">
      <c r="A581" s="7" t="s">
        <v>58</v>
      </c>
      <c r="B581" s="2" t="s">
        <v>7689</v>
      </c>
      <c r="C581" s="2" t="s">
        <v>7690</v>
      </c>
      <c r="D581" s="2" t="s">
        <v>7691</v>
      </c>
      <c r="F581" s="3" t="s">
        <v>58</v>
      </c>
      <c r="G581" s="3" t="s">
        <v>59</v>
      </c>
      <c r="H581" s="3" t="s">
        <v>58</v>
      </c>
      <c r="I581" s="3" t="s">
        <v>58</v>
      </c>
      <c r="J581" s="3" t="s">
        <v>60</v>
      </c>
      <c r="L581" s="2" t="s">
        <v>7692</v>
      </c>
      <c r="M581" s="3" t="s">
        <v>238</v>
      </c>
      <c r="O581" s="3" t="s">
        <v>64</v>
      </c>
      <c r="P581" s="3" t="s">
        <v>115</v>
      </c>
      <c r="R581" s="3" t="s">
        <v>67</v>
      </c>
      <c r="S581" s="4">
        <v>1</v>
      </c>
      <c r="T581" s="4">
        <v>1</v>
      </c>
      <c r="U581" s="5" t="s">
        <v>7693</v>
      </c>
      <c r="V581" s="5" t="s">
        <v>7693</v>
      </c>
      <c r="W581" s="5" t="s">
        <v>7090</v>
      </c>
      <c r="X581" s="5" t="s">
        <v>7090</v>
      </c>
      <c r="Y581" s="4">
        <v>362</v>
      </c>
      <c r="Z581" s="4">
        <v>290</v>
      </c>
      <c r="AA581" s="4">
        <v>297</v>
      </c>
      <c r="AB581" s="4">
        <v>2</v>
      </c>
      <c r="AC581" s="4">
        <v>2</v>
      </c>
      <c r="AD581" s="4">
        <v>12</v>
      </c>
      <c r="AE581" s="4">
        <v>12</v>
      </c>
      <c r="AF581" s="4">
        <v>3</v>
      </c>
      <c r="AG581" s="4">
        <v>3</v>
      </c>
      <c r="AH581" s="4">
        <v>4</v>
      </c>
      <c r="AI581" s="4">
        <v>4</v>
      </c>
      <c r="AJ581" s="4">
        <v>8</v>
      </c>
      <c r="AK581" s="4">
        <v>8</v>
      </c>
      <c r="AL581" s="4">
        <v>1</v>
      </c>
      <c r="AM581" s="4">
        <v>1</v>
      </c>
      <c r="AN581" s="4">
        <v>0</v>
      </c>
      <c r="AO581" s="4">
        <v>0</v>
      </c>
      <c r="AP581" s="3" t="s">
        <v>58</v>
      </c>
      <c r="AQ581" s="3" t="s">
        <v>86</v>
      </c>
      <c r="AR581" s="6" t="str">
        <f>HYPERLINK("http://catalog.hathitrust.org/Record/000257522","HathiTrust Record")</f>
        <v>HathiTrust Record</v>
      </c>
      <c r="AS581" s="6" t="str">
        <f>HYPERLINK("https://creighton-primo.hosted.exlibrisgroup.com/primo-explore/search?tab=default_tab&amp;search_scope=EVERYTHING&amp;vid=01CRU&amp;lang=en_US&amp;offset=0&amp;query=any,contains,991004670439702656","Catalog Record")</f>
        <v>Catalog Record</v>
      </c>
      <c r="AT581" s="6" t="str">
        <f>HYPERLINK("http://www.worldcat.org/oclc/4515367","WorldCat Record")</f>
        <v>WorldCat Record</v>
      </c>
      <c r="AU581" s="3" t="s">
        <v>7694</v>
      </c>
      <c r="AV581" s="3" t="s">
        <v>7695</v>
      </c>
      <c r="AW581" s="3" t="s">
        <v>7696</v>
      </c>
      <c r="AX581" s="3" t="s">
        <v>7696</v>
      </c>
      <c r="AY581" s="3" t="s">
        <v>7697</v>
      </c>
      <c r="AZ581" s="3" t="s">
        <v>74</v>
      </c>
      <c r="BB581" s="3" t="s">
        <v>7698</v>
      </c>
      <c r="BC581" s="3" t="s">
        <v>7699</v>
      </c>
      <c r="BD581" s="3" t="s">
        <v>7700</v>
      </c>
    </row>
    <row r="582" spans="1:56" ht="42.75" customHeight="1" x14ac:dyDescent="0.25">
      <c r="A582" s="7" t="s">
        <v>58</v>
      </c>
      <c r="B582" s="2" t="s">
        <v>7701</v>
      </c>
      <c r="C582" s="2" t="s">
        <v>7702</v>
      </c>
      <c r="D582" s="2" t="s">
        <v>7703</v>
      </c>
      <c r="F582" s="3" t="s">
        <v>58</v>
      </c>
      <c r="G582" s="3" t="s">
        <v>59</v>
      </c>
      <c r="H582" s="3" t="s">
        <v>58</v>
      </c>
      <c r="I582" s="3" t="s">
        <v>58</v>
      </c>
      <c r="J582" s="3" t="s">
        <v>60</v>
      </c>
      <c r="K582" s="2" t="s">
        <v>7704</v>
      </c>
      <c r="L582" s="2" t="s">
        <v>7705</v>
      </c>
      <c r="M582" s="3" t="s">
        <v>98</v>
      </c>
      <c r="O582" s="3" t="s">
        <v>64</v>
      </c>
      <c r="P582" s="3" t="s">
        <v>254</v>
      </c>
      <c r="R582" s="3" t="s">
        <v>67</v>
      </c>
      <c r="S582" s="4">
        <v>5</v>
      </c>
      <c r="T582" s="4">
        <v>5</v>
      </c>
      <c r="U582" s="5" t="s">
        <v>7706</v>
      </c>
      <c r="V582" s="5" t="s">
        <v>7706</v>
      </c>
      <c r="W582" s="5" t="s">
        <v>7707</v>
      </c>
      <c r="X582" s="5" t="s">
        <v>7707</v>
      </c>
      <c r="Y582" s="4">
        <v>1487</v>
      </c>
      <c r="Z582" s="4">
        <v>1322</v>
      </c>
      <c r="AA582" s="4">
        <v>2075</v>
      </c>
      <c r="AB582" s="4">
        <v>13</v>
      </c>
      <c r="AC582" s="4">
        <v>18</v>
      </c>
      <c r="AD582" s="4">
        <v>23</v>
      </c>
      <c r="AE582" s="4">
        <v>28</v>
      </c>
      <c r="AF582" s="4">
        <v>5</v>
      </c>
      <c r="AG582" s="4">
        <v>9</v>
      </c>
      <c r="AH582" s="4">
        <v>3</v>
      </c>
      <c r="AI582" s="4">
        <v>4</v>
      </c>
      <c r="AJ582" s="4">
        <v>13</v>
      </c>
      <c r="AK582" s="4">
        <v>13</v>
      </c>
      <c r="AL582" s="4">
        <v>6</v>
      </c>
      <c r="AM582" s="4">
        <v>7</v>
      </c>
      <c r="AN582" s="4">
        <v>0</v>
      </c>
      <c r="AO582" s="4">
        <v>0</v>
      </c>
      <c r="AP582" s="3" t="s">
        <v>58</v>
      </c>
      <c r="AQ582" s="3" t="s">
        <v>86</v>
      </c>
      <c r="AR582" s="6" t="str">
        <f>HYPERLINK("http://catalog.hathitrust.org/Record/002619280","HathiTrust Record")</f>
        <v>HathiTrust Record</v>
      </c>
      <c r="AS582" s="6" t="str">
        <f>HYPERLINK("https://creighton-primo.hosted.exlibrisgroup.com/primo-explore/search?tab=default_tab&amp;search_scope=EVERYTHING&amp;vid=01CRU&amp;lang=en_US&amp;offset=0&amp;query=any,contains,991003933349702656","Catalog Record")</f>
        <v>Catalog Record</v>
      </c>
      <c r="AT582" s="6" t="str">
        <f>HYPERLINK("http://www.worldcat.org/oclc/18162520","WorldCat Record")</f>
        <v>WorldCat Record</v>
      </c>
      <c r="AU582" s="3" t="s">
        <v>7708</v>
      </c>
      <c r="AV582" s="3" t="s">
        <v>7709</v>
      </c>
      <c r="AW582" s="3" t="s">
        <v>7710</v>
      </c>
      <c r="AX582" s="3" t="s">
        <v>7710</v>
      </c>
      <c r="AY582" s="3" t="s">
        <v>7711</v>
      </c>
      <c r="AZ582" s="3" t="s">
        <v>74</v>
      </c>
      <c r="BB582" s="3" t="s">
        <v>7712</v>
      </c>
      <c r="BC582" s="3" t="s">
        <v>7713</v>
      </c>
      <c r="BD582" s="3" t="s">
        <v>7714</v>
      </c>
    </row>
    <row r="583" spans="1:56" ht="42.75" customHeight="1" x14ac:dyDescent="0.25">
      <c r="A583" s="7" t="s">
        <v>58</v>
      </c>
      <c r="B583" s="2" t="s">
        <v>7715</v>
      </c>
      <c r="C583" s="2" t="s">
        <v>7716</v>
      </c>
      <c r="D583" s="2" t="s">
        <v>7717</v>
      </c>
      <c r="F583" s="3" t="s">
        <v>58</v>
      </c>
      <c r="G583" s="3" t="s">
        <v>59</v>
      </c>
      <c r="H583" s="3" t="s">
        <v>58</v>
      </c>
      <c r="I583" s="3" t="s">
        <v>58</v>
      </c>
      <c r="J583" s="3" t="s">
        <v>60</v>
      </c>
      <c r="K583" s="2" t="s">
        <v>7718</v>
      </c>
      <c r="L583" s="2" t="s">
        <v>7719</v>
      </c>
      <c r="M583" s="3" t="s">
        <v>586</v>
      </c>
      <c r="O583" s="3" t="s">
        <v>64</v>
      </c>
      <c r="P583" s="3" t="s">
        <v>1898</v>
      </c>
      <c r="R583" s="3" t="s">
        <v>67</v>
      </c>
      <c r="S583" s="4">
        <v>3</v>
      </c>
      <c r="T583" s="4">
        <v>3</v>
      </c>
      <c r="U583" s="5" t="s">
        <v>7720</v>
      </c>
      <c r="V583" s="5" t="s">
        <v>7720</v>
      </c>
      <c r="W583" s="5" t="s">
        <v>7627</v>
      </c>
      <c r="X583" s="5" t="s">
        <v>7627</v>
      </c>
      <c r="Y583" s="4">
        <v>356</v>
      </c>
      <c r="Z583" s="4">
        <v>319</v>
      </c>
      <c r="AA583" s="4">
        <v>339</v>
      </c>
      <c r="AB583" s="4">
        <v>2</v>
      </c>
      <c r="AC583" s="4">
        <v>2</v>
      </c>
      <c r="AD583" s="4">
        <v>9</v>
      </c>
      <c r="AE583" s="4">
        <v>9</v>
      </c>
      <c r="AF583" s="4">
        <v>2</v>
      </c>
      <c r="AG583" s="4">
        <v>2</v>
      </c>
      <c r="AH583" s="4">
        <v>1</v>
      </c>
      <c r="AI583" s="4">
        <v>1</v>
      </c>
      <c r="AJ583" s="4">
        <v>6</v>
      </c>
      <c r="AK583" s="4">
        <v>6</v>
      </c>
      <c r="AL583" s="4">
        <v>1</v>
      </c>
      <c r="AM583" s="4">
        <v>1</v>
      </c>
      <c r="AN583" s="4">
        <v>0</v>
      </c>
      <c r="AO583" s="4">
        <v>0</v>
      </c>
      <c r="AP583" s="3" t="s">
        <v>58</v>
      </c>
      <c r="AQ583" s="3" t="s">
        <v>86</v>
      </c>
      <c r="AR583" s="6" t="str">
        <f>HYPERLINK("http://catalog.hathitrust.org/Record/002499157","HathiTrust Record")</f>
        <v>HathiTrust Record</v>
      </c>
      <c r="AS583" s="6" t="str">
        <f>HYPERLINK("https://creighton-primo.hosted.exlibrisgroup.com/primo-explore/search?tab=default_tab&amp;search_scope=EVERYTHING&amp;vid=01CRU&amp;lang=en_US&amp;offset=0&amp;query=any,contains,991001866179702656","Catalog Record")</f>
        <v>Catalog Record</v>
      </c>
      <c r="AT583" s="6" t="str">
        <f>HYPERLINK("http://www.worldcat.org/oclc/23463289","WorldCat Record")</f>
        <v>WorldCat Record</v>
      </c>
      <c r="AU583" s="3" t="s">
        <v>7721</v>
      </c>
      <c r="AV583" s="3" t="s">
        <v>7722</v>
      </c>
      <c r="AW583" s="3" t="s">
        <v>7723</v>
      </c>
      <c r="AX583" s="3" t="s">
        <v>7723</v>
      </c>
      <c r="AY583" s="3" t="s">
        <v>7724</v>
      </c>
      <c r="AZ583" s="3" t="s">
        <v>74</v>
      </c>
      <c r="BB583" s="3" t="s">
        <v>7725</v>
      </c>
      <c r="BC583" s="3" t="s">
        <v>7726</v>
      </c>
      <c r="BD583" s="3" t="s">
        <v>7727</v>
      </c>
    </row>
    <row r="584" spans="1:56" ht="42.75" customHeight="1" x14ac:dyDescent="0.25">
      <c r="A584" s="7" t="s">
        <v>58</v>
      </c>
      <c r="B584" s="2" t="s">
        <v>7728</v>
      </c>
      <c r="C584" s="2" t="s">
        <v>7729</v>
      </c>
      <c r="D584" s="2" t="s">
        <v>7730</v>
      </c>
      <c r="F584" s="3" t="s">
        <v>58</v>
      </c>
      <c r="G584" s="3" t="s">
        <v>59</v>
      </c>
      <c r="H584" s="3" t="s">
        <v>86</v>
      </c>
      <c r="I584" s="3" t="s">
        <v>58</v>
      </c>
      <c r="J584" s="3" t="s">
        <v>60</v>
      </c>
      <c r="K584" s="2" t="s">
        <v>7731</v>
      </c>
      <c r="L584" s="2" t="s">
        <v>7732</v>
      </c>
      <c r="M584" s="3" t="s">
        <v>534</v>
      </c>
      <c r="N584" s="2" t="s">
        <v>1736</v>
      </c>
      <c r="O584" s="3" t="s">
        <v>64</v>
      </c>
      <c r="P584" s="3" t="s">
        <v>115</v>
      </c>
      <c r="R584" s="3" t="s">
        <v>67</v>
      </c>
      <c r="S584" s="4">
        <v>2</v>
      </c>
      <c r="T584" s="4">
        <v>12</v>
      </c>
      <c r="U584" s="5" t="s">
        <v>7733</v>
      </c>
      <c r="V584" s="5" t="s">
        <v>7734</v>
      </c>
      <c r="W584" s="5" t="s">
        <v>616</v>
      </c>
      <c r="X584" s="5" t="s">
        <v>616</v>
      </c>
      <c r="Y584" s="4">
        <v>347</v>
      </c>
      <c r="Z584" s="4">
        <v>288</v>
      </c>
      <c r="AA584" s="4">
        <v>288</v>
      </c>
      <c r="AB584" s="4">
        <v>4</v>
      </c>
      <c r="AC584" s="4">
        <v>4</v>
      </c>
      <c r="AD584" s="4">
        <v>15</v>
      </c>
      <c r="AE584" s="4">
        <v>15</v>
      </c>
      <c r="AF584" s="4">
        <v>4</v>
      </c>
      <c r="AG584" s="4">
        <v>4</v>
      </c>
      <c r="AH584" s="4">
        <v>2</v>
      </c>
      <c r="AI584" s="4">
        <v>2</v>
      </c>
      <c r="AJ584" s="4">
        <v>11</v>
      </c>
      <c r="AK584" s="4">
        <v>11</v>
      </c>
      <c r="AL584" s="4">
        <v>2</v>
      </c>
      <c r="AM584" s="4">
        <v>2</v>
      </c>
      <c r="AN584" s="4">
        <v>0</v>
      </c>
      <c r="AO584" s="4">
        <v>0</v>
      </c>
      <c r="AP584" s="3" t="s">
        <v>58</v>
      </c>
      <c r="AQ584" s="3" t="s">
        <v>58</v>
      </c>
      <c r="AS584" s="6" t="str">
        <f>HYPERLINK("https://creighton-primo.hosted.exlibrisgroup.com/primo-explore/search?tab=default_tab&amp;search_scope=EVERYTHING&amp;vid=01CRU&amp;lang=en_US&amp;offset=0&amp;query=any,contains,991001767859702656","Catalog Record")</f>
        <v>Catalog Record</v>
      </c>
      <c r="AT584" s="6" t="str">
        <f>HYPERLINK("http://www.worldcat.org/oclc/21520496","WorldCat Record")</f>
        <v>WorldCat Record</v>
      </c>
      <c r="AU584" s="3" t="s">
        <v>7735</v>
      </c>
      <c r="AV584" s="3" t="s">
        <v>7736</v>
      </c>
      <c r="AW584" s="3" t="s">
        <v>7737</v>
      </c>
      <c r="AX584" s="3" t="s">
        <v>7737</v>
      </c>
      <c r="AY584" s="3" t="s">
        <v>7738</v>
      </c>
      <c r="AZ584" s="3" t="s">
        <v>74</v>
      </c>
      <c r="BB584" s="3" t="s">
        <v>7739</v>
      </c>
      <c r="BC584" s="3" t="s">
        <v>7740</v>
      </c>
      <c r="BD584" s="3" t="s">
        <v>7741</v>
      </c>
    </row>
    <row r="585" spans="1:56" ht="42.75" customHeight="1" x14ac:dyDescent="0.25">
      <c r="A585" s="7" t="s">
        <v>58</v>
      </c>
      <c r="B585" s="2" t="s">
        <v>7742</v>
      </c>
      <c r="C585" s="2" t="s">
        <v>7743</v>
      </c>
      <c r="D585" s="2" t="s">
        <v>7744</v>
      </c>
      <c r="F585" s="3" t="s">
        <v>58</v>
      </c>
      <c r="G585" s="3" t="s">
        <v>59</v>
      </c>
      <c r="H585" s="3" t="s">
        <v>58</v>
      </c>
      <c r="I585" s="3" t="s">
        <v>58</v>
      </c>
      <c r="J585" s="3" t="s">
        <v>60</v>
      </c>
      <c r="L585" s="2" t="s">
        <v>7745</v>
      </c>
      <c r="M585" s="3" t="s">
        <v>480</v>
      </c>
      <c r="O585" s="3" t="s">
        <v>64</v>
      </c>
      <c r="P585" s="3" t="s">
        <v>115</v>
      </c>
      <c r="Q585" s="2" t="s">
        <v>7746</v>
      </c>
      <c r="R585" s="3" t="s">
        <v>67</v>
      </c>
      <c r="S585" s="4">
        <v>5</v>
      </c>
      <c r="T585" s="4">
        <v>5</v>
      </c>
      <c r="U585" s="5" t="s">
        <v>7747</v>
      </c>
      <c r="V585" s="5" t="s">
        <v>7747</v>
      </c>
      <c r="W585" s="5" t="s">
        <v>4848</v>
      </c>
      <c r="X585" s="5" t="s">
        <v>4848</v>
      </c>
      <c r="Y585" s="4">
        <v>434</v>
      </c>
      <c r="Z585" s="4">
        <v>349</v>
      </c>
      <c r="AA585" s="4">
        <v>357</v>
      </c>
      <c r="AB585" s="4">
        <v>4</v>
      </c>
      <c r="AC585" s="4">
        <v>4</v>
      </c>
      <c r="AD585" s="4">
        <v>18</v>
      </c>
      <c r="AE585" s="4">
        <v>18</v>
      </c>
      <c r="AF585" s="4">
        <v>4</v>
      </c>
      <c r="AG585" s="4">
        <v>4</v>
      </c>
      <c r="AH585" s="4">
        <v>6</v>
      </c>
      <c r="AI585" s="4">
        <v>6</v>
      </c>
      <c r="AJ585" s="4">
        <v>9</v>
      </c>
      <c r="AK585" s="4">
        <v>9</v>
      </c>
      <c r="AL585" s="4">
        <v>3</v>
      </c>
      <c r="AM585" s="4">
        <v>3</v>
      </c>
      <c r="AN585" s="4">
        <v>0</v>
      </c>
      <c r="AO585" s="4">
        <v>0</v>
      </c>
      <c r="AP585" s="3" t="s">
        <v>58</v>
      </c>
      <c r="AQ585" s="3" t="s">
        <v>86</v>
      </c>
      <c r="AR585" s="6" t="str">
        <f>HYPERLINK("http://catalog.hathitrust.org/Record/001096212","HathiTrust Record")</f>
        <v>HathiTrust Record</v>
      </c>
      <c r="AS585" s="6" t="str">
        <f>HYPERLINK("https://creighton-primo.hosted.exlibrisgroup.com/primo-explore/search?tab=default_tab&amp;search_scope=EVERYTHING&amp;vid=01CRU&amp;lang=en_US&amp;offset=0&amp;query=any,contains,991001308329702656","Catalog Record")</f>
        <v>Catalog Record</v>
      </c>
      <c r="AT585" s="6" t="str">
        <f>HYPERLINK("http://www.worldcat.org/oclc/18134591","WorldCat Record")</f>
        <v>WorldCat Record</v>
      </c>
      <c r="AU585" s="3" t="s">
        <v>7748</v>
      </c>
      <c r="AV585" s="3" t="s">
        <v>7749</v>
      </c>
      <c r="AW585" s="3" t="s">
        <v>7750</v>
      </c>
      <c r="AX585" s="3" t="s">
        <v>7750</v>
      </c>
      <c r="AY585" s="3" t="s">
        <v>7751</v>
      </c>
      <c r="AZ585" s="3" t="s">
        <v>74</v>
      </c>
      <c r="BB585" s="3" t="s">
        <v>7752</v>
      </c>
      <c r="BC585" s="3" t="s">
        <v>7753</v>
      </c>
      <c r="BD585" s="3" t="s">
        <v>7754</v>
      </c>
    </row>
    <row r="586" spans="1:56" ht="42.75" customHeight="1" x14ac:dyDescent="0.25">
      <c r="A586" s="7" t="s">
        <v>58</v>
      </c>
      <c r="B586" s="2" t="s">
        <v>7755</v>
      </c>
      <c r="C586" s="2" t="s">
        <v>7756</v>
      </c>
      <c r="D586" s="2" t="s">
        <v>7757</v>
      </c>
      <c r="F586" s="3" t="s">
        <v>58</v>
      </c>
      <c r="G586" s="3" t="s">
        <v>59</v>
      </c>
      <c r="H586" s="3" t="s">
        <v>58</v>
      </c>
      <c r="I586" s="3" t="s">
        <v>58</v>
      </c>
      <c r="J586" s="3" t="s">
        <v>60</v>
      </c>
      <c r="K586" s="2" t="s">
        <v>7758</v>
      </c>
      <c r="L586" s="2" t="s">
        <v>7759</v>
      </c>
      <c r="M586" s="3" t="s">
        <v>371</v>
      </c>
      <c r="O586" s="3" t="s">
        <v>64</v>
      </c>
      <c r="P586" s="3" t="s">
        <v>115</v>
      </c>
      <c r="R586" s="3" t="s">
        <v>67</v>
      </c>
      <c r="S586" s="4">
        <v>3</v>
      </c>
      <c r="T586" s="4">
        <v>3</v>
      </c>
      <c r="U586" s="5" t="s">
        <v>7760</v>
      </c>
      <c r="V586" s="5" t="s">
        <v>7760</v>
      </c>
      <c r="W586" s="5" t="s">
        <v>7090</v>
      </c>
      <c r="X586" s="5" t="s">
        <v>7090</v>
      </c>
      <c r="Y586" s="4">
        <v>417</v>
      </c>
      <c r="Z586" s="4">
        <v>346</v>
      </c>
      <c r="AA586" s="4">
        <v>370</v>
      </c>
      <c r="AB586" s="4">
        <v>2</v>
      </c>
      <c r="AC586" s="4">
        <v>2</v>
      </c>
      <c r="AD586" s="4">
        <v>12</v>
      </c>
      <c r="AE586" s="4">
        <v>13</v>
      </c>
      <c r="AF586" s="4">
        <v>4</v>
      </c>
      <c r="AG586" s="4">
        <v>5</v>
      </c>
      <c r="AH586" s="4">
        <v>2</v>
      </c>
      <c r="AI586" s="4">
        <v>2</v>
      </c>
      <c r="AJ586" s="4">
        <v>7</v>
      </c>
      <c r="AK586" s="4">
        <v>8</v>
      </c>
      <c r="AL586" s="4">
        <v>1</v>
      </c>
      <c r="AM586" s="4">
        <v>1</v>
      </c>
      <c r="AN586" s="4">
        <v>0</v>
      </c>
      <c r="AO586" s="4">
        <v>0</v>
      </c>
      <c r="AP586" s="3" t="s">
        <v>58</v>
      </c>
      <c r="AQ586" s="3" t="s">
        <v>86</v>
      </c>
      <c r="AR586" s="6" t="str">
        <f>HYPERLINK("http://catalog.hathitrust.org/Record/000403930","HathiTrust Record")</f>
        <v>HathiTrust Record</v>
      </c>
      <c r="AS586" s="6" t="str">
        <f>HYPERLINK("https://creighton-primo.hosted.exlibrisgroup.com/primo-explore/search?tab=default_tab&amp;search_scope=EVERYTHING&amp;vid=01CRU&amp;lang=en_US&amp;offset=0&amp;query=any,contains,991000870979702656","Catalog Record")</f>
        <v>Catalog Record</v>
      </c>
      <c r="AT586" s="6" t="str">
        <f>HYPERLINK("http://www.worldcat.org/oclc/13792595","WorldCat Record")</f>
        <v>WorldCat Record</v>
      </c>
      <c r="AU586" s="3" t="s">
        <v>7761</v>
      </c>
      <c r="AV586" s="3" t="s">
        <v>7762</v>
      </c>
      <c r="AW586" s="3" t="s">
        <v>7763</v>
      </c>
      <c r="AX586" s="3" t="s">
        <v>7763</v>
      </c>
      <c r="AY586" s="3" t="s">
        <v>7764</v>
      </c>
      <c r="AZ586" s="3" t="s">
        <v>74</v>
      </c>
      <c r="BB586" s="3" t="s">
        <v>7765</v>
      </c>
      <c r="BC586" s="3" t="s">
        <v>7766</v>
      </c>
      <c r="BD586" s="3" t="s">
        <v>7767</v>
      </c>
    </row>
    <row r="587" spans="1:56" ht="42.75" customHeight="1" x14ac:dyDescent="0.25">
      <c r="A587" s="7" t="s">
        <v>58</v>
      </c>
      <c r="B587" s="2" t="s">
        <v>7768</v>
      </c>
      <c r="C587" s="2" t="s">
        <v>7769</v>
      </c>
      <c r="D587" s="2" t="s">
        <v>7770</v>
      </c>
      <c r="F587" s="3" t="s">
        <v>58</v>
      </c>
      <c r="G587" s="3" t="s">
        <v>59</v>
      </c>
      <c r="H587" s="3" t="s">
        <v>58</v>
      </c>
      <c r="I587" s="3" t="s">
        <v>58</v>
      </c>
      <c r="J587" s="3" t="s">
        <v>60</v>
      </c>
      <c r="L587" s="2" t="s">
        <v>7771</v>
      </c>
      <c r="M587" s="3" t="s">
        <v>765</v>
      </c>
      <c r="N587" s="2" t="s">
        <v>1736</v>
      </c>
      <c r="O587" s="3" t="s">
        <v>64</v>
      </c>
      <c r="P587" s="3" t="s">
        <v>145</v>
      </c>
      <c r="Q587" s="2" t="s">
        <v>7772</v>
      </c>
      <c r="R587" s="3" t="s">
        <v>67</v>
      </c>
      <c r="S587" s="4">
        <v>29</v>
      </c>
      <c r="T587" s="4">
        <v>29</v>
      </c>
      <c r="U587" s="5" t="s">
        <v>3875</v>
      </c>
      <c r="V587" s="5" t="s">
        <v>3875</v>
      </c>
      <c r="W587" s="5" t="s">
        <v>7773</v>
      </c>
      <c r="X587" s="5" t="s">
        <v>7773</v>
      </c>
      <c r="Y587" s="4">
        <v>207</v>
      </c>
      <c r="Z587" s="4">
        <v>162</v>
      </c>
      <c r="AA587" s="4">
        <v>162</v>
      </c>
      <c r="AB587" s="4">
        <v>2</v>
      </c>
      <c r="AC587" s="4">
        <v>2</v>
      </c>
      <c r="AD587" s="4">
        <v>8</v>
      </c>
      <c r="AE587" s="4">
        <v>8</v>
      </c>
      <c r="AF587" s="4">
        <v>3</v>
      </c>
      <c r="AG587" s="4">
        <v>3</v>
      </c>
      <c r="AH587" s="4">
        <v>1</v>
      </c>
      <c r="AI587" s="4">
        <v>1</v>
      </c>
      <c r="AJ587" s="4">
        <v>6</v>
      </c>
      <c r="AK587" s="4">
        <v>6</v>
      </c>
      <c r="AL587" s="4">
        <v>1</v>
      </c>
      <c r="AM587" s="4">
        <v>1</v>
      </c>
      <c r="AN587" s="4">
        <v>0</v>
      </c>
      <c r="AO587" s="4">
        <v>0</v>
      </c>
      <c r="AP587" s="3" t="s">
        <v>58</v>
      </c>
      <c r="AQ587" s="3" t="s">
        <v>58</v>
      </c>
      <c r="AS587" s="6" t="str">
        <f>HYPERLINK("https://creighton-primo.hosted.exlibrisgroup.com/primo-explore/search?tab=default_tab&amp;search_scope=EVERYTHING&amp;vid=01CRU&amp;lang=en_US&amp;offset=0&amp;query=any,contains,991002364169702656","Catalog Record")</f>
        <v>Catalog Record</v>
      </c>
      <c r="AT587" s="6" t="str">
        <f>HYPERLINK("http://www.worldcat.org/oclc/30737738","WorldCat Record")</f>
        <v>WorldCat Record</v>
      </c>
      <c r="AU587" s="3" t="s">
        <v>7774</v>
      </c>
      <c r="AV587" s="3" t="s">
        <v>7775</v>
      </c>
      <c r="AW587" s="3" t="s">
        <v>7776</v>
      </c>
      <c r="AX587" s="3" t="s">
        <v>7776</v>
      </c>
      <c r="AY587" s="3" t="s">
        <v>7777</v>
      </c>
      <c r="AZ587" s="3" t="s">
        <v>74</v>
      </c>
      <c r="BB587" s="3" t="s">
        <v>7778</v>
      </c>
      <c r="BC587" s="3" t="s">
        <v>7779</v>
      </c>
      <c r="BD587" s="3" t="s">
        <v>7780</v>
      </c>
    </row>
    <row r="588" spans="1:56" ht="42.75" customHeight="1" x14ac:dyDescent="0.25">
      <c r="A588" s="7" t="s">
        <v>58</v>
      </c>
      <c r="B588" s="2" t="s">
        <v>7781</v>
      </c>
      <c r="C588" s="2" t="s">
        <v>7782</v>
      </c>
      <c r="D588" s="2" t="s">
        <v>7783</v>
      </c>
      <c r="F588" s="3" t="s">
        <v>58</v>
      </c>
      <c r="G588" s="3" t="s">
        <v>59</v>
      </c>
      <c r="H588" s="3" t="s">
        <v>58</v>
      </c>
      <c r="I588" s="3" t="s">
        <v>58</v>
      </c>
      <c r="J588" s="3" t="s">
        <v>60</v>
      </c>
      <c r="L588" s="2" t="s">
        <v>3285</v>
      </c>
      <c r="M588" s="3" t="s">
        <v>695</v>
      </c>
      <c r="O588" s="3" t="s">
        <v>64</v>
      </c>
      <c r="P588" s="3" t="s">
        <v>115</v>
      </c>
      <c r="Q588" s="2" t="s">
        <v>7784</v>
      </c>
      <c r="R588" s="3" t="s">
        <v>67</v>
      </c>
      <c r="S588" s="4">
        <v>38</v>
      </c>
      <c r="T588" s="4">
        <v>38</v>
      </c>
      <c r="U588" s="5" t="s">
        <v>7785</v>
      </c>
      <c r="V588" s="5" t="s">
        <v>7785</v>
      </c>
      <c r="W588" s="5" t="s">
        <v>7786</v>
      </c>
      <c r="X588" s="5" t="s">
        <v>7786</v>
      </c>
      <c r="Y588" s="4">
        <v>222</v>
      </c>
      <c r="Z588" s="4">
        <v>146</v>
      </c>
      <c r="AA588" s="4">
        <v>170</v>
      </c>
      <c r="AB588" s="4">
        <v>2</v>
      </c>
      <c r="AC588" s="4">
        <v>2</v>
      </c>
      <c r="AD588" s="4">
        <v>8</v>
      </c>
      <c r="AE588" s="4">
        <v>10</v>
      </c>
      <c r="AF588" s="4">
        <v>1</v>
      </c>
      <c r="AG588" s="4">
        <v>3</v>
      </c>
      <c r="AH588" s="4">
        <v>2</v>
      </c>
      <c r="AI588" s="4">
        <v>2</v>
      </c>
      <c r="AJ588" s="4">
        <v>6</v>
      </c>
      <c r="AK588" s="4">
        <v>7</v>
      </c>
      <c r="AL588" s="4">
        <v>1</v>
      </c>
      <c r="AM588" s="4">
        <v>1</v>
      </c>
      <c r="AN588" s="4">
        <v>0</v>
      </c>
      <c r="AO588" s="4">
        <v>0</v>
      </c>
      <c r="AP588" s="3" t="s">
        <v>58</v>
      </c>
      <c r="AQ588" s="3" t="s">
        <v>86</v>
      </c>
      <c r="AR588" s="6" t="str">
        <f>HYPERLINK("http://catalog.hathitrust.org/Record/002706936","HathiTrust Record")</f>
        <v>HathiTrust Record</v>
      </c>
      <c r="AS588" s="6" t="str">
        <f>HYPERLINK("https://creighton-primo.hosted.exlibrisgroup.com/primo-explore/search?tab=default_tab&amp;search_scope=EVERYTHING&amp;vid=01CRU&amp;lang=en_US&amp;offset=0&amp;query=any,contains,991002196249702656","Catalog Record")</f>
        <v>Catalog Record</v>
      </c>
      <c r="AT588" s="6" t="str">
        <f>HYPERLINK("http://www.worldcat.org/oclc/28224509","WorldCat Record")</f>
        <v>WorldCat Record</v>
      </c>
      <c r="AU588" s="3" t="s">
        <v>7787</v>
      </c>
      <c r="AV588" s="3" t="s">
        <v>7788</v>
      </c>
      <c r="AW588" s="3" t="s">
        <v>7789</v>
      </c>
      <c r="AX588" s="3" t="s">
        <v>7789</v>
      </c>
      <c r="AY588" s="3" t="s">
        <v>7790</v>
      </c>
      <c r="AZ588" s="3" t="s">
        <v>74</v>
      </c>
      <c r="BB588" s="3" t="s">
        <v>7791</v>
      </c>
      <c r="BC588" s="3" t="s">
        <v>7792</v>
      </c>
      <c r="BD588" s="3" t="s">
        <v>7793</v>
      </c>
    </row>
    <row r="589" spans="1:56" ht="42.75" customHeight="1" x14ac:dyDescent="0.25">
      <c r="A589" s="7" t="s">
        <v>58</v>
      </c>
      <c r="B589" s="2" t="s">
        <v>7794</v>
      </c>
      <c r="C589" s="2" t="s">
        <v>7795</v>
      </c>
      <c r="D589" s="2" t="s">
        <v>7796</v>
      </c>
      <c r="F589" s="3" t="s">
        <v>58</v>
      </c>
      <c r="G589" s="3" t="s">
        <v>59</v>
      </c>
      <c r="H589" s="3" t="s">
        <v>58</v>
      </c>
      <c r="I589" s="3" t="s">
        <v>58</v>
      </c>
      <c r="J589" s="3" t="s">
        <v>60</v>
      </c>
      <c r="K589" s="2" t="s">
        <v>7797</v>
      </c>
      <c r="L589" s="2" t="s">
        <v>7798</v>
      </c>
      <c r="M589" s="3" t="s">
        <v>3215</v>
      </c>
      <c r="N589" s="2" t="s">
        <v>1844</v>
      </c>
      <c r="O589" s="3" t="s">
        <v>64</v>
      </c>
      <c r="P589" s="3" t="s">
        <v>65</v>
      </c>
      <c r="Q589" s="2" t="s">
        <v>1776</v>
      </c>
      <c r="R589" s="3" t="s">
        <v>67</v>
      </c>
      <c r="S589" s="4">
        <v>5</v>
      </c>
      <c r="T589" s="4">
        <v>5</v>
      </c>
      <c r="U589" s="5" t="s">
        <v>7799</v>
      </c>
      <c r="V589" s="5" t="s">
        <v>7799</v>
      </c>
      <c r="W589" s="5" t="s">
        <v>7090</v>
      </c>
      <c r="X589" s="5" t="s">
        <v>7090</v>
      </c>
      <c r="Y589" s="4">
        <v>166</v>
      </c>
      <c r="Z589" s="4">
        <v>127</v>
      </c>
      <c r="AA589" s="4">
        <v>318</v>
      </c>
      <c r="AB589" s="4">
        <v>1</v>
      </c>
      <c r="AC589" s="4">
        <v>3</v>
      </c>
      <c r="AD589" s="4">
        <v>1</v>
      </c>
      <c r="AE589" s="4">
        <v>8</v>
      </c>
      <c r="AF589" s="4">
        <v>0</v>
      </c>
      <c r="AG589" s="4">
        <v>1</v>
      </c>
      <c r="AH589" s="4">
        <v>1</v>
      </c>
      <c r="AI589" s="4">
        <v>2</v>
      </c>
      <c r="AJ589" s="4">
        <v>0</v>
      </c>
      <c r="AK589" s="4">
        <v>4</v>
      </c>
      <c r="AL589" s="4">
        <v>0</v>
      </c>
      <c r="AM589" s="4">
        <v>2</v>
      </c>
      <c r="AN589" s="4">
        <v>0</v>
      </c>
      <c r="AO589" s="4">
        <v>0</v>
      </c>
      <c r="AP589" s="3" t="s">
        <v>58</v>
      </c>
      <c r="AQ589" s="3" t="s">
        <v>86</v>
      </c>
      <c r="AR589" s="6" t="str">
        <f>HYPERLINK("http://catalog.hathitrust.org/Record/007470582","HathiTrust Record")</f>
        <v>HathiTrust Record</v>
      </c>
      <c r="AS589" s="6" t="str">
        <f>HYPERLINK("https://creighton-primo.hosted.exlibrisgroup.com/primo-explore/search?tab=default_tab&amp;search_scope=EVERYTHING&amp;vid=01CRU&amp;lang=en_US&amp;offset=0&amp;query=any,contains,991004039639702656","Catalog Record")</f>
        <v>Catalog Record</v>
      </c>
      <c r="AT589" s="6" t="str">
        <f>HYPERLINK("http://www.worldcat.org/oclc/14492218","WorldCat Record")</f>
        <v>WorldCat Record</v>
      </c>
      <c r="AU589" s="3" t="s">
        <v>7800</v>
      </c>
      <c r="AV589" s="3" t="s">
        <v>7801</v>
      </c>
      <c r="AW589" s="3" t="s">
        <v>7802</v>
      </c>
      <c r="AX589" s="3" t="s">
        <v>7802</v>
      </c>
      <c r="AY589" s="3" t="s">
        <v>7803</v>
      </c>
      <c r="AZ589" s="3" t="s">
        <v>74</v>
      </c>
      <c r="BC589" s="3" t="s">
        <v>7804</v>
      </c>
      <c r="BD589" s="3" t="s">
        <v>7805</v>
      </c>
    </row>
    <row r="590" spans="1:56" ht="42.75" customHeight="1" x14ac:dyDescent="0.25">
      <c r="A590" s="7" t="s">
        <v>58</v>
      </c>
      <c r="B590" s="2" t="s">
        <v>7806</v>
      </c>
      <c r="C590" s="2" t="s">
        <v>7807</v>
      </c>
      <c r="D590" s="2" t="s">
        <v>7808</v>
      </c>
      <c r="F590" s="3" t="s">
        <v>58</v>
      </c>
      <c r="G590" s="3" t="s">
        <v>59</v>
      </c>
      <c r="H590" s="3" t="s">
        <v>58</v>
      </c>
      <c r="I590" s="3" t="s">
        <v>58</v>
      </c>
      <c r="J590" s="3" t="s">
        <v>60</v>
      </c>
      <c r="K590" s="2" t="s">
        <v>7809</v>
      </c>
      <c r="L590" s="2" t="s">
        <v>7810</v>
      </c>
      <c r="M590" s="3" t="s">
        <v>223</v>
      </c>
      <c r="O590" s="3" t="s">
        <v>64</v>
      </c>
      <c r="P590" s="3" t="s">
        <v>115</v>
      </c>
      <c r="R590" s="3" t="s">
        <v>67</v>
      </c>
      <c r="S590" s="4">
        <v>18</v>
      </c>
      <c r="T590" s="4">
        <v>18</v>
      </c>
      <c r="U590" s="5" t="s">
        <v>3875</v>
      </c>
      <c r="V590" s="5" t="s">
        <v>3875</v>
      </c>
      <c r="W590" s="5" t="s">
        <v>4730</v>
      </c>
      <c r="X590" s="5" t="s">
        <v>4730</v>
      </c>
      <c r="Y590" s="4">
        <v>429</v>
      </c>
      <c r="Z590" s="4">
        <v>363</v>
      </c>
      <c r="AA590" s="4">
        <v>369</v>
      </c>
      <c r="AB590" s="4">
        <v>1</v>
      </c>
      <c r="AC590" s="4">
        <v>1</v>
      </c>
      <c r="AD590" s="4">
        <v>13</v>
      </c>
      <c r="AE590" s="4">
        <v>13</v>
      </c>
      <c r="AF590" s="4">
        <v>5</v>
      </c>
      <c r="AG590" s="4">
        <v>5</v>
      </c>
      <c r="AH590" s="4">
        <v>5</v>
      </c>
      <c r="AI590" s="4">
        <v>5</v>
      </c>
      <c r="AJ590" s="4">
        <v>7</v>
      </c>
      <c r="AK590" s="4">
        <v>7</v>
      </c>
      <c r="AL590" s="4">
        <v>0</v>
      </c>
      <c r="AM590" s="4">
        <v>0</v>
      </c>
      <c r="AN590" s="4">
        <v>0</v>
      </c>
      <c r="AO590" s="4">
        <v>0</v>
      </c>
      <c r="AP590" s="3" t="s">
        <v>58</v>
      </c>
      <c r="AQ590" s="3" t="s">
        <v>86</v>
      </c>
      <c r="AR590" s="6" t="str">
        <f>HYPERLINK("http://catalog.hathitrust.org/Record/000149308","HathiTrust Record")</f>
        <v>HathiTrust Record</v>
      </c>
      <c r="AS590" s="6" t="str">
        <f>HYPERLINK("https://creighton-primo.hosted.exlibrisgroup.com/primo-explore/search?tab=default_tab&amp;search_scope=EVERYTHING&amp;vid=01CRU&amp;lang=en_US&amp;offset=0&amp;query=any,contains,991004445179702656","Catalog Record")</f>
        <v>Catalog Record</v>
      </c>
      <c r="AT590" s="6" t="str">
        <f>HYPERLINK("http://www.worldcat.org/oclc/3481175","WorldCat Record")</f>
        <v>WorldCat Record</v>
      </c>
      <c r="AU590" s="3" t="s">
        <v>7811</v>
      </c>
      <c r="AV590" s="3" t="s">
        <v>7812</v>
      </c>
      <c r="AW590" s="3" t="s">
        <v>7813</v>
      </c>
      <c r="AX590" s="3" t="s">
        <v>7813</v>
      </c>
      <c r="AY590" s="3" t="s">
        <v>7814</v>
      </c>
      <c r="AZ590" s="3" t="s">
        <v>74</v>
      </c>
      <c r="BB590" s="3" t="s">
        <v>7815</v>
      </c>
      <c r="BC590" s="3" t="s">
        <v>7816</v>
      </c>
      <c r="BD590" s="3" t="s">
        <v>7817</v>
      </c>
    </row>
    <row r="591" spans="1:56" ht="42.75" customHeight="1" x14ac:dyDescent="0.25">
      <c r="A591" s="7" t="s">
        <v>58</v>
      </c>
      <c r="B591" s="2" t="s">
        <v>7818</v>
      </c>
      <c r="C591" s="2" t="s">
        <v>7819</v>
      </c>
      <c r="D591" s="2" t="s">
        <v>7820</v>
      </c>
      <c r="F591" s="3" t="s">
        <v>58</v>
      </c>
      <c r="G591" s="3" t="s">
        <v>59</v>
      </c>
      <c r="H591" s="3" t="s">
        <v>58</v>
      </c>
      <c r="I591" s="3" t="s">
        <v>58</v>
      </c>
      <c r="J591" s="3" t="s">
        <v>60</v>
      </c>
      <c r="K591" s="2" t="s">
        <v>7821</v>
      </c>
      <c r="L591" s="2" t="s">
        <v>7822</v>
      </c>
      <c r="M591" s="3" t="s">
        <v>3069</v>
      </c>
      <c r="O591" s="3" t="s">
        <v>64</v>
      </c>
      <c r="P591" s="3" t="s">
        <v>83</v>
      </c>
      <c r="R591" s="3" t="s">
        <v>67</v>
      </c>
      <c r="S591" s="4">
        <v>2</v>
      </c>
      <c r="T591" s="4">
        <v>2</v>
      </c>
      <c r="U591" s="5" t="s">
        <v>6838</v>
      </c>
      <c r="V591" s="5" t="s">
        <v>6838</v>
      </c>
      <c r="W591" s="5" t="s">
        <v>3917</v>
      </c>
      <c r="X591" s="5" t="s">
        <v>3917</v>
      </c>
      <c r="Y591" s="4">
        <v>402</v>
      </c>
      <c r="Z591" s="4">
        <v>338</v>
      </c>
      <c r="AA591" s="4">
        <v>341</v>
      </c>
      <c r="AB591" s="4">
        <v>3</v>
      </c>
      <c r="AC591" s="4">
        <v>3</v>
      </c>
      <c r="AD591" s="4">
        <v>15</v>
      </c>
      <c r="AE591" s="4">
        <v>15</v>
      </c>
      <c r="AF591" s="4">
        <v>6</v>
      </c>
      <c r="AG591" s="4">
        <v>6</v>
      </c>
      <c r="AH591" s="4">
        <v>2</v>
      </c>
      <c r="AI591" s="4">
        <v>2</v>
      </c>
      <c r="AJ591" s="4">
        <v>10</v>
      </c>
      <c r="AK591" s="4">
        <v>10</v>
      </c>
      <c r="AL591" s="4">
        <v>2</v>
      </c>
      <c r="AM591" s="4">
        <v>2</v>
      </c>
      <c r="AN591" s="4">
        <v>0</v>
      </c>
      <c r="AO591" s="4">
        <v>0</v>
      </c>
      <c r="AP591" s="3" t="s">
        <v>58</v>
      </c>
      <c r="AQ591" s="3" t="s">
        <v>86</v>
      </c>
      <c r="AR591" s="6" t="str">
        <f>HYPERLINK("http://catalog.hathitrust.org/Record/001564189","HathiTrust Record")</f>
        <v>HathiTrust Record</v>
      </c>
      <c r="AS591" s="6" t="str">
        <f>HYPERLINK("https://creighton-primo.hosted.exlibrisgroup.com/primo-explore/search?tab=default_tab&amp;search_scope=EVERYTHING&amp;vid=01CRU&amp;lang=en_US&amp;offset=0&amp;query=any,contains,991001955079702656","Catalog Record")</f>
        <v>Catalog Record</v>
      </c>
      <c r="AT591" s="6" t="str">
        <f>HYPERLINK("http://www.worldcat.org/oclc/252999","WorldCat Record")</f>
        <v>WorldCat Record</v>
      </c>
      <c r="AU591" s="3" t="s">
        <v>7823</v>
      </c>
      <c r="AV591" s="3" t="s">
        <v>7824</v>
      </c>
      <c r="AW591" s="3" t="s">
        <v>7825</v>
      </c>
      <c r="AX591" s="3" t="s">
        <v>7825</v>
      </c>
      <c r="AY591" s="3" t="s">
        <v>7826</v>
      </c>
      <c r="AZ591" s="3" t="s">
        <v>74</v>
      </c>
      <c r="BC591" s="3" t="s">
        <v>7827</v>
      </c>
      <c r="BD591" s="3" t="s">
        <v>7828</v>
      </c>
    </row>
    <row r="592" spans="1:56" ht="42.75" customHeight="1" x14ac:dyDescent="0.25">
      <c r="A592" s="7" t="s">
        <v>58</v>
      </c>
      <c r="B592" s="2" t="s">
        <v>7829</v>
      </c>
      <c r="C592" s="2" t="s">
        <v>7830</v>
      </c>
      <c r="D592" s="2" t="s">
        <v>7831</v>
      </c>
      <c r="F592" s="3" t="s">
        <v>58</v>
      </c>
      <c r="G592" s="3" t="s">
        <v>59</v>
      </c>
      <c r="H592" s="3" t="s">
        <v>58</v>
      </c>
      <c r="I592" s="3" t="s">
        <v>58</v>
      </c>
      <c r="J592" s="3" t="s">
        <v>60</v>
      </c>
      <c r="K592" s="2" t="s">
        <v>7832</v>
      </c>
      <c r="L592" s="2" t="s">
        <v>7833</v>
      </c>
      <c r="M592" s="3" t="s">
        <v>4296</v>
      </c>
      <c r="O592" s="3" t="s">
        <v>64</v>
      </c>
      <c r="P592" s="3" t="s">
        <v>208</v>
      </c>
      <c r="R592" s="3" t="s">
        <v>67</v>
      </c>
      <c r="S592" s="4">
        <v>20</v>
      </c>
      <c r="T592" s="4">
        <v>20</v>
      </c>
      <c r="U592" s="5" t="s">
        <v>7834</v>
      </c>
      <c r="V592" s="5" t="s">
        <v>7834</v>
      </c>
      <c r="W592" s="5" t="s">
        <v>2855</v>
      </c>
      <c r="X592" s="5" t="s">
        <v>2855</v>
      </c>
      <c r="Y592" s="4">
        <v>322</v>
      </c>
      <c r="Z592" s="4">
        <v>263</v>
      </c>
      <c r="AA592" s="4">
        <v>265</v>
      </c>
      <c r="AB592" s="4">
        <v>2</v>
      </c>
      <c r="AC592" s="4">
        <v>2</v>
      </c>
      <c r="AD592" s="4">
        <v>12</v>
      </c>
      <c r="AE592" s="4">
        <v>12</v>
      </c>
      <c r="AF592" s="4">
        <v>3</v>
      </c>
      <c r="AG592" s="4">
        <v>3</v>
      </c>
      <c r="AH592" s="4">
        <v>3</v>
      </c>
      <c r="AI592" s="4">
        <v>3</v>
      </c>
      <c r="AJ592" s="4">
        <v>8</v>
      </c>
      <c r="AK592" s="4">
        <v>8</v>
      </c>
      <c r="AL592" s="4">
        <v>1</v>
      </c>
      <c r="AM592" s="4">
        <v>1</v>
      </c>
      <c r="AN592" s="4">
        <v>0</v>
      </c>
      <c r="AO592" s="4">
        <v>0</v>
      </c>
      <c r="AP592" s="3" t="s">
        <v>58</v>
      </c>
      <c r="AQ592" s="3" t="s">
        <v>86</v>
      </c>
      <c r="AR592" s="6" t="str">
        <f>HYPERLINK("http://catalog.hathitrust.org/Record/001564191","HathiTrust Record")</f>
        <v>HathiTrust Record</v>
      </c>
      <c r="AS592" s="6" t="str">
        <f>HYPERLINK("https://creighton-primo.hosted.exlibrisgroup.com/primo-explore/search?tab=default_tab&amp;search_scope=EVERYTHING&amp;vid=01CRU&amp;lang=en_US&amp;offset=0&amp;query=any,contains,991003650479702656","Catalog Record")</f>
        <v>Catalog Record</v>
      </c>
      <c r="AT592" s="6" t="str">
        <f>HYPERLINK("http://www.worldcat.org/oclc/1254051","WorldCat Record")</f>
        <v>WorldCat Record</v>
      </c>
      <c r="AU592" s="3" t="s">
        <v>7835</v>
      </c>
      <c r="AV592" s="3" t="s">
        <v>7836</v>
      </c>
      <c r="AW592" s="3" t="s">
        <v>7837</v>
      </c>
      <c r="AX592" s="3" t="s">
        <v>7837</v>
      </c>
      <c r="AY592" s="3" t="s">
        <v>7838</v>
      </c>
      <c r="AZ592" s="3" t="s">
        <v>74</v>
      </c>
      <c r="BC592" s="3" t="s">
        <v>7839</v>
      </c>
      <c r="BD592" s="3" t="s">
        <v>7840</v>
      </c>
    </row>
    <row r="593" spans="1:56" ht="42.75" customHeight="1" x14ac:dyDescent="0.25">
      <c r="A593" s="7" t="s">
        <v>58</v>
      </c>
      <c r="B593" s="2" t="s">
        <v>7841</v>
      </c>
      <c r="C593" s="2" t="s">
        <v>7842</v>
      </c>
      <c r="D593" s="2" t="s">
        <v>7843</v>
      </c>
      <c r="F593" s="3" t="s">
        <v>58</v>
      </c>
      <c r="G593" s="3" t="s">
        <v>59</v>
      </c>
      <c r="H593" s="3" t="s">
        <v>58</v>
      </c>
      <c r="I593" s="3" t="s">
        <v>58</v>
      </c>
      <c r="J593" s="3" t="s">
        <v>60</v>
      </c>
      <c r="K593" s="2" t="s">
        <v>7844</v>
      </c>
      <c r="L593" s="2" t="s">
        <v>7845</v>
      </c>
      <c r="M593" s="3" t="s">
        <v>3124</v>
      </c>
      <c r="O593" s="3" t="s">
        <v>64</v>
      </c>
      <c r="P593" s="3" t="s">
        <v>83</v>
      </c>
      <c r="R593" s="3" t="s">
        <v>67</v>
      </c>
      <c r="S593" s="4">
        <v>5</v>
      </c>
      <c r="T593" s="4">
        <v>5</v>
      </c>
      <c r="U593" s="5" t="s">
        <v>7846</v>
      </c>
      <c r="V593" s="5" t="s">
        <v>7846</v>
      </c>
      <c r="W593" s="5" t="s">
        <v>4221</v>
      </c>
      <c r="X593" s="5" t="s">
        <v>4221</v>
      </c>
      <c r="Y593" s="4">
        <v>294</v>
      </c>
      <c r="Z593" s="4">
        <v>255</v>
      </c>
      <c r="AA593" s="4">
        <v>269</v>
      </c>
      <c r="AB593" s="4">
        <v>2</v>
      </c>
      <c r="AC593" s="4">
        <v>2</v>
      </c>
      <c r="AD593" s="4">
        <v>8</v>
      </c>
      <c r="AE593" s="4">
        <v>9</v>
      </c>
      <c r="AF593" s="4">
        <v>2</v>
      </c>
      <c r="AG593" s="4">
        <v>3</v>
      </c>
      <c r="AH593" s="4">
        <v>1</v>
      </c>
      <c r="AI593" s="4">
        <v>1</v>
      </c>
      <c r="AJ593" s="4">
        <v>5</v>
      </c>
      <c r="AK593" s="4">
        <v>5</v>
      </c>
      <c r="AL593" s="4">
        <v>1</v>
      </c>
      <c r="AM593" s="4">
        <v>1</v>
      </c>
      <c r="AN593" s="4">
        <v>0</v>
      </c>
      <c r="AO593" s="4">
        <v>0</v>
      </c>
      <c r="AP593" s="3" t="s">
        <v>58</v>
      </c>
      <c r="AQ593" s="3" t="s">
        <v>86</v>
      </c>
      <c r="AR593" s="6" t="str">
        <f>HYPERLINK("http://catalog.hathitrust.org/Record/001564196","HathiTrust Record")</f>
        <v>HathiTrust Record</v>
      </c>
      <c r="AS593" s="6" t="str">
        <f>HYPERLINK("https://creighton-primo.hosted.exlibrisgroup.com/primo-explore/search?tab=default_tab&amp;search_scope=EVERYTHING&amp;vid=01CRU&amp;lang=en_US&amp;offset=0&amp;query=any,contains,991000538869702656","Catalog Record")</f>
        <v>Catalog Record</v>
      </c>
      <c r="AT593" s="6" t="str">
        <f>HYPERLINK("http://www.worldcat.org/oclc/90112","WorldCat Record")</f>
        <v>WorldCat Record</v>
      </c>
      <c r="AU593" s="3" t="s">
        <v>7847</v>
      </c>
      <c r="AV593" s="3" t="s">
        <v>7848</v>
      </c>
      <c r="AW593" s="3" t="s">
        <v>7849</v>
      </c>
      <c r="AX593" s="3" t="s">
        <v>7849</v>
      </c>
      <c r="AY593" s="3" t="s">
        <v>7850</v>
      </c>
      <c r="AZ593" s="3" t="s">
        <v>74</v>
      </c>
      <c r="BC593" s="3" t="s">
        <v>7851</v>
      </c>
      <c r="BD593" s="3" t="s">
        <v>7852</v>
      </c>
    </row>
    <row r="594" spans="1:56" ht="42.75" customHeight="1" x14ac:dyDescent="0.25">
      <c r="A594" s="7" t="s">
        <v>58</v>
      </c>
      <c r="B594" s="2" t="s">
        <v>7853</v>
      </c>
      <c r="C594" s="2" t="s">
        <v>7854</v>
      </c>
      <c r="D594" s="2" t="s">
        <v>7855</v>
      </c>
      <c r="F594" s="3" t="s">
        <v>58</v>
      </c>
      <c r="G594" s="3" t="s">
        <v>59</v>
      </c>
      <c r="H594" s="3" t="s">
        <v>58</v>
      </c>
      <c r="I594" s="3" t="s">
        <v>58</v>
      </c>
      <c r="J594" s="3" t="s">
        <v>60</v>
      </c>
      <c r="K594" s="2" t="s">
        <v>7856</v>
      </c>
      <c r="L594" s="2" t="s">
        <v>7857</v>
      </c>
      <c r="M594" s="3" t="s">
        <v>4218</v>
      </c>
      <c r="N594" s="2" t="s">
        <v>3823</v>
      </c>
      <c r="O594" s="3" t="s">
        <v>64</v>
      </c>
      <c r="P594" s="3" t="s">
        <v>115</v>
      </c>
      <c r="R594" s="3" t="s">
        <v>67</v>
      </c>
      <c r="S594" s="4">
        <v>2</v>
      </c>
      <c r="T594" s="4">
        <v>2</v>
      </c>
      <c r="U594" s="5" t="s">
        <v>970</v>
      </c>
      <c r="V594" s="5" t="s">
        <v>970</v>
      </c>
      <c r="W594" s="5" t="s">
        <v>3917</v>
      </c>
      <c r="X594" s="5" t="s">
        <v>3917</v>
      </c>
      <c r="Y594" s="4">
        <v>614</v>
      </c>
      <c r="Z594" s="4">
        <v>543</v>
      </c>
      <c r="AA594" s="4">
        <v>606</v>
      </c>
      <c r="AB594" s="4">
        <v>3</v>
      </c>
      <c r="AC594" s="4">
        <v>3</v>
      </c>
      <c r="AD594" s="4">
        <v>19</v>
      </c>
      <c r="AE594" s="4">
        <v>19</v>
      </c>
      <c r="AF594" s="4">
        <v>9</v>
      </c>
      <c r="AG594" s="4">
        <v>9</v>
      </c>
      <c r="AH594" s="4">
        <v>3</v>
      </c>
      <c r="AI594" s="4">
        <v>3</v>
      </c>
      <c r="AJ594" s="4">
        <v>11</v>
      </c>
      <c r="AK594" s="4">
        <v>11</v>
      </c>
      <c r="AL594" s="4">
        <v>2</v>
      </c>
      <c r="AM594" s="4">
        <v>2</v>
      </c>
      <c r="AN594" s="4">
        <v>0</v>
      </c>
      <c r="AO594" s="4">
        <v>0</v>
      </c>
      <c r="AP594" s="3" t="s">
        <v>58</v>
      </c>
      <c r="AQ594" s="3" t="s">
        <v>86</v>
      </c>
      <c r="AR594" s="6" t="str">
        <f>HYPERLINK("http://catalog.hathitrust.org/Record/001564202","HathiTrust Record")</f>
        <v>HathiTrust Record</v>
      </c>
      <c r="AS594" s="6" t="str">
        <f>HYPERLINK("https://creighton-primo.hosted.exlibrisgroup.com/primo-explore/search?tab=default_tab&amp;search_scope=EVERYTHING&amp;vid=01CRU&amp;lang=en_US&amp;offset=0&amp;query=any,contains,991002903549702656","Catalog Record")</f>
        <v>Catalog Record</v>
      </c>
      <c r="AT594" s="6" t="str">
        <f>HYPERLINK("http://www.worldcat.org/oclc/518350","WorldCat Record")</f>
        <v>WorldCat Record</v>
      </c>
      <c r="AU594" s="3" t="s">
        <v>7858</v>
      </c>
      <c r="AV594" s="3" t="s">
        <v>7859</v>
      </c>
      <c r="AW594" s="3" t="s">
        <v>7860</v>
      </c>
      <c r="AX594" s="3" t="s">
        <v>7860</v>
      </c>
      <c r="AY594" s="3" t="s">
        <v>7861</v>
      </c>
      <c r="AZ594" s="3" t="s">
        <v>74</v>
      </c>
      <c r="BC594" s="3" t="s">
        <v>7862</v>
      </c>
      <c r="BD594" s="3" t="s">
        <v>7863</v>
      </c>
    </row>
    <row r="595" spans="1:56" ht="42.75" customHeight="1" x14ac:dyDescent="0.25">
      <c r="A595" s="7" t="s">
        <v>58</v>
      </c>
      <c r="B595" s="2" t="s">
        <v>7864</v>
      </c>
      <c r="C595" s="2" t="s">
        <v>7865</v>
      </c>
      <c r="D595" s="2" t="s">
        <v>7866</v>
      </c>
      <c r="F595" s="3" t="s">
        <v>58</v>
      </c>
      <c r="G595" s="3" t="s">
        <v>59</v>
      </c>
      <c r="H595" s="3" t="s">
        <v>58</v>
      </c>
      <c r="I595" s="3" t="s">
        <v>58</v>
      </c>
      <c r="J595" s="3" t="s">
        <v>60</v>
      </c>
      <c r="K595" s="2" t="s">
        <v>7867</v>
      </c>
      <c r="L595" s="2" t="s">
        <v>7868</v>
      </c>
      <c r="M595" s="3" t="s">
        <v>299</v>
      </c>
      <c r="N595" s="2" t="s">
        <v>3823</v>
      </c>
      <c r="O595" s="3" t="s">
        <v>64</v>
      </c>
      <c r="P595" s="3" t="s">
        <v>115</v>
      </c>
      <c r="R595" s="3" t="s">
        <v>67</v>
      </c>
      <c r="S595" s="4">
        <v>7</v>
      </c>
      <c r="T595" s="4">
        <v>7</v>
      </c>
      <c r="U595" s="5" t="s">
        <v>7869</v>
      </c>
      <c r="V595" s="5" t="s">
        <v>7869</v>
      </c>
      <c r="W595" s="5" t="s">
        <v>2773</v>
      </c>
      <c r="X595" s="5" t="s">
        <v>2773</v>
      </c>
      <c r="Y595" s="4">
        <v>494</v>
      </c>
      <c r="Z595" s="4">
        <v>460</v>
      </c>
      <c r="AA595" s="4">
        <v>671</v>
      </c>
      <c r="AB595" s="4">
        <v>4</v>
      </c>
      <c r="AC595" s="4">
        <v>4</v>
      </c>
      <c r="AD595" s="4">
        <v>11</v>
      </c>
      <c r="AE595" s="4">
        <v>18</v>
      </c>
      <c r="AF595" s="4">
        <v>5</v>
      </c>
      <c r="AG595" s="4">
        <v>8</v>
      </c>
      <c r="AH595" s="4">
        <v>1</v>
      </c>
      <c r="AI595" s="4">
        <v>1</v>
      </c>
      <c r="AJ595" s="4">
        <v>4</v>
      </c>
      <c r="AK595" s="4">
        <v>10</v>
      </c>
      <c r="AL595" s="4">
        <v>2</v>
      </c>
      <c r="AM595" s="4">
        <v>2</v>
      </c>
      <c r="AN595" s="4">
        <v>0</v>
      </c>
      <c r="AO595" s="4">
        <v>0</v>
      </c>
      <c r="AP595" s="3" t="s">
        <v>58</v>
      </c>
      <c r="AQ595" s="3" t="s">
        <v>86</v>
      </c>
      <c r="AR595" s="6" t="str">
        <f>HYPERLINK("http://catalog.hathitrust.org/Record/001564220","HathiTrust Record")</f>
        <v>HathiTrust Record</v>
      </c>
      <c r="AS595" s="6" t="str">
        <f>HYPERLINK("https://creighton-primo.hosted.exlibrisgroup.com/primo-explore/search?tab=default_tab&amp;search_scope=EVERYTHING&amp;vid=01CRU&amp;lang=en_US&amp;offset=0&amp;query=any,contains,991003093129702656","Catalog Record")</f>
        <v>Catalog Record</v>
      </c>
      <c r="AT595" s="6" t="str">
        <f>HYPERLINK("http://www.worldcat.org/oclc/643397","WorldCat Record")</f>
        <v>WorldCat Record</v>
      </c>
      <c r="AU595" s="3" t="s">
        <v>7870</v>
      </c>
      <c r="AV595" s="3" t="s">
        <v>7871</v>
      </c>
      <c r="AW595" s="3" t="s">
        <v>7872</v>
      </c>
      <c r="AX595" s="3" t="s">
        <v>7872</v>
      </c>
      <c r="AY595" s="3" t="s">
        <v>7873</v>
      </c>
      <c r="AZ595" s="3" t="s">
        <v>74</v>
      </c>
      <c r="BC595" s="3" t="s">
        <v>7874</v>
      </c>
      <c r="BD595" s="3" t="s">
        <v>7875</v>
      </c>
    </row>
    <row r="596" spans="1:56" ht="42.75" customHeight="1" x14ac:dyDescent="0.25">
      <c r="A596" s="7" t="s">
        <v>58</v>
      </c>
      <c r="B596" s="2" t="s">
        <v>7876</v>
      </c>
      <c r="C596" s="2" t="s">
        <v>7877</v>
      </c>
      <c r="D596" s="2" t="s">
        <v>7878</v>
      </c>
      <c r="F596" s="3" t="s">
        <v>58</v>
      </c>
      <c r="G596" s="3" t="s">
        <v>59</v>
      </c>
      <c r="H596" s="3" t="s">
        <v>58</v>
      </c>
      <c r="I596" s="3" t="s">
        <v>58</v>
      </c>
      <c r="J596" s="3" t="s">
        <v>60</v>
      </c>
      <c r="K596" s="2" t="s">
        <v>7879</v>
      </c>
      <c r="L596" s="2" t="s">
        <v>7880</v>
      </c>
      <c r="M596" s="3" t="s">
        <v>163</v>
      </c>
      <c r="O596" s="3" t="s">
        <v>64</v>
      </c>
      <c r="P596" s="3" t="s">
        <v>316</v>
      </c>
      <c r="R596" s="3" t="s">
        <v>67</v>
      </c>
      <c r="S596" s="4">
        <v>1</v>
      </c>
      <c r="T596" s="4">
        <v>1</v>
      </c>
      <c r="U596" s="5" t="s">
        <v>7881</v>
      </c>
      <c r="V596" s="5" t="s">
        <v>7881</v>
      </c>
      <c r="W596" s="5" t="s">
        <v>7882</v>
      </c>
      <c r="X596" s="5" t="s">
        <v>7882</v>
      </c>
      <c r="Y596" s="4">
        <v>181</v>
      </c>
      <c r="Z596" s="4">
        <v>156</v>
      </c>
      <c r="AA596" s="4">
        <v>156</v>
      </c>
      <c r="AB596" s="4">
        <v>3</v>
      </c>
      <c r="AC596" s="4">
        <v>3</v>
      </c>
      <c r="AD596" s="4">
        <v>6</v>
      </c>
      <c r="AE596" s="4">
        <v>6</v>
      </c>
      <c r="AF596" s="4">
        <v>2</v>
      </c>
      <c r="AG596" s="4">
        <v>2</v>
      </c>
      <c r="AH596" s="4">
        <v>0</v>
      </c>
      <c r="AI596" s="4">
        <v>0</v>
      </c>
      <c r="AJ596" s="4">
        <v>3</v>
      </c>
      <c r="AK596" s="4">
        <v>3</v>
      </c>
      <c r="AL596" s="4">
        <v>2</v>
      </c>
      <c r="AM596" s="4">
        <v>2</v>
      </c>
      <c r="AN596" s="4">
        <v>0</v>
      </c>
      <c r="AO596" s="4">
        <v>0</v>
      </c>
      <c r="AP596" s="3" t="s">
        <v>58</v>
      </c>
      <c r="AQ596" s="3" t="s">
        <v>58</v>
      </c>
      <c r="AS596" s="6" t="str">
        <f>HYPERLINK("https://creighton-primo.hosted.exlibrisgroup.com/primo-explore/search?tab=default_tab&amp;search_scope=EVERYTHING&amp;vid=01CRU&amp;lang=en_US&amp;offset=0&amp;query=any,contains,991000820449702656","Catalog Record")</f>
        <v>Catalog Record</v>
      </c>
      <c r="AT596" s="6" t="str">
        <f>HYPERLINK("http://www.worldcat.org/oclc/144528","WorldCat Record")</f>
        <v>WorldCat Record</v>
      </c>
      <c r="AU596" s="3" t="s">
        <v>7883</v>
      </c>
      <c r="AV596" s="3" t="s">
        <v>7884</v>
      </c>
      <c r="AW596" s="3" t="s">
        <v>7885</v>
      </c>
      <c r="AX596" s="3" t="s">
        <v>7885</v>
      </c>
      <c r="AY596" s="3" t="s">
        <v>7886</v>
      </c>
      <c r="AZ596" s="3" t="s">
        <v>74</v>
      </c>
      <c r="BC596" s="3" t="s">
        <v>7887</v>
      </c>
      <c r="BD596" s="3" t="s">
        <v>7888</v>
      </c>
    </row>
    <row r="597" spans="1:56" ht="42.75" customHeight="1" x14ac:dyDescent="0.25">
      <c r="A597" s="7" t="s">
        <v>58</v>
      </c>
      <c r="B597" s="2" t="s">
        <v>7889</v>
      </c>
      <c r="C597" s="2" t="s">
        <v>7890</v>
      </c>
      <c r="D597" s="2" t="s">
        <v>7891</v>
      </c>
      <c r="F597" s="3" t="s">
        <v>58</v>
      </c>
      <c r="G597" s="3" t="s">
        <v>59</v>
      </c>
      <c r="H597" s="3" t="s">
        <v>58</v>
      </c>
      <c r="I597" s="3" t="s">
        <v>58</v>
      </c>
      <c r="J597" s="3" t="s">
        <v>60</v>
      </c>
      <c r="K597" s="2" t="s">
        <v>7892</v>
      </c>
      <c r="L597" s="2" t="s">
        <v>7893</v>
      </c>
      <c r="M597" s="3" t="s">
        <v>2853</v>
      </c>
      <c r="O597" s="3" t="s">
        <v>64</v>
      </c>
      <c r="P597" s="3" t="s">
        <v>115</v>
      </c>
      <c r="R597" s="3" t="s">
        <v>67</v>
      </c>
      <c r="S597" s="4">
        <v>7</v>
      </c>
      <c r="T597" s="4">
        <v>7</v>
      </c>
      <c r="U597" s="5" t="s">
        <v>7894</v>
      </c>
      <c r="V597" s="5" t="s">
        <v>7894</v>
      </c>
      <c r="W597" s="5" t="s">
        <v>7895</v>
      </c>
      <c r="X597" s="5" t="s">
        <v>7895</v>
      </c>
      <c r="Y597" s="4">
        <v>856</v>
      </c>
      <c r="Z597" s="4">
        <v>800</v>
      </c>
      <c r="AA597" s="4">
        <v>871</v>
      </c>
      <c r="AB597" s="4">
        <v>9</v>
      </c>
      <c r="AC597" s="4">
        <v>9</v>
      </c>
      <c r="AD597" s="4">
        <v>24</v>
      </c>
      <c r="AE597" s="4">
        <v>25</v>
      </c>
      <c r="AF597" s="4">
        <v>10</v>
      </c>
      <c r="AG597" s="4">
        <v>11</v>
      </c>
      <c r="AH597" s="4">
        <v>4</v>
      </c>
      <c r="AI597" s="4">
        <v>4</v>
      </c>
      <c r="AJ597" s="4">
        <v>13</v>
      </c>
      <c r="AK597" s="4">
        <v>14</v>
      </c>
      <c r="AL597" s="4">
        <v>3</v>
      </c>
      <c r="AM597" s="4">
        <v>3</v>
      </c>
      <c r="AN597" s="4">
        <v>0</v>
      </c>
      <c r="AO597" s="4">
        <v>0</v>
      </c>
      <c r="AP597" s="3" t="s">
        <v>58</v>
      </c>
      <c r="AQ597" s="3" t="s">
        <v>86</v>
      </c>
      <c r="AR597" s="6" t="str">
        <f>HYPERLINK("http://catalog.hathitrust.org/Record/002479170","HathiTrust Record")</f>
        <v>HathiTrust Record</v>
      </c>
      <c r="AS597" s="6" t="str">
        <f>HYPERLINK("https://creighton-primo.hosted.exlibrisgroup.com/primo-explore/search?tab=default_tab&amp;search_scope=EVERYTHING&amp;vid=01CRU&amp;lang=en_US&amp;offset=0&amp;query=any,contains,991005266349702656","Catalog Record")</f>
        <v>Catalog Record</v>
      </c>
      <c r="AT597" s="6" t="str">
        <f>HYPERLINK("http://www.worldcat.org/oclc/275685","WorldCat Record")</f>
        <v>WorldCat Record</v>
      </c>
      <c r="AU597" s="3" t="s">
        <v>7896</v>
      </c>
      <c r="AV597" s="3" t="s">
        <v>7897</v>
      </c>
      <c r="AW597" s="3" t="s">
        <v>7898</v>
      </c>
      <c r="AX597" s="3" t="s">
        <v>7898</v>
      </c>
      <c r="AY597" s="3" t="s">
        <v>7899</v>
      </c>
      <c r="AZ597" s="3" t="s">
        <v>74</v>
      </c>
      <c r="BC597" s="3" t="s">
        <v>7900</v>
      </c>
      <c r="BD597" s="3" t="s">
        <v>7901</v>
      </c>
    </row>
    <row r="598" spans="1:56" ht="42.75" customHeight="1" x14ac:dyDescent="0.25">
      <c r="A598" s="7" t="s">
        <v>58</v>
      </c>
      <c r="B598" s="2" t="s">
        <v>7902</v>
      </c>
      <c r="C598" s="2" t="s">
        <v>7903</v>
      </c>
      <c r="D598" s="2" t="s">
        <v>7904</v>
      </c>
      <c r="F598" s="3" t="s">
        <v>58</v>
      </c>
      <c r="G598" s="3" t="s">
        <v>59</v>
      </c>
      <c r="H598" s="3" t="s">
        <v>58</v>
      </c>
      <c r="I598" s="3" t="s">
        <v>58</v>
      </c>
      <c r="J598" s="3" t="s">
        <v>60</v>
      </c>
      <c r="K598" s="2" t="s">
        <v>7905</v>
      </c>
      <c r="L598" s="2" t="s">
        <v>7906</v>
      </c>
      <c r="M598" s="3" t="s">
        <v>371</v>
      </c>
      <c r="N598" s="2" t="s">
        <v>7907</v>
      </c>
      <c r="O598" s="3" t="s">
        <v>64</v>
      </c>
      <c r="P598" s="3" t="s">
        <v>99</v>
      </c>
      <c r="R598" s="3" t="s">
        <v>67</v>
      </c>
      <c r="S598" s="4">
        <v>10</v>
      </c>
      <c r="T598" s="4">
        <v>10</v>
      </c>
      <c r="U598" s="5" t="s">
        <v>7908</v>
      </c>
      <c r="V598" s="5" t="s">
        <v>7908</v>
      </c>
      <c r="W598" s="5" t="s">
        <v>6280</v>
      </c>
      <c r="X598" s="5" t="s">
        <v>6280</v>
      </c>
      <c r="Y598" s="4">
        <v>284</v>
      </c>
      <c r="Z598" s="4">
        <v>280</v>
      </c>
      <c r="AA598" s="4">
        <v>1601</v>
      </c>
      <c r="AB598" s="4">
        <v>6</v>
      </c>
      <c r="AC598" s="4">
        <v>25</v>
      </c>
      <c r="AD598" s="4">
        <v>10</v>
      </c>
      <c r="AE598" s="4">
        <v>34</v>
      </c>
      <c r="AF598" s="4">
        <v>4</v>
      </c>
      <c r="AG598" s="4">
        <v>16</v>
      </c>
      <c r="AH598" s="4">
        <v>2</v>
      </c>
      <c r="AI598" s="4">
        <v>8</v>
      </c>
      <c r="AJ598" s="4">
        <v>3</v>
      </c>
      <c r="AK598" s="4">
        <v>9</v>
      </c>
      <c r="AL598" s="4">
        <v>2</v>
      </c>
      <c r="AM598" s="4">
        <v>6</v>
      </c>
      <c r="AN598" s="4">
        <v>0</v>
      </c>
      <c r="AO598" s="4">
        <v>0</v>
      </c>
      <c r="AP598" s="3" t="s">
        <v>58</v>
      </c>
      <c r="AQ598" s="3" t="s">
        <v>58</v>
      </c>
      <c r="AS598" s="6" t="str">
        <f>HYPERLINK("https://creighton-primo.hosted.exlibrisgroup.com/primo-explore/search?tab=default_tab&amp;search_scope=EVERYTHING&amp;vid=01CRU&amp;lang=en_US&amp;offset=0&amp;query=any,contains,991001058329702656","Catalog Record")</f>
        <v>Catalog Record</v>
      </c>
      <c r="AT598" s="6" t="str">
        <f>HYPERLINK("http://www.worldcat.org/oclc/15709381","WorldCat Record")</f>
        <v>WorldCat Record</v>
      </c>
      <c r="AU598" s="3" t="s">
        <v>7909</v>
      </c>
      <c r="AV598" s="3" t="s">
        <v>7910</v>
      </c>
      <c r="AW598" s="3" t="s">
        <v>7911</v>
      </c>
      <c r="AX598" s="3" t="s">
        <v>7911</v>
      </c>
      <c r="AY598" s="3" t="s">
        <v>7912</v>
      </c>
      <c r="AZ598" s="3" t="s">
        <v>74</v>
      </c>
      <c r="BB598" s="3" t="s">
        <v>7913</v>
      </c>
      <c r="BC598" s="3" t="s">
        <v>7914</v>
      </c>
      <c r="BD598" s="3" t="s">
        <v>7915</v>
      </c>
    </row>
    <row r="599" spans="1:56" ht="42.75" customHeight="1" x14ac:dyDescent="0.25">
      <c r="A599" s="7" t="s">
        <v>58</v>
      </c>
      <c r="B599" s="2" t="s">
        <v>7916</v>
      </c>
      <c r="C599" s="2" t="s">
        <v>7917</v>
      </c>
      <c r="D599" s="2" t="s">
        <v>7918</v>
      </c>
      <c r="F599" s="3" t="s">
        <v>58</v>
      </c>
      <c r="G599" s="3" t="s">
        <v>59</v>
      </c>
      <c r="H599" s="3" t="s">
        <v>58</v>
      </c>
      <c r="I599" s="3" t="s">
        <v>58</v>
      </c>
      <c r="J599" s="3" t="s">
        <v>60</v>
      </c>
      <c r="K599" s="2" t="s">
        <v>7919</v>
      </c>
      <c r="L599" s="2" t="s">
        <v>7920</v>
      </c>
      <c r="M599" s="3" t="s">
        <v>4218</v>
      </c>
      <c r="O599" s="3" t="s">
        <v>64</v>
      </c>
      <c r="P599" s="3" t="s">
        <v>115</v>
      </c>
      <c r="R599" s="3" t="s">
        <v>67</v>
      </c>
      <c r="S599" s="4">
        <v>6</v>
      </c>
      <c r="T599" s="4">
        <v>6</v>
      </c>
      <c r="U599" s="5" t="s">
        <v>7921</v>
      </c>
      <c r="V599" s="5" t="s">
        <v>7921</v>
      </c>
      <c r="W599" s="5" t="s">
        <v>5050</v>
      </c>
      <c r="X599" s="5" t="s">
        <v>5050</v>
      </c>
      <c r="Y599" s="4">
        <v>850</v>
      </c>
      <c r="Z599" s="4">
        <v>738</v>
      </c>
      <c r="AA599" s="4">
        <v>745</v>
      </c>
      <c r="AB599" s="4">
        <v>5</v>
      </c>
      <c r="AC599" s="4">
        <v>5</v>
      </c>
      <c r="AD599" s="4">
        <v>22</v>
      </c>
      <c r="AE599" s="4">
        <v>22</v>
      </c>
      <c r="AF599" s="4">
        <v>8</v>
      </c>
      <c r="AG599" s="4">
        <v>8</v>
      </c>
      <c r="AH599" s="4">
        <v>3</v>
      </c>
      <c r="AI599" s="4">
        <v>3</v>
      </c>
      <c r="AJ599" s="4">
        <v>12</v>
      </c>
      <c r="AK599" s="4">
        <v>12</v>
      </c>
      <c r="AL599" s="4">
        <v>3</v>
      </c>
      <c r="AM599" s="4">
        <v>3</v>
      </c>
      <c r="AN599" s="4">
        <v>0</v>
      </c>
      <c r="AO599" s="4">
        <v>0</v>
      </c>
      <c r="AP599" s="3" t="s">
        <v>58</v>
      </c>
      <c r="AQ599" s="3" t="s">
        <v>86</v>
      </c>
      <c r="AR599" s="6" t="str">
        <f>HYPERLINK("http://catalog.hathitrust.org/Record/001564245","HathiTrust Record")</f>
        <v>HathiTrust Record</v>
      </c>
      <c r="AS599" s="6" t="str">
        <f>HYPERLINK("https://creighton-primo.hosted.exlibrisgroup.com/primo-explore/search?tab=default_tab&amp;search_scope=EVERYTHING&amp;vid=01CRU&amp;lang=en_US&amp;offset=0&amp;query=any,contains,991002168769702656","Catalog Record")</f>
        <v>Catalog Record</v>
      </c>
      <c r="AT599" s="6" t="str">
        <f>HYPERLINK("http://www.worldcat.org/oclc/276211","WorldCat Record")</f>
        <v>WorldCat Record</v>
      </c>
      <c r="AU599" s="3" t="s">
        <v>7922</v>
      </c>
      <c r="AV599" s="3" t="s">
        <v>7923</v>
      </c>
      <c r="AW599" s="3" t="s">
        <v>7924</v>
      </c>
      <c r="AX599" s="3" t="s">
        <v>7924</v>
      </c>
      <c r="AY599" s="3" t="s">
        <v>7925</v>
      </c>
      <c r="AZ599" s="3" t="s">
        <v>74</v>
      </c>
      <c r="BC599" s="3" t="s">
        <v>7926</v>
      </c>
      <c r="BD599" s="3" t="s">
        <v>7927</v>
      </c>
    </row>
    <row r="600" spans="1:56" ht="42.75" customHeight="1" x14ac:dyDescent="0.25">
      <c r="A600" s="7" t="s">
        <v>58</v>
      </c>
      <c r="B600" s="2" t="s">
        <v>7928</v>
      </c>
      <c r="C600" s="2" t="s">
        <v>7929</v>
      </c>
      <c r="D600" s="2" t="s">
        <v>7930</v>
      </c>
      <c r="F600" s="3" t="s">
        <v>58</v>
      </c>
      <c r="G600" s="3" t="s">
        <v>59</v>
      </c>
      <c r="H600" s="3" t="s">
        <v>58</v>
      </c>
      <c r="I600" s="3" t="s">
        <v>58</v>
      </c>
      <c r="J600" s="3" t="s">
        <v>60</v>
      </c>
      <c r="K600" s="2" t="s">
        <v>7931</v>
      </c>
      <c r="L600" s="2" t="s">
        <v>7932</v>
      </c>
      <c r="M600" s="3" t="s">
        <v>299</v>
      </c>
      <c r="O600" s="3" t="s">
        <v>64</v>
      </c>
      <c r="P600" s="3" t="s">
        <v>65</v>
      </c>
      <c r="R600" s="3" t="s">
        <v>67</v>
      </c>
      <c r="S600" s="4">
        <v>7</v>
      </c>
      <c r="T600" s="4">
        <v>7</v>
      </c>
      <c r="U600" s="5" t="s">
        <v>1050</v>
      </c>
      <c r="V600" s="5" t="s">
        <v>1050</v>
      </c>
      <c r="W600" s="5" t="s">
        <v>5050</v>
      </c>
      <c r="X600" s="5" t="s">
        <v>5050</v>
      </c>
      <c r="Y600" s="4">
        <v>28</v>
      </c>
      <c r="Z600" s="4">
        <v>17</v>
      </c>
      <c r="AA600" s="4">
        <v>156</v>
      </c>
      <c r="AB600" s="4">
        <v>1</v>
      </c>
      <c r="AC600" s="4">
        <v>2</v>
      </c>
      <c r="AD600" s="4">
        <v>1</v>
      </c>
      <c r="AE600" s="4">
        <v>5</v>
      </c>
      <c r="AF600" s="4">
        <v>0</v>
      </c>
      <c r="AG600" s="4">
        <v>2</v>
      </c>
      <c r="AH600" s="4">
        <v>0</v>
      </c>
      <c r="AI600" s="4">
        <v>0</v>
      </c>
      <c r="AJ600" s="4">
        <v>1</v>
      </c>
      <c r="AK600" s="4">
        <v>4</v>
      </c>
      <c r="AL600" s="4">
        <v>0</v>
      </c>
      <c r="AM600" s="4">
        <v>0</v>
      </c>
      <c r="AN600" s="4">
        <v>0</v>
      </c>
      <c r="AO600" s="4">
        <v>0</v>
      </c>
      <c r="AP600" s="3" t="s">
        <v>58</v>
      </c>
      <c r="AQ600" s="3" t="s">
        <v>86</v>
      </c>
      <c r="AR600" s="6" t="str">
        <f>HYPERLINK("http://catalog.hathitrust.org/Record/009915443","HathiTrust Record")</f>
        <v>HathiTrust Record</v>
      </c>
      <c r="AS600" s="6" t="str">
        <f>HYPERLINK("https://creighton-primo.hosted.exlibrisgroup.com/primo-explore/search?tab=default_tab&amp;search_scope=EVERYTHING&amp;vid=01CRU&amp;lang=en_US&amp;offset=0&amp;query=any,contains,991004810429702656","Catalog Record")</f>
        <v>Catalog Record</v>
      </c>
      <c r="AT600" s="6" t="str">
        <f>HYPERLINK("http://www.worldcat.org/oclc/5271968","WorldCat Record")</f>
        <v>WorldCat Record</v>
      </c>
      <c r="AU600" s="3" t="s">
        <v>7933</v>
      </c>
      <c r="AV600" s="3" t="s">
        <v>7934</v>
      </c>
      <c r="AW600" s="3" t="s">
        <v>7935</v>
      </c>
      <c r="AX600" s="3" t="s">
        <v>7935</v>
      </c>
      <c r="AY600" s="3" t="s">
        <v>7936</v>
      </c>
      <c r="AZ600" s="3" t="s">
        <v>74</v>
      </c>
      <c r="BC600" s="3" t="s">
        <v>7937</v>
      </c>
      <c r="BD600" s="3" t="s">
        <v>7938</v>
      </c>
    </row>
    <row r="601" spans="1:56" ht="42.75" customHeight="1" x14ac:dyDescent="0.25">
      <c r="A601" s="7" t="s">
        <v>58</v>
      </c>
      <c r="B601" s="2" t="s">
        <v>7939</v>
      </c>
      <c r="C601" s="2" t="s">
        <v>7940</v>
      </c>
      <c r="D601" s="2" t="s">
        <v>7941</v>
      </c>
      <c r="F601" s="3" t="s">
        <v>58</v>
      </c>
      <c r="G601" s="3" t="s">
        <v>59</v>
      </c>
      <c r="H601" s="3" t="s">
        <v>58</v>
      </c>
      <c r="I601" s="3" t="s">
        <v>58</v>
      </c>
      <c r="J601" s="3" t="s">
        <v>60</v>
      </c>
      <c r="K601" s="2" t="s">
        <v>7942</v>
      </c>
      <c r="L601" s="2" t="s">
        <v>7943</v>
      </c>
      <c r="M601" s="3" t="s">
        <v>3914</v>
      </c>
      <c r="O601" s="3" t="s">
        <v>64</v>
      </c>
      <c r="P601" s="3" t="s">
        <v>115</v>
      </c>
      <c r="R601" s="3" t="s">
        <v>67</v>
      </c>
      <c r="S601" s="4">
        <v>1</v>
      </c>
      <c r="T601" s="4">
        <v>1</v>
      </c>
      <c r="U601" s="5" t="s">
        <v>1050</v>
      </c>
      <c r="V601" s="5" t="s">
        <v>1050</v>
      </c>
      <c r="W601" s="5" t="s">
        <v>7944</v>
      </c>
      <c r="X601" s="5" t="s">
        <v>7944</v>
      </c>
      <c r="Y601" s="4">
        <v>398</v>
      </c>
      <c r="Z601" s="4">
        <v>383</v>
      </c>
      <c r="AA601" s="4">
        <v>440</v>
      </c>
      <c r="AB601" s="4">
        <v>4</v>
      </c>
      <c r="AC601" s="4">
        <v>4</v>
      </c>
      <c r="AD601" s="4">
        <v>6</v>
      </c>
      <c r="AE601" s="4">
        <v>6</v>
      </c>
      <c r="AF601" s="4">
        <v>1</v>
      </c>
      <c r="AG601" s="4">
        <v>1</v>
      </c>
      <c r="AH601" s="4">
        <v>2</v>
      </c>
      <c r="AI601" s="4">
        <v>2</v>
      </c>
      <c r="AJ601" s="4">
        <v>2</v>
      </c>
      <c r="AK601" s="4">
        <v>2</v>
      </c>
      <c r="AL601" s="4">
        <v>1</v>
      </c>
      <c r="AM601" s="4">
        <v>1</v>
      </c>
      <c r="AN601" s="4">
        <v>0</v>
      </c>
      <c r="AO601" s="4">
        <v>0</v>
      </c>
      <c r="AP601" s="3" t="s">
        <v>58</v>
      </c>
      <c r="AQ601" s="3" t="s">
        <v>86</v>
      </c>
      <c r="AR601" s="6" t="str">
        <f>HYPERLINK("http://catalog.hathitrust.org/Record/000692953","HathiTrust Record")</f>
        <v>HathiTrust Record</v>
      </c>
      <c r="AS601" s="6" t="str">
        <f>HYPERLINK("https://creighton-primo.hosted.exlibrisgroup.com/primo-explore/search?tab=default_tab&amp;search_scope=EVERYTHING&amp;vid=01CRU&amp;lang=en_US&amp;offset=0&amp;query=any,contains,991003968799702656","Catalog Record")</f>
        <v>Catalog Record</v>
      </c>
      <c r="AT601" s="6" t="str">
        <f>HYPERLINK("http://www.worldcat.org/oclc/1991093","WorldCat Record")</f>
        <v>WorldCat Record</v>
      </c>
      <c r="AU601" s="3" t="s">
        <v>7945</v>
      </c>
      <c r="AV601" s="3" t="s">
        <v>7946</v>
      </c>
      <c r="AW601" s="3" t="s">
        <v>7947</v>
      </c>
      <c r="AX601" s="3" t="s">
        <v>7947</v>
      </c>
      <c r="AY601" s="3" t="s">
        <v>7948</v>
      </c>
      <c r="AZ601" s="3" t="s">
        <v>74</v>
      </c>
      <c r="BB601" s="3" t="s">
        <v>7949</v>
      </c>
      <c r="BC601" s="3" t="s">
        <v>7950</v>
      </c>
      <c r="BD601" s="3" t="s">
        <v>7951</v>
      </c>
    </row>
    <row r="602" spans="1:56" ht="42.75" customHeight="1" x14ac:dyDescent="0.25">
      <c r="A602" s="7" t="s">
        <v>58</v>
      </c>
      <c r="B602" s="2" t="s">
        <v>7952</v>
      </c>
      <c r="C602" s="2" t="s">
        <v>7953</v>
      </c>
      <c r="D602" s="2" t="s">
        <v>7954</v>
      </c>
      <c r="F602" s="3" t="s">
        <v>58</v>
      </c>
      <c r="G602" s="3" t="s">
        <v>59</v>
      </c>
      <c r="H602" s="3" t="s">
        <v>58</v>
      </c>
      <c r="I602" s="3" t="s">
        <v>58</v>
      </c>
      <c r="J602" s="3" t="s">
        <v>60</v>
      </c>
      <c r="K602" s="2" t="s">
        <v>7955</v>
      </c>
      <c r="L602" s="2" t="s">
        <v>7956</v>
      </c>
      <c r="M602" s="3" t="s">
        <v>480</v>
      </c>
      <c r="O602" s="3" t="s">
        <v>64</v>
      </c>
      <c r="P602" s="3" t="s">
        <v>115</v>
      </c>
      <c r="R602" s="3" t="s">
        <v>67</v>
      </c>
      <c r="S602" s="4">
        <v>2</v>
      </c>
      <c r="T602" s="4">
        <v>2</v>
      </c>
      <c r="U602" s="5" t="s">
        <v>7895</v>
      </c>
      <c r="V602" s="5" t="s">
        <v>7895</v>
      </c>
      <c r="W602" s="5" t="s">
        <v>7573</v>
      </c>
      <c r="X602" s="5" t="s">
        <v>7573</v>
      </c>
      <c r="Y602" s="4">
        <v>424</v>
      </c>
      <c r="Z602" s="4">
        <v>360</v>
      </c>
      <c r="AA602" s="4">
        <v>367</v>
      </c>
      <c r="AB602" s="4">
        <v>2</v>
      </c>
      <c r="AC602" s="4">
        <v>2</v>
      </c>
      <c r="AD602" s="4">
        <v>20</v>
      </c>
      <c r="AE602" s="4">
        <v>20</v>
      </c>
      <c r="AF602" s="4">
        <v>5</v>
      </c>
      <c r="AG602" s="4">
        <v>5</v>
      </c>
      <c r="AH602" s="4">
        <v>6</v>
      </c>
      <c r="AI602" s="4">
        <v>6</v>
      </c>
      <c r="AJ602" s="4">
        <v>12</v>
      </c>
      <c r="AK602" s="4">
        <v>12</v>
      </c>
      <c r="AL602" s="4">
        <v>1</v>
      </c>
      <c r="AM602" s="4">
        <v>1</v>
      </c>
      <c r="AN602" s="4">
        <v>0</v>
      </c>
      <c r="AO602" s="4">
        <v>0</v>
      </c>
      <c r="AP602" s="3" t="s">
        <v>58</v>
      </c>
      <c r="AQ602" s="3" t="s">
        <v>86</v>
      </c>
      <c r="AR602" s="6" t="str">
        <f>HYPERLINK("http://catalog.hathitrust.org/Record/001830882","HathiTrust Record")</f>
        <v>HathiTrust Record</v>
      </c>
      <c r="AS602" s="6" t="str">
        <f>HYPERLINK("https://creighton-primo.hosted.exlibrisgroup.com/primo-explore/search?tab=default_tab&amp;search_scope=EVERYTHING&amp;vid=01CRU&amp;lang=en_US&amp;offset=0&amp;query=any,contains,991001553029702656","Catalog Record")</f>
        <v>Catalog Record</v>
      </c>
      <c r="AT602" s="6" t="str">
        <f>HYPERLINK("http://www.worldcat.org/oclc/20258909","WorldCat Record")</f>
        <v>WorldCat Record</v>
      </c>
      <c r="AU602" s="3" t="s">
        <v>7957</v>
      </c>
      <c r="AV602" s="3" t="s">
        <v>7958</v>
      </c>
      <c r="AW602" s="3" t="s">
        <v>7959</v>
      </c>
      <c r="AX602" s="3" t="s">
        <v>7959</v>
      </c>
      <c r="AY602" s="3" t="s">
        <v>7960</v>
      </c>
      <c r="AZ602" s="3" t="s">
        <v>74</v>
      </c>
      <c r="BB602" s="3" t="s">
        <v>7961</v>
      </c>
      <c r="BC602" s="3" t="s">
        <v>7962</v>
      </c>
      <c r="BD602" s="3" t="s">
        <v>7963</v>
      </c>
    </row>
    <row r="603" spans="1:56" ht="42.75" customHeight="1" x14ac:dyDescent="0.25">
      <c r="A603" s="7" t="s">
        <v>58</v>
      </c>
      <c r="B603" s="2" t="s">
        <v>7964</v>
      </c>
      <c r="C603" s="2" t="s">
        <v>7965</v>
      </c>
      <c r="D603" s="2" t="s">
        <v>7966</v>
      </c>
      <c r="F603" s="3" t="s">
        <v>58</v>
      </c>
      <c r="G603" s="3" t="s">
        <v>59</v>
      </c>
      <c r="H603" s="3" t="s">
        <v>58</v>
      </c>
      <c r="I603" s="3" t="s">
        <v>58</v>
      </c>
      <c r="J603" s="3" t="s">
        <v>60</v>
      </c>
      <c r="K603" s="2" t="s">
        <v>7967</v>
      </c>
      <c r="L603" s="2" t="s">
        <v>7968</v>
      </c>
      <c r="M603" s="3" t="s">
        <v>3069</v>
      </c>
      <c r="O603" s="3" t="s">
        <v>64</v>
      </c>
      <c r="P603" s="3" t="s">
        <v>65</v>
      </c>
      <c r="Q603" s="2" t="s">
        <v>7969</v>
      </c>
      <c r="R603" s="3" t="s">
        <v>67</v>
      </c>
      <c r="S603" s="4">
        <v>3</v>
      </c>
      <c r="T603" s="4">
        <v>3</v>
      </c>
      <c r="U603" s="5" t="s">
        <v>7970</v>
      </c>
      <c r="V603" s="5" t="s">
        <v>7970</v>
      </c>
      <c r="W603" s="5" t="s">
        <v>7971</v>
      </c>
      <c r="X603" s="5" t="s">
        <v>7971</v>
      </c>
      <c r="Y603" s="4">
        <v>434</v>
      </c>
      <c r="Z603" s="4">
        <v>242</v>
      </c>
      <c r="AA603" s="4">
        <v>673</v>
      </c>
      <c r="AB603" s="4">
        <v>2</v>
      </c>
      <c r="AC603" s="4">
        <v>6</v>
      </c>
      <c r="AD603" s="4">
        <v>7</v>
      </c>
      <c r="AE603" s="4">
        <v>17</v>
      </c>
      <c r="AF603" s="4">
        <v>3</v>
      </c>
      <c r="AG603" s="4">
        <v>6</v>
      </c>
      <c r="AH603" s="4">
        <v>2</v>
      </c>
      <c r="AI603" s="4">
        <v>4</v>
      </c>
      <c r="AJ603" s="4">
        <v>4</v>
      </c>
      <c r="AK603" s="4">
        <v>6</v>
      </c>
      <c r="AL603" s="4">
        <v>1</v>
      </c>
      <c r="AM603" s="4">
        <v>5</v>
      </c>
      <c r="AN603" s="4">
        <v>0</v>
      </c>
      <c r="AO603" s="4">
        <v>0</v>
      </c>
      <c r="AP603" s="3" t="s">
        <v>58</v>
      </c>
      <c r="AQ603" s="3" t="s">
        <v>58</v>
      </c>
      <c r="AS603" s="6" t="str">
        <f>HYPERLINK("https://creighton-primo.hosted.exlibrisgroup.com/primo-explore/search?tab=default_tab&amp;search_scope=EVERYTHING&amp;vid=01CRU&amp;lang=en_US&amp;offset=0&amp;query=any,contains,991004800439702656","Catalog Record")</f>
        <v>Catalog Record</v>
      </c>
      <c r="AT603" s="6" t="str">
        <f>HYPERLINK("http://www.worldcat.org/oclc/5212085","WorldCat Record")</f>
        <v>WorldCat Record</v>
      </c>
      <c r="AU603" s="3" t="s">
        <v>7972</v>
      </c>
      <c r="AV603" s="3" t="s">
        <v>7973</v>
      </c>
      <c r="AW603" s="3" t="s">
        <v>7974</v>
      </c>
      <c r="AX603" s="3" t="s">
        <v>7974</v>
      </c>
      <c r="AY603" s="3" t="s">
        <v>7975</v>
      </c>
      <c r="AZ603" s="3" t="s">
        <v>74</v>
      </c>
      <c r="BB603" s="3" t="s">
        <v>7976</v>
      </c>
      <c r="BC603" s="3" t="s">
        <v>7977</v>
      </c>
      <c r="BD603" s="3" t="s">
        <v>7978</v>
      </c>
    </row>
    <row r="604" spans="1:56" ht="42.75" customHeight="1" x14ac:dyDescent="0.25">
      <c r="A604" s="7" t="s">
        <v>58</v>
      </c>
      <c r="B604" s="2" t="s">
        <v>7979</v>
      </c>
      <c r="C604" s="2" t="s">
        <v>7980</v>
      </c>
      <c r="D604" s="2" t="s">
        <v>7981</v>
      </c>
      <c r="F604" s="3" t="s">
        <v>58</v>
      </c>
      <c r="G604" s="3" t="s">
        <v>59</v>
      </c>
      <c r="H604" s="3" t="s">
        <v>58</v>
      </c>
      <c r="I604" s="3" t="s">
        <v>58</v>
      </c>
      <c r="J604" s="3" t="s">
        <v>60</v>
      </c>
      <c r="K604" s="2" t="s">
        <v>7982</v>
      </c>
      <c r="L604" s="2" t="s">
        <v>7983</v>
      </c>
      <c r="M604" s="3" t="s">
        <v>2770</v>
      </c>
      <c r="N604" s="2" t="s">
        <v>4027</v>
      </c>
      <c r="O604" s="3" t="s">
        <v>64</v>
      </c>
      <c r="P604" s="3" t="s">
        <v>208</v>
      </c>
      <c r="R604" s="3" t="s">
        <v>67</v>
      </c>
      <c r="S604" s="4">
        <v>1</v>
      </c>
      <c r="T604" s="4">
        <v>1</v>
      </c>
      <c r="U604" s="5" t="s">
        <v>7984</v>
      </c>
      <c r="V604" s="5" t="s">
        <v>7984</v>
      </c>
      <c r="W604" s="5" t="s">
        <v>4730</v>
      </c>
      <c r="X604" s="5" t="s">
        <v>4730</v>
      </c>
      <c r="Y604" s="4">
        <v>168</v>
      </c>
      <c r="Z604" s="4">
        <v>149</v>
      </c>
      <c r="AA604" s="4">
        <v>263</v>
      </c>
      <c r="AB604" s="4">
        <v>2</v>
      </c>
      <c r="AC604" s="4">
        <v>2</v>
      </c>
      <c r="AD604" s="4">
        <v>8</v>
      </c>
      <c r="AE604" s="4">
        <v>9</v>
      </c>
      <c r="AF604" s="4">
        <v>3</v>
      </c>
      <c r="AG604" s="4">
        <v>4</v>
      </c>
      <c r="AH604" s="4">
        <v>2</v>
      </c>
      <c r="AI604" s="4">
        <v>2</v>
      </c>
      <c r="AJ604" s="4">
        <v>4</v>
      </c>
      <c r="AK604" s="4">
        <v>5</v>
      </c>
      <c r="AL604" s="4">
        <v>1</v>
      </c>
      <c r="AM604" s="4">
        <v>1</v>
      </c>
      <c r="AN604" s="4">
        <v>0</v>
      </c>
      <c r="AO604" s="4">
        <v>0</v>
      </c>
      <c r="AP604" s="3" t="s">
        <v>58</v>
      </c>
      <c r="AQ604" s="3" t="s">
        <v>58</v>
      </c>
      <c r="AS604" s="6" t="str">
        <f>HYPERLINK("https://creighton-primo.hosted.exlibrisgroup.com/primo-explore/search?tab=default_tab&amp;search_scope=EVERYTHING&amp;vid=01CRU&amp;lang=en_US&amp;offset=0&amp;query=any,contains,991004314529702656","Catalog Record")</f>
        <v>Catalog Record</v>
      </c>
      <c r="AT604" s="6" t="str">
        <f>HYPERLINK("http://www.worldcat.org/oclc/3003150","WorldCat Record")</f>
        <v>WorldCat Record</v>
      </c>
      <c r="AU604" s="3" t="s">
        <v>7985</v>
      </c>
      <c r="AV604" s="3" t="s">
        <v>7986</v>
      </c>
      <c r="AW604" s="3" t="s">
        <v>7987</v>
      </c>
      <c r="AX604" s="3" t="s">
        <v>7987</v>
      </c>
      <c r="AY604" s="3" t="s">
        <v>7988</v>
      </c>
      <c r="AZ604" s="3" t="s">
        <v>74</v>
      </c>
      <c r="BB604" s="3" t="s">
        <v>7989</v>
      </c>
      <c r="BC604" s="3" t="s">
        <v>7990</v>
      </c>
      <c r="BD604" s="3" t="s">
        <v>7991</v>
      </c>
    </row>
    <row r="605" spans="1:56" ht="42.75" customHeight="1" x14ac:dyDescent="0.25">
      <c r="A605" s="7" t="s">
        <v>58</v>
      </c>
      <c r="B605" s="2" t="s">
        <v>7992</v>
      </c>
      <c r="C605" s="2" t="s">
        <v>7993</v>
      </c>
      <c r="D605" s="2" t="s">
        <v>7994</v>
      </c>
      <c r="F605" s="3" t="s">
        <v>58</v>
      </c>
      <c r="G605" s="3" t="s">
        <v>59</v>
      </c>
      <c r="H605" s="3" t="s">
        <v>58</v>
      </c>
      <c r="I605" s="3" t="s">
        <v>58</v>
      </c>
      <c r="J605" s="3" t="s">
        <v>60</v>
      </c>
      <c r="K605" s="2" t="s">
        <v>7995</v>
      </c>
      <c r="L605" s="2" t="s">
        <v>7996</v>
      </c>
      <c r="M605" s="3" t="s">
        <v>4218</v>
      </c>
      <c r="N605" s="2" t="s">
        <v>3823</v>
      </c>
      <c r="O605" s="3" t="s">
        <v>64</v>
      </c>
      <c r="P605" s="3" t="s">
        <v>115</v>
      </c>
      <c r="R605" s="3" t="s">
        <v>67</v>
      </c>
      <c r="S605" s="4">
        <v>3</v>
      </c>
      <c r="T605" s="4">
        <v>3</v>
      </c>
      <c r="U605" s="5" t="s">
        <v>7997</v>
      </c>
      <c r="V605" s="5" t="s">
        <v>7997</v>
      </c>
      <c r="W605" s="5" t="s">
        <v>3917</v>
      </c>
      <c r="X605" s="5" t="s">
        <v>3917</v>
      </c>
      <c r="Y605" s="4">
        <v>663</v>
      </c>
      <c r="Z605" s="4">
        <v>615</v>
      </c>
      <c r="AA605" s="4">
        <v>951</v>
      </c>
      <c r="AB605" s="4">
        <v>5</v>
      </c>
      <c r="AC605" s="4">
        <v>7</v>
      </c>
      <c r="AD605" s="4">
        <v>23</v>
      </c>
      <c r="AE605" s="4">
        <v>35</v>
      </c>
      <c r="AF605" s="4">
        <v>8</v>
      </c>
      <c r="AG605" s="4">
        <v>14</v>
      </c>
      <c r="AH605" s="4">
        <v>2</v>
      </c>
      <c r="AI605" s="4">
        <v>3</v>
      </c>
      <c r="AJ605" s="4">
        <v>14</v>
      </c>
      <c r="AK605" s="4">
        <v>19</v>
      </c>
      <c r="AL605" s="4">
        <v>4</v>
      </c>
      <c r="AM605" s="4">
        <v>5</v>
      </c>
      <c r="AN605" s="4">
        <v>0</v>
      </c>
      <c r="AO605" s="4">
        <v>0</v>
      </c>
      <c r="AP605" s="3" t="s">
        <v>58</v>
      </c>
      <c r="AQ605" s="3" t="s">
        <v>86</v>
      </c>
      <c r="AR605" s="6" t="str">
        <f>HYPERLINK("http://catalog.hathitrust.org/Record/001564288","HathiTrust Record")</f>
        <v>HathiTrust Record</v>
      </c>
      <c r="AS605" s="6" t="str">
        <f>HYPERLINK("https://creighton-primo.hosted.exlibrisgroup.com/primo-explore/search?tab=default_tab&amp;search_scope=EVERYTHING&amp;vid=01CRU&amp;lang=en_US&amp;offset=0&amp;query=any,contains,991000995709702656","Catalog Record")</f>
        <v>Catalog Record</v>
      </c>
      <c r="AT605" s="6" t="str">
        <f>HYPERLINK("http://www.worldcat.org/oclc/171349","WorldCat Record")</f>
        <v>WorldCat Record</v>
      </c>
      <c r="AU605" s="3" t="s">
        <v>7998</v>
      </c>
      <c r="AV605" s="3" t="s">
        <v>7999</v>
      </c>
      <c r="AW605" s="3" t="s">
        <v>8000</v>
      </c>
      <c r="AX605" s="3" t="s">
        <v>8000</v>
      </c>
      <c r="AY605" s="3" t="s">
        <v>8001</v>
      </c>
      <c r="AZ605" s="3" t="s">
        <v>74</v>
      </c>
      <c r="BC605" s="3" t="s">
        <v>8002</v>
      </c>
      <c r="BD605" s="3" t="s">
        <v>8003</v>
      </c>
    </row>
    <row r="606" spans="1:56" ht="42.75" customHeight="1" x14ac:dyDescent="0.25">
      <c r="A606" s="7" t="s">
        <v>58</v>
      </c>
      <c r="B606" s="2" t="s">
        <v>8004</v>
      </c>
      <c r="C606" s="2" t="s">
        <v>8005</v>
      </c>
      <c r="D606" s="2" t="s">
        <v>8006</v>
      </c>
      <c r="F606" s="3" t="s">
        <v>58</v>
      </c>
      <c r="G606" s="3" t="s">
        <v>59</v>
      </c>
      <c r="H606" s="3" t="s">
        <v>58</v>
      </c>
      <c r="I606" s="3" t="s">
        <v>58</v>
      </c>
      <c r="J606" s="3" t="s">
        <v>60</v>
      </c>
      <c r="L606" s="2" t="s">
        <v>8007</v>
      </c>
      <c r="M606" s="3" t="s">
        <v>534</v>
      </c>
      <c r="N606" s="2" t="s">
        <v>1736</v>
      </c>
      <c r="O606" s="3" t="s">
        <v>64</v>
      </c>
      <c r="P606" s="3" t="s">
        <v>99</v>
      </c>
      <c r="Q606" s="2" t="s">
        <v>7599</v>
      </c>
      <c r="R606" s="3" t="s">
        <v>67</v>
      </c>
      <c r="S606" s="4">
        <v>4</v>
      </c>
      <c r="T606" s="4">
        <v>4</v>
      </c>
      <c r="U606" s="5" t="s">
        <v>8008</v>
      </c>
      <c r="V606" s="5" t="s">
        <v>8008</v>
      </c>
      <c r="W606" s="5" t="s">
        <v>8009</v>
      </c>
      <c r="X606" s="5" t="s">
        <v>8009</v>
      </c>
      <c r="Y606" s="4">
        <v>319</v>
      </c>
      <c r="Z606" s="4">
        <v>262</v>
      </c>
      <c r="AA606" s="4">
        <v>279</v>
      </c>
      <c r="AB606" s="4">
        <v>3</v>
      </c>
      <c r="AC606" s="4">
        <v>3</v>
      </c>
      <c r="AD606" s="4">
        <v>13</v>
      </c>
      <c r="AE606" s="4">
        <v>15</v>
      </c>
      <c r="AF606" s="4">
        <v>3</v>
      </c>
      <c r="AG606" s="4">
        <v>4</v>
      </c>
      <c r="AH606" s="4">
        <v>2</v>
      </c>
      <c r="AI606" s="4">
        <v>3</v>
      </c>
      <c r="AJ606" s="4">
        <v>9</v>
      </c>
      <c r="AK606" s="4">
        <v>9</v>
      </c>
      <c r="AL606" s="4">
        <v>2</v>
      </c>
      <c r="AM606" s="4">
        <v>2</v>
      </c>
      <c r="AN606" s="4">
        <v>0</v>
      </c>
      <c r="AO606" s="4">
        <v>0</v>
      </c>
      <c r="AP606" s="3" t="s">
        <v>58</v>
      </c>
      <c r="AQ606" s="3" t="s">
        <v>86</v>
      </c>
      <c r="AR606" s="6" t="str">
        <f>HYPERLINK("http://catalog.hathitrust.org/Record/002215514","HathiTrust Record")</f>
        <v>HathiTrust Record</v>
      </c>
      <c r="AS606" s="6" t="str">
        <f>HYPERLINK("https://creighton-primo.hosted.exlibrisgroup.com/primo-explore/search?tab=default_tab&amp;search_scope=EVERYTHING&amp;vid=01CRU&amp;lang=en_US&amp;offset=0&amp;query=any,contains,991001701439702656","Catalog Record")</f>
        <v>Catalog Record</v>
      </c>
      <c r="AT606" s="6" t="str">
        <f>HYPERLINK("http://www.worldcat.org/oclc/21524160","WorldCat Record")</f>
        <v>WorldCat Record</v>
      </c>
      <c r="AU606" s="3" t="s">
        <v>8010</v>
      </c>
      <c r="AV606" s="3" t="s">
        <v>8011</v>
      </c>
      <c r="AW606" s="3" t="s">
        <v>8012</v>
      </c>
      <c r="AX606" s="3" t="s">
        <v>8012</v>
      </c>
      <c r="AY606" s="3" t="s">
        <v>8013</v>
      </c>
      <c r="AZ606" s="3" t="s">
        <v>74</v>
      </c>
      <c r="BB606" s="3" t="s">
        <v>8014</v>
      </c>
      <c r="BC606" s="3" t="s">
        <v>8015</v>
      </c>
      <c r="BD606" s="3" t="s">
        <v>8016</v>
      </c>
    </row>
    <row r="607" spans="1:56" ht="42.75" customHeight="1" x14ac:dyDescent="0.25">
      <c r="A607" s="7" t="s">
        <v>58</v>
      </c>
      <c r="B607" s="2" t="s">
        <v>8017</v>
      </c>
      <c r="C607" s="2" t="s">
        <v>8018</v>
      </c>
      <c r="D607" s="2" t="s">
        <v>8019</v>
      </c>
      <c r="F607" s="3" t="s">
        <v>58</v>
      </c>
      <c r="G607" s="3" t="s">
        <v>59</v>
      </c>
      <c r="H607" s="3" t="s">
        <v>58</v>
      </c>
      <c r="I607" s="3" t="s">
        <v>58</v>
      </c>
      <c r="J607" s="3" t="s">
        <v>60</v>
      </c>
      <c r="K607" s="2" t="s">
        <v>8020</v>
      </c>
      <c r="L607" s="2" t="s">
        <v>8021</v>
      </c>
      <c r="M607" s="3" t="s">
        <v>765</v>
      </c>
      <c r="N607" s="2" t="s">
        <v>1736</v>
      </c>
      <c r="O607" s="3" t="s">
        <v>64</v>
      </c>
      <c r="P607" s="3" t="s">
        <v>99</v>
      </c>
      <c r="R607" s="3" t="s">
        <v>67</v>
      </c>
      <c r="S607" s="4">
        <v>2</v>
      </c>
      <c r="T607" s="4">
        <v>2</v>
      </c>
      <c r="U607" s="5" t="s">
        <v>8022</v>
      </c>
      <c r="V607" s="5" t="s">
        <v>8022</v>
      </c>
      <c r="W607" s="5" t="s">
        <v>8022</v>
      </c>
      <c r="X607" s="5" t="s">
        <v>8022</v>
      </c>
      <c r="Y607" s="4">
        <v>172</v>
      </c>
      <c r="Z607" s="4">
        <v>122</v>
      </c>
      <c r="AA607" s="4">
        <v>124</v>
      </c>
      <c r="AB607" s="4">
        <v>1</v>
      </c>
      <c r="AC607" s="4">
        <v>1</v>
      </c>
      <c r="AD607" s="4">
        <v>2</v>
      </c>
      <c r="AE607" s="4">
        <v>2</v>
      </c>
      <c r="AF607" s="4">
        <v>1</v>
      </c>
      <c r="AG607" s="4">
        <v>1</v>
      </c>
      <c r="AH607" s="4">
        <v>0</v>
      </c>
      <c r="AI607" s="4">
        <v>0</v>
      </c>
      <c r="AJ607" s="4">
        <v>0</v>
      </c>
      <c r="AK607" s="4">
        <v>0</v>
      </c>
      <c r="AL607" s="4">
        <v>0</v>
      </c>
      <c r="AM607" s="4">
        <v>0</v>
      </c>
      <c r="AN607" s="4">
        <v>1</v>
      </c>
      <c r="AO607" s="4">
        <v>1</v>
      </c>
      <c r="AP607" s="3" t="s">
        <v>58</v>
      </c>
      <c r="AQ607" s="3" t="s">
        <v>86</v>
      </c>
      <c r="AR607" s="6" t="str">
        <f>HYPERLINK("http://catalog.hathitrust.org/Record/012275795","HathiTrust Record")</f>
        <v>HathiTrust Record</v>
      </c>
      <c r="AS607" s="6" t="str">
        <f>HYPERLINK("https://creighton-primo.hosted.exlibrisgroup.com/primo-explore/search?tab=default_tab&amp;search_scope=EVERYTHING&amp;vid=01CRU&amp;lang=en_US&amp;offset=0&amp;query=any,contains,991005080869702656","Catalog Record")</f>
        <v>Catalog Record</v>
      </c>
      <c r="AT607" s="6" t="str">
        <f>HYPERLINK("http://www.worldcat.org/oclc/34497836","WorldCat Record")</f>
        <v>WorldCat Record</v>
      </c>
      <c r="AU607" s="3" t="s">
        <v>8023</v>
      </c>
      <c r="AV607" s="3" t="s">
        <v>8024</v>
      </c>
      <c r="AW607" s="3" t="s">
        <v>8025</v>
      </c>
      <c r="AX607" s="3" t="s">
        <v>8025</v>
      </c>
      <c r="AY607" s="3" t="s">
        <v>8026</v>
      </c>
      <c r="AZ607" s="3" t="s">
        <v>74</v>
      </c>
      <c r="BB607" s="3" t="s">
        <v>8027</v>
      </c>
      <c r="BC607" s="3" t="s">
        <v>8028</v>
      </c>
      <c r="BD607" s="3" t="s">
        <v>8029</v>
      </c>
    </row>
    <row r="608" spans="1:56" ht="42.75" customHeight="1" x14ac:dyDescent="0.25">
      <c r="A608" s="7" t="s">
        <v>58</v>
      </c>
      <c r="B608" s="2" t="s">
        <v>8030</v>
      </c>
      <c r="C608" s="2" t="s">
        <v>8031</v>
      </c>
      <c r="D608" s="2" t="s">
        <v>8032</v>
      </c>
      <c r="F608" s="3" t="s">
        <v>58</v>
      </c>
      <c r="G608" s="3" t="s">
        <v>59</v>
      </c>
      <c r="H608" s="3" t="s">
        <v>58</v>
      </c>
      <c r="I608" s="3" t="s">
        <v>58</v>
      </c>
      <c r="J608" s="3" t="s">
        <v>60</v>
      </c>
      <c r="L608" s="2" t="s">
        <v>8033</v>
      </c>
      <c r="M608" s="3" t="s">
        <v>942</v>
      </c>
      <c r="O608" s="3" t="s">
        <v>64</v>
      </c>
      <c r="P608" s="3" t="s">
        <v>83</v>
      </c>
      <c r="R608" s="3" t="s">
        <v>67</v>
      </c>
      <c r="S608" s="4">
        <v>1</v>
      </c>
      <c r="T608" s="4">
        <v>1</v>
      </c>
      <c r="U608" s="5" t="s">
        <v>8034</v>
      </c>
      <c r="V608" s="5" t="s">
        <v>8034</v>
      </c>
      <c r="W608" s="5" t="s">
        <v>8034</v>
      </c>
      <c r="X608" s="5" t="s">
        <v>8034</v>
      </c>
      <c r="Y608" s="4">
        <v>125</v>
      </c>
      <c r="Z608" s="4">
        <v>116</v>
      </c>
      <c r="AA608" s="4">
        <v>118</v>
      </c>
      <c r="AB608" s="4">
        <v>1</v>
      </c>
      <c r="AC608" s="4">
        <v>1</v>
      </c>
      <c r="AD608" s="4">
        <v>4</v>
      </c>
      <c r="AE608" s="4">
        <v>4</v>
      </c>
      <c r="AF608" s="4">
        <v>0</v>
      </c>
      <c r="AG608" s="4">
        <v>0</v>
      </c>
      <c r="AH608" s="4">
        <v>1</v>
      </c>
      <c r="AI608" s="4">
        <v>1</v>
      </c>
      <c r="AJ608" s="4">
        <v>4</v>
      </c>
      <c r="AK608" s="4">
        <v>4</v>
      </c>
      <c r="AL608" s="4">
        <v>0</v>
      </c>
      <c r="AM608" s="4">
        <v>0</v>
      </c>
      <c r="AN608" s="4">
        <v>0</v>
      </c>
      <c r="AO608" s="4">
        <v>0</v>
      </c>
      <c r="AP608" s="3" t="s">
        <v>58</v>
      </c>
      <c r="AQ608" s="3" t="s">
        <v>86</v>
      </c>
      <c r="AR608" s="6" t="str">
        <f>HYPERLINK("http://catalog.hathitrust.org/Record/004031220","HathiTrust Record")</f>
        <v>HathiTrust Record</v>
      </c>
      <c r="AS608" s="6" t="str">
        <f>HYPERLINK("https://creighton-primo.hosted.exlibrisgroup.com/primo-explore/search?tab=default_tab&amp;search_scope=EVERYTHING&amp;vid=01CRU&amp;lang=en_US&amp;offset=0&amp;query=any,contains,991003330129702656","Catalog Record")</f>
        <v>Catalog Record</v>
      </c>
      <c r="AT608" s="6" t="str">
        <f>HYPERLINK("http://www.worldcat.org/oclc/40830280","WorldCat Record")</f>
        <v>WorldCat Record</v>
      </c>
      <c r="AU608" s="3" t="s">
        <v>8035</v>
      </c>
      <c r="AV608" s="3" t="s">
        <v>8036</v>
      </c>
      <c r="AW608" s="3" t="s">
        <v>8037</v>
      </c>
      <c r="AX608" s="3" t="s">
        <v>8037</v>
      </c>
      <c r="AY608" s="3" t="s">
        <v>8038</v>
      </c>
      <c r="AZ608" s="3" t="s">
        <v>74</v>
      </c>
      <c r="BB608" s="3" t="s">
        <v>8039</v>
      </c>
      <c r="BC608" s="3" t="s">
        <v>8040</v>
      </c>
      <c r="BD608" s="3" t="s">
        <v>8041</v>
      </c>
    </row>
    <row r="609" spans="1:56" ht="42.75" customHeight="1" x14ac:dyDescent="0.25">
      <c r="A609" s="7" t="s">
        <v>58</v>
      </c>
      <c r="B609" s="2" t="s">
        <v>8042</v>
      </c>
      <c r="C609" s="2" t="s">
        <v>8043</v>
      </c>
      <c r="D609" s="2" t="s">
        <v>8044</v>
      </c>
      <c r="F609" s="3" t="s">
        <v>58</v>
      </c>
      <c r="G609" s="3" t="s">
        <v>59</v>
      </c>
      <c r="H609" s="3" t="s">
        <v>58</v>
      </c>
      <c r="I609" s="3" t="s">
        <v>58</v>
      </c>
      <c r="J609" s="3" t="s">
        <v>60</v>
      </c>
      <c r="K609" s="2" t="s">
        <v>8045</v>
      </c>
      <c r="L609" s="2" t="s">
        <v>8046</v>
      </c>
      <c r="M609" s="3" t="s">
        <v>888</v>
      </c>
      <c r="O609" s="3" t="s">
        <v>64</v>
      </c>
      <c r="P609" s="3" t="s">
        <v>316</v>
      </c>
      <c r="R609" s="3" t="s">
        <v>67</v>
      </c>
      <c r="S609" s="4">
        <v>1</v>
      </c>
      <c r="T609" s="4">
        <v>1</v>
      </c>
      <c r="U609" s="5" t="s">
        <v>8047</v>
      </c>
      <c r="V609" s="5" t="s">
        <v>8047</v>
      </c>
      <c r="W609" s="5" t="s">
        <v>8047</v>
      </c>
      <c r="X609" s="5" t="s">
        <v>8047</v>
      </c>
      <c r="Y609" s="4">
        <v>99</v>
      </c>
      <c r="Z609" s="4">
        <v>76</v>
      </c>
      <c r="AA609" s="4">
        <v>310</v>
      </c>
      <c r="AB609" s="4">
        <v>1</v>
      </c>
      <c r="AC609" s="4">
        <v>1</v>
      </c>
      <c r="AD609" s="4">
        <v>7</v>
      </c>
      <c r="AE609" s="4">
        <v>13</v>
      </c>
      <c r="AF609" s="4">
        <v>3</v>
      </c>
      <c r="AG609" s="4">
        <v>6</v>
      </c>
      <c r="AH609" s="4">
        <v>1</v>
      </c>
      <c r="AI609" s="4">
        <v>2</v>
      </c>
      <c r="AJ609" s="4">
        <v>5</v>
      </c>
      <c r="AK609" s="4">
        <v>10</v>
      </c>
      <c r="AL609" s="4">
        <v>0</v>
      </c>
      <c r="AM609" s="4">
        <v>0</v>
      </c>
      <c r="AN609" s="4">
        <v>0</v>
      </c>
      <c r="AO609" s="4">
        <v>0</v>
      </c>
      <c r="AP609" s="3" t="s">
        <v>58</v>
      </c>
      <c r="AQ609" s="3" t="s">
        <v>58</v>
      </c>
      <c r="AS609" s="6" t="str">
        <f>HYPERLINK("https://creighton-primo.hosted.exlibrisgroup.com/primo-explore/search?tab=default_tab&amp;search_scope=EVERYTHING&amp;vid=01CRU&amp;lang=en_US&amp;offset=0&amp;query=any,contains,991003330069702656","Catalog Record")</f>
        <v>Catalog Record</v>
      </c>
      <c r="AT609" s="6" t="str">
        <f>HYPERLINK("http://www.worldcat.org/oclc/38010546","WorldCat Record")</f>
        <v>WorldCat Record</v>
      </c>
      <c r="AU609" s="3" t="s">
        <v>8048</v>
      </c>
      <c r="AV609" s="3" t="s">
        <v>8049</v>
      </c>
      <c r="AW609" s="3" t="s">
        <v>8050</v>
      </c>
      <c r="AX609" s="3" t="s">
        <v>8050</v>
      </c>
      <c r="AY609" s="3" t="s">
        <v>8051</v>
      </c>
      <c r="AZ609" s="3" t="s">
        <v>74</v>
      </c>
      <c r="BB609" s="3" t="s">
        <v>8052</v>
      </c>
      <c r="BC609" s="3" t="s">
        <v>8053</v>
      </c>
      <c r="BD609" s="3" t="s">
        <v>8054</v>
      </c>
    </row>
    <row r="610" spans="1:56" ht="42.75" customHeight="1" x14ac:dyDescent="0.25">
      <c r="A610" s="7" t="s">
        <v>58</v>
      </c>
      <c r="B610" s="2" t="s">
        <v>8055</v>
      </c>
      <c r="C610" s="2" t="s">
        <v>8056</v>
      </c>
      <c r="D610" s="2" t="s">
        <v>8057</v>
      </c>
      <c r="E610" s="3" t="s">
        <v>252</v>
      </c>
      <c r="F610" s="3" t="s">
        <v>58</v>
      </c>
      <c r="G610" s="3" t="s">
        <v>59</v>
      </c>
      <c r="H610" s="3" t="s">
        <v>58</v>
      </c>
      <c r="I610" s="3" t="s">
        <v>58</v>
      </c>
      <c r="J610" s="3" t="s">
        <v>60</v>
      </c>
      <c r="L610" s="2" t="s">
        <v>8058</v>
      </c>
      <c r="M610" s="3" t="s">
        <v>586</v>
      </c>
      <c r="O610" s="3" t="s">
        <v>64</v>
      </c>
      <c r="P610" s="3" t="s">
        <v>99</v>
      </c>
      <c r="Q610" s="2" t="s">
        <v>8059</v>
      </c>
      <c r="R610" s="3" t="s">
        <v>67</v>
      </c>
      <c r="S610" s="4">
        <v>4</v>
      </c>
      <c r="T610" s="4">
        <v>4</v>
      </c>
      <c r="U610" s="5" t="s">
        <v>6005</v>
      </c>
      <c r="V610" s="5" t="s">
        <v>6005</v>
      </c>
      <c r="W610" s="5" t="s">
        <v>7573</v>
      </c>
      <c r="X610" s="5" t="s">
        <v>7573</v>
      </c>
      <c r="Y610" s="4">
        <v>201</v>
      </c>
      <c r="Z610" s="4">
        <v>170</v>
      </c>
      <c r="AA610" s="4">
        <v>173</v>
      </c>
      <c r="AB610" s="4">
        <v>1</v>
      </c>
      <c r="AC610" s="4">
        <v>1</v>
      </c>
      <c r="AD610" s="4">
        <v>15</v>
      </c>
      <c r="AE610" s="4">
        <v>15</v>
      </c>
      <c r="AF610" s="4">
        <v>2</v>
      </c>
      <c r="AG610" s="4">
        <v>2</v>
      </c>
      <c r="AH610" s="4">
        <v>4</v>
      </c>
      <c r="AI610" s="4">
        <v>4</v>
      </c>
      <c r="AJ610" s="4">
        <v>11</v>
      </c>
      <c r="AK610" s="4">
        <v>11</v>
      </c>
      <c r="AL610" s="4">
        <v>0</v>
      </c>
      <c r="AM610" s="4">
        <v>0</v>
      </c>
      <c r="AN610" s="4">
        <v>0</v>
      </c>
      <c r="AO610" s="4">
        <v>0</v>
      </c>
      <c r="AP610" s="3" t="s">
        <v>58</v>
      </c>
      <c r="AQ610" s="3" t="s">
        <v>86</v>
      </c>
      <c r="AR610" s="6" t="str">
        <f>HYPERLINK("http://catalog.hathitrust.org/Record/002424257","HathiTrust Record")</f>
        <v>HathiTrust Record</v>
      </c>
      <c r="AS610" s="6" t="str">
        <f>HYPERLINK("https://creighton-primo.hosted.exlibrisgroup.com/primo-explore/search?tab=default_tab&amp;search_scope=EVERYTHING&amp;vid=01CRU&amp;lang=en_US&amp;offset=0&amp;query=any,contains,991001720329702656","Catalog Record")</f>
        <v>Catalog Record</v>
      </c>
      <c r="AT610" s="6" t="str">
        <f>HYPERLINK("http://www.worldcat.org/oclc/21678919","WorldCat Record")</f>
        <v>WorldCat Record</v>
      </c>
      <c r="AU610" s="3" t="s">
        <v>8060</v>
      </c>
      <c r="AV610" s="3" t="s">
        <v>8061</v>
      </c>
      <c r="AW610" s="3" t="s">
        <v>8062</v>
      </c>
      <c r="AX610" s="3" t="s">
        <v>8062</v>
      </c>
      <c r="AY610" s="3" t="s">
        <v>8063</v>
      </c>
      <c r="AZ610" s="3" t="s">
        <v>74</v>
      </c>
      <c r="BB610" s="3" t="s">
        <v>8064</v>
      </c>
      <c r="BC610" s="3" t="s">
        <v>8065</v>
      </c>
      <c r="BD610" s="3" t="s">
        <v>8066</v>
      </c>
    </row>
    <row r="611" spans="1:56" ht="42.75" customHeight="1" x14ac:dyDescent="0.25">
      <c r="A611" s="7" t="s">
        <v>58</v>
      </c>
      <c r="B611" s="2" t="s">
        <v>8067</v>
      </c>
      <c r="C611" s="2" t="s">
        <v>8068</v>
      </c>
      <c r="D611" s="2" t="s">
        <v>8069</v>
      </c>
      <c r="F611" s="3" t="s">
        <v>58</v>
      </c>
      <c r="G611" s="3" t="s">
        <v>59</v>
      </c>
      <c r="H611" s="3" t="s">
        <v>58</v>
      </c>
      <c r="I611" s="3" t="s">
        <v>58</v>
      </c>
      <c r="J611" s="3" t="s">
        <v>60</v>
      </c>
      <c r="K611" s="2" t="s">
        <v>8070</v>
      </c>
      <c r="L611" s="2" t="s">
        <v>8071</v>
      </c>
      <c r="M611" s="3" t="s">
        <v>344</v>
      </c>
      <c r="O611" s="3" t="s">
        <v>64</v>
      </c>
      <c r="P611" s="3" t="s">
        <v>115</v>
      </c>
      <c r="R611" s="3" t="s">
        <v>67</v>
      </c>
      <c r="S611" s="4">
        <v>3</v>
      </c>
      <c r="T611" s="4">
        <v>3</v>
      </c>
      <c r="U611" s="5" t="s">
        <v>7984</v>
      </c>
      <c r="V611" s="5" t="s">
        <v>7984</v>
      </c>
      <c r="W611" s="5" t="s">
        <v>4730</v>
      </c>
      <c r="X611" s="5" t="s">
        <v>4730</v>
      </c>
      <c r="Y611" s="4">
        <v>234</v>
      </c>
      <c r="Z611" s="4">
        <v>187</v>
      </c>
      <c r="AA611" s="4">
        <v>190</v>
      </c>
      <c r="AB611" s="4">
        <v>2</v>
      </c>
      <c r="AC611" s="4">
        <v>2</v>
      </c>
      <c r="AD611" s="4">
        <v>7</v>
      </c>
      <c r="AE611" s="4">
        <v>7</v>
      </c>
      <c r="AF611" s="4">
        <v>2</v>
      </c>
      <c r="AG611" s="4">
        <v>2</v>
      </c>
      <c r="AH611" s="4">
        <v>1</v>
      </c>
      <c r="AI611" s="4">
        <v>1</v>
      </c>
      <c r="AJ611" s="4">
        <v>4</v>
      </c>
      <c r="AK611" s="4">
        <v>4</v>
      </c>
      <c r="AL611" s="4">
        <v>1</v>
      </c>
      <c r="AM611" s="4">
        <v>1</v>
      </c>
      <c r="AN611" s="4">
        <v>0</v>
      </c>
      <c r="AO611" s="4">
        <v>0</v>
      </c>
      <c r="AP611" s="3" t="s">
        <v>58</v>
      </c>
      <c r="AQ611" s="3" t="s">
        <v>86</v>
      </c>
      <c r="AR611" s="6" t="str">
        <f>HYPERLINK("http://catalog.hathitrust.org/Record/000431800","HathiTrust Record")</f>
        <v>HathiTrust Record</v>
      </c>
      <c r="AS611" s="6" t="str">
        <f>HYPERLINK("https://creighton-primo.hosted.exlibrisgroup.com/primo-explore/search?tab=default_tab&amp;search_scope=EVERYTHING&amp;vid=01CRU&amp;lang=en_US&amp;offset=0&amp;query=any,contains,991004998209702656","Catalog Record")</f>
        <v>Catalog Record</v>
      </c>
      <c r="AT611" s="6" t="str">
        <f>HYPERLINK("http://www.worldcat.org/oclc/6532309","WorldCat Record")</f>
        <v>WorldCat Record</v>
      </c>
      <c r="AU611" s="3" t="s">
        <v>8072</v>
      </c>
      <c r="AV611" s="3" t="s">
        <v>8073</v>
      </c>
      <c r="AW611" s="3" t="s">
        <v>8074</v>
      </c>
      <c r="AX611" s="3" t="s">
        <v>8074</v>
      </c>
      <c r="AY611" s="3" t="s">
        <v>8075</v>
      </c>
      <c r="AZ611" s="3" t="s">
        <v>74</v>
      </c>
      <c r="BB611" s="3" t="s">
        <v>8076</v>
      </c>
      <c r="BC611" s="3" t="s">
        <v>8077</v>
      </c>
      <c r="BD611" s="3" t="s">
        <v>8078</v>
      </c>
    </row>
    <row r="612" spans="1:56" ht="42.75" customHeight="1" x14ac:dyDescent="0.25">
      <c r="A612" s="7" t="s">
        <v>58</v>
      </c>
      <c r="B612" s="2" t="s">
        <v>8079</v>
      </c>
      <c r="C612" s="2" t="s">
        <v>8080</v>
      </c>
      <c r="D612" s="2" t="s">
        <v>8081</v>
      </c>
      <c r="F612" s="3" t="s">
        <v>58</v>
      </c>
      <c r="G612" s="3" t="s">
        <v>59</v>
      </c>
      <c r="H612" s="3" t="s">
        <v>58</v>
      </c>
      <c r="I612" s="3" t="s">
        <v>86</v>
      </c>
      <c r="J612" s="3" t="s">
        <v>60</v>
      </c>
      <c r="K612" s="2" t="s">
        <v>8082</v>
      </c>
      <c r="L612" s="2" t="s">
        <v>6328</v>
      </c>
      <c r="M612" s="3" t="s">
        <v>3124</v>
      </c>
      <c r="O612" s="3" t="s">
        <v>64</v>
      </c>
      <c r="P612" s="3" t="s">
        <v>115</v>
      </c>
      <c r="R612" s="3" t="s">
        <v>67</v>
      </c>
      <c r="S612" s="4">
        <v>4</v>
      </c>
      <c r="T612" s="4">
        <v>4</v>
      </c>
      <c r="U612" s="5" t="s">
        <v>6329</v>
      </c>
      <c r="V612" s="5" t="s">
        <v>6329</v>
      </c>
      <c r="W612" s="5" t="s">
        <v>8083</v>
      </c>
      <c r="X612" s="5" t="s">
        <v>8083</v>
      </c>
      <c r="Y612" s="4">
        <v>574</v>
      </c>
      <c r="Z612" s="4">
        <v>443</v>
      </c>
      <c r="AA612" s="4">
        <v>639</v>
      </c>
      <c r="AB612" s="4">
        <v>5</v>
      </c>
      <c r="AC612" s="4">
        <v>6</v>
      </c>
      <c r="AD612" s="4">
        <v>17</v>
      </c>
      <c r="AE612" s="4">
        <v>23</v>
      </c>
      <c r="AF612" s="4">
        <v>5</v>
      </c>
      <c r="AG612" s="4">
        <v>7</v>
      </c>
      <c r="AH612" s="4">
        <v>4</v>
      </c>
      <c r="AI612" s="4">
        <v>6</v>
      </c>
      <c r="AJ612" s="4">
        <v>8</v>
      </c>
      <c r="AK612" s="4">
        <v>10</v>
      </c>
      <c r="AL612" s="4">
        <v>4</v>
      </c>
      <c r="AM612" s="4">
        <v>5</v>
      </c>
      <c r="AN612" s="4">
        <v>0</v>
      </c>
      <c r="AO612" s="4">
        <v>0</v>
      </c>
      <c r="AP612" s="3" t="s">
        <v>58</v>
      </c>
      <c r="AQ612" s="3" t="s">
        <v>86</v>
      </c>
      <c r="AR612" s="6" t="str">
        <f>HYPERLINK("http://catalog.hathitrust.org/Record/001564328","HathiTrust Record")</f>
        <v>HathiTrust Record</v>
      </c>
      <c r="AS612" s="6" t="str">
        <f>HYPERLINK("https://creighton-primo.hosted.exlibrisgroup.com/primo-explore/search?tab=default_tab&amp;search_scope=EVERYTHING&amp;vid=01CRU&amp;lang=en_US&amp;offset=0&amp;query=any,contains,991000401689702656","Catalog Record")</f>
        <v>Catalog Record</v>
      </c>
      <c r="AT612" s="6" t="str">
        <f>HYPERLINK("http://www.worldcat.org/oclc/73529","WorldCat Record")</f>
        <v>WorldCat Record</v>
      </c>
      <c r="AU612" s="3" t="s">
        <v>8084</v>
      </c>
      <c r="AV612" s="3" t="s">
        <v>8085</v>
      </c>
      <c r="AW612" s="3" t="s">
        <v>8086</v>
      </c>
      <c r="AX612" s="3" t="s">
        <v>8086</v>
      </c>
      <c r="AY612" s="3" t="s">
        <v>8087</v>
      </c>
      <c r="AZ612" s="3" t="s">
        <v>74</v>
      </c>
      <c r="BB612" s="3" t="s">
        <v>8088</v>
      </c>
      <c r="BC612" s="3" t="s">
        <v>8089</v>
      </c>
      <c r="BD612" s="3" t="s">
        <v>8090</v>
      </c>
    </row>
    <row r="613" spans="1:56" ht="42.75" customHeight="1" x14ac:dyDescent="0.25">
      <c r="A613" s="7" t="s">
        <v>58</v>
      </c>
      <c r="B613" s="2" t="s">
        <v>8091</v>
      </c>
      <c r="C613" s="2" t="s">
        <v>8092</v>
      </c>
      <c r="D613" s="2" t="s">
        <v>8093</v>
      </c>
      <c r="F613" s="3" t="s">
        <v>58</v>
      </c>
      <c r="G613" s="3" t="s">
        <v>59</v>
      </c>
      <c r="H613" s="3" t="s">
        <v>86</v>
      </c>
      <c r="I613" s="3" t="s">
        <v>58</v>
      </c>
      <c r="J613" s="3" t="s">
        <v>60</v>
      </c>
      <c r="L613" s="2" t="s">
        <v>8094</v>
      </c>
      <c r="M613" s="3" t="s">
        <v>98</v>
      </c>
      <c r="O613" s="3" t="s">
        <v>64</v>
      </c>
      <c r="P613" s="3" t="s">
        <v>115</v>
      </c>
      <c r="R613" s="3" t="s">
        <v>67</v>
      </c>
      <c r="S613" s="4">
        <v>11</v>
      </c>
      <c r="T613" s="4">
        <v>16</v>
      </c>
      <c r="U613" s="5" t="s">
        <v>7785</v>
      </c>
      <c r="V613" s="5" t="s">
        <v>7785</v>
      </c>
      <c r="W613" s="5" t="s">
        <v>8095</v>
      </c>
      <c r="X613" s="5" t="s">
        <v>7882</v>
      </c>
      <c r="Y613" s="4">
        <v>370</v>
      </c>
      <c r="Z613" s="4">
        <v>284</v>
      </c>
      <c r="AA613" s="4">
        <v>284</v>
      </c>
      <c r="AB613" s="4">
        <v>4</v>
      </c>
      <c r="AC613" s="4">
        <v>4</v>
      </c>
      <c r="AD613" s="4">
        <v>21</v>
      </c>
      <c r="AE613" s="4">
        <v>21</v>
      </c>
      <c r="AF613" s="4">
        <v>8</v>
      </c>
      <c r="AG613" s="4">
        <v>8</v>
      </c>
      <c r="AH613" s="4">
        <v>5</v>
      </c>
      <c r="AI613" s="4">
        <v>5</v>
      </c>
      <c r="AJ613" s="4">
        <v>13</v>
      </c>
      <c r="AK613" s="4">
        <v>13</v>
      </c>
      <c r="AL613" s="4">
        <v>2</v>
      </c>
      <c r="AM613" s="4">
        <v>2</v>
      </c>
      <c r="AN613" s="4">
        <v>0</v>
      </c>
      <c r="AO613" s="4">
        <v>0</v>
      </c>
      <c r="AP613" s="3" t="s">
        <v>58</v>
      </c>
      <c r="AQ613" s="3" t="s">
        <v>58</v>
      </c>
      <c r="AS613" s="6" t="str">
        <f>HYPERLINK("https://creighton-primo.hosted.exlibrisgroup.com/primo-explore/search?tab=default_tab&amp;search_scope=EVERYTHING&amp;vid=01CRU&amp;lang=en_US&amp;offset=0&amp;query=any,contains,991001793779702656","Catalog Record")</f>
        <v>Catalog Record</v>
      </c>
      <c r="AT613" s="6" t="str">
        <f>HYPERLINK("http://www.worldcat.org/oclc/14003274","WorldCat Record")</f>
        <v>WorldCat Record</v>
      </c>
      <c r="AU613" s="3" t="s">
        <v>8096</v>
      </c>
      <c r="AV613" s="3" t="s">
        <v>8097</v>
      </c>
      <c r="AW613" s="3" t="s">
        <v>8098</v>
      </c>
      <c r="AX613" s="3" t="s">
        <v>8098</v>
      </c>
      <c r="AY613" s="3" t="s">
        <v>8099</v>
      </c>
      <c r="AZ613" s="3" t="s">
        <v>74</v>
      </c>
      <c r="BB613" s="3" t="s">
        <v>8100</v>
      </c>
      <c r="BC613" s="3" t="s">
        <v>8101</v>
      </c>
      <c r="BD613" s="3" t="s">
        <v>8102</v>
      </c>
    </row>
    <row r="614" spans="1:56" ht="42.75" customHeight="1" x14ac:dyDescent="0.25">
      <c r="A614" s="7" t="s">
        <v>58</v>
      </c>
      <c r="B614" s="2" t="s">
        <v>8103</v>
      </c>
      <c r="C614" s="2" t="s">
        <v>8104</v>
      </c>
      <c r="D614" s="2" t="s">
        <v>8105</v>
      </c>
      <c r="F614" s="3" t="s">
        <v>58</v>
      </c>
      <c r="G614" s="3" t="s">
        <v>59</v>
      </c>
      <c r="H614" s="3" t="s">
        <v>86</v>
      </c>
      <c r="I614" s="3" t="s">
        <v>58</v>
      </c>
      <c r="J614" s="3" t="s">
        <v>60</v>
      </c>
      <c r="K614" s="2" t="s">
        <v>8106</v>
      </c>
      <c r="L614" s="2" t="s">
        <v>8107</v>
      </c>
      <c r="M614" s="3" t="s">
        <v>3069</v>
      </c>
      <c r="O614" s="3" t="s">
        <v>64</v>
      </c>
      <c r="P614" s="3" t="s">
        <v>115</v>
      </c>
      <c r="R614" s="3" t="s">
        <v>67</v>
      </c>
      <c r="S614" s="4">
        <v>2</v>
      </c>
      <c r="T614" s="4">
        <v>3</v>
      </c>
      <c r="V614" s="5" t="s">
        <v>8108</v>
      </c>
      <c r="W614" s="5" t="s">
        <v>4124</v>
      </c>
      <c r="X614" s="5" t="s">
        <v>4124</v>
      </c>
      <c r="Y614" s="4">
        <v>684</v>
      </c>
      <c r="Z614" s="4">
        <v>525</v>
      </c>
      <c r="AA614" s="4">
        <v>533</v>
      </c>
      <c r="AB614" s="4">
        <v>6</v>
      </c>
      <c r="AC614" s="4">
        <v>6</v>
      </c>
      <c r="AD614" s="4">
        <v>21</v>
      </c>
      <c r="AE614" s="4">
        <v>21</v>
      </c>
      <c r="AF614" s="4">
        <v>4</v>
      </c>
      <c r="AG614" s="4">
        <v>4</v>
      </c>
      <c r="AH614" s="4">
        <v>5</v>
      </c>
      <c r="AI614" s="4">
        <v>5</v>
      </c>
      <c r="AJ614" s="4">
        <v>12</v>
      </c>
      <c r="AK614" s="4">
        <v>12</v>
      </c>
      <c r="AL614" s="4">
        <v>4</v>
      </c>
      <c r="AM614" s="4">
        <v>4</v>
      </c>
      <c r="AN614" s="4">
        <v>0</v>
      </c>
      <c r="AO614" s="4">
        <v>0</v>
      </c>
      <c r="AP614" s="3" t="s">
        <v>58</v>
      </c>
      <c r="AQ614" s="3" t="s">
        <v>86</v>
      </c>
      <c r="AR614" s="6" t="str">
        <f>HYPERLINK("http://catalog.hathitrust.org/Record/001564350","HathiTrust Record")</f>
        <v>HathiTrust Record</v>
      </c>
      <c r="AS614" s="6" t="str">
        <f>HYPERLINK("https://creighton-primo.hosted.exlibrisgroup.com/primo-explore/search?tab=default_tab&amp;search_scope=EVERYTHING&amp;vid=01CRU&amp;lang=en_US&amp;offset=0&amp;query=any,contains,991001779379702656","Catalog Record")</f>
        <v>Catalog Record</v>
      </c>
      <c r="AT614" s="6" t="str">
        <f>HYPERLINK("http://www.worldcat.org/oclc/241975","WorldCat Record")</f>
        <v>WorldCat Record</v>
      </c>
      <c r="AU614" s="3" t="s">
        <v>8109</v>
      </c>
      <c r="AV614" s="3" t="s">
        <v>8110</v>
      </c>
      <c r="AW614" s="3" t="s">
        <v>8111</v>
      </c>
      <c r="AX614" s="3" t="s">
        <v>8111</v>
      </c>
      <c r="AY614" s="3" t="s">
        <v>8112</v>
      </c>
      <c r="AZ614" s="3" t="s">
        <v>74</v>
      </c>
      <c r="BC614" s="3" t="s">
        <v>8113</v>
      </c>
      <c r="BD614" s="3" t="s">
        <v>8114</v>
      </c>
    </row>
    <row r="615" spans="1:56" ht="42.75" customHeight="1" x14ac:dyDescent="0.25">
      <c r="A615" s="7" t="s">
        <v>58</v>
      </c>
      <c r="B615" s="2" t="s">
        <v>8115</v>
      </c>
      <c r="C615" s="2" t="s">
        <v>8116</v>
      </c>
      <c r="D615" s="2" t="s">
        <v>8117</v>
      </c>
      <c r="F615" s="3" t="s">
        <v>58</v>
      </c>
      <c r="G615" s="3" t="s">
        <v>59</v>
      </c>
      <c r="H615" s="3" t="s">
        <v>58</v>
      </c>
      <c r="I615" s="3" t="s">
        <v>58</v>
      </c>
      <c r="J615" s="3" t="s">
        <v>60</v>
      </c>
      <c r="L615" s="2" t="s">
        <v>8118</v>
      </c>
      <c r="M615" s="3" t="s">
        <v>82</v>
      </c>
      <c r="O615" s="3" t="s">
        <v>64</v>
      </c>
      <c r="P615" s="3" t="s">
        <v>145</v>
      </c>
      <c r="Q615" s="2" t="s">
        <v>8119</v>
      </c>
      <c r="R615" s="3" t="s">
        <v>67</v>
      </c>
      <c r="S615" s="4">
        <v>2</v>
      </c>
      <c r="T615" s="4">
        <v>2</v>
      </c>
      <c r="U615" s="5" t="s">
        <v>6918</v>
      </c>
      <c r="V615" s="5" t="s">
        <v>6918</v>
      </c>
      <c r="W615" s="5" t="s">
        <v>8120</v>
      </c>
      <c r="X615" s="5" t="s">
        <v>8120</v>
      </c>
      <c r="Y615" s="4">
        <v>200</v>
      </c>
      <c r="Z615" s="4">
        <v>158</v>
      </c>
      <c r="AA615" s="4">
        <v>158</v>
      </c>
      <c r="AB615" s="4">
        <v>3</v>
      </c>
      <c r="AC615" s="4">
        <v>3</v>
      </c>
      <c r="AD615" s="4">
        <v>9</v>
      </c>
      <c r="AE615" s="4">
        <v>9</v>
      </c>
      <c r="AF615" s="4">
        <v>1</v>
      </c>
      <c r="AG615" s="4">
        <v>1</v>
      </c>
      <c r="AH615" s="4">
        <v>2</v>
      </c>
      <c r="AI615" s="4">
        <v>2</v>
      </c>
      <c r="AJ615" s="4">
        <v>6</v>
      </c>
      <c r="AK615" s="4">
        <v>6</v>
      </c>
      <c r="AL615" s="4">
        <v>2</v>
      </c>
      <c r="AM615" s="4">
        <v>2</v>
      </c>
      <c r="AN615" s="4">
        <v>0</v>
      </c>
      <c r="AO615" s="4">
        <v>0</v>
      </c>
      <c r="AP615" s="3" t="s">
        <v>58</v>
      </c>
      <c r="AQ615" s="3" t="s">
        <v>58</v>
      </c>
      <c r="AS615" s="6" t="str">
        <f>HYPERLINK("https://creighton-primo.hosted.exlibrisgroup.com/primo-explore/search?tab=default_tab&amp;search_scope=EVERYTHING&amp;vid=01CRU&amp;lang=en_US&amp;offset=0&amp;query=any,contains,991000902259702656","Catalog Record")</f>
        <v>Catalog Record</v>
      </c>
      <c r="AT615" s="6" t="str">
        <f>HYPERLINK("http://www.worldcat.org/oclc/14068424","WorldCat Record")</f>
        <v>WorldCat Record</v>
      </c>
      <c r="AU615" s="3" t="s">
        <v>8121</v>
      </c>
      <c r="AV615" s="3" t="s">
        <v>8122</v>
      </c>
      <c r="AW615" s="3" t="s">
        <v>8123</v>
      </c>
      <c r="AX615" s="3" t="s">
        <v>8123</v>
      </c>
      <c r="AY615" s="3" t="s">
        <v>8124</v>
      </c>
      <c r="AZ615" s="3" t="s">
        <v>74</v>
      </c>
      <c r="BB615" s="3" t="s">
        <v>8125</v>
      </c>
      <c r="BC615" s="3" t="s">
        <v>8126</v>
      </c>
      <c r="BD615" s="3" t="s">
        <v>8127</v>
      </c>
    </row>
    <row r="616" spans="1:56" ht="42.75" customHeight="1" x14ac:dyDescent="0.25">
      <c r="A616" s="7" t="s">
        <v>58</v>
      </c>
      <c r="B616" s="2" t="s">
        <v>8128</v>
      </c>
      <c r="C616" s="2" t="s">
        <v>8129</v>
      </c>
      <c r="D616" s="2" t="s">
        <v>8130</v>
      </c>
      <c r="F616" s="3" t="s">
        <v>58</v>
      </c>
      <c r="G616" s="3" t="s">
        <v>59</v>
      </c>
      <c r="H616" s="3" t="s">
        <v>58</v>
      </c>
      <c r="I616" s="3" t="s">
        <v>58</v>
      </c>
      <c r="J616" s="3" t="s">
        <v>60</v>
      </c>
      <c r="L616" s="2" t="s">
        <v>8131</v>
      </c>
      <c r="M616" s="3" t="s">
        <v>1141</v>
      </c>
      <c r="N616" s="2" t="s">
        <v>1736</v>
      </c>
      <c r="O616" s="3" t="s">
        <v>64</v>
      </c>
      <c r="P616" s="3" t="s">
        <v>145</v>
      </c>
      <c r="R616" s="3" t="s">
        <v>67</v>
      </c>
      <c r="S616" s="4">
        <v>1</v>
      </c>
      <c r="T616" s="4">
        <v>1</v>
      </c>
      <c r="U616" s="5" t="s">
        <v>1333</v>
      </c>
      <c r="V616" s="5" t="s">
        <v>1333</v>
      </c>
      <c r="W616" s="5" t="s">
        <v>1129</v>
      </c>
      <c r="X616" s="5" t="s">
        <v>1129</v>
      </c>
      <c r="Y616" s="4">
        <v>203</v>
      </c>
      <c r="Z616" s="4">
        <v>170</v>
      </c>
      <c r="AA616" s="4">
        <v>256</v>
      </c>
      <c r="AB616" s="4">
        <v>2</v>
      </c>
      <c r="AC616" s="4">
        <v>3</v>
      </c>
      <c r="AD616" s="4">
        <v>6</v>
      </c>
      <c r="AE616" s="4">
        <v>13</v>
      </c>
      <c r="AF616" s="4">
        <v>1</v>
      </c>
      <c r="AG616" s="4">
        <v>3</v>
      </c>
      <c r="AH616" s="4">
        <v>2</v>
      </c>
      <c r="AI616" s="4">
        <v>2</v>
      </c>
      <c r="AJ616" s="4">
        <v>4</v>
      </c>
      <c r="AK616" s="4">
        <v>8</v>
      </c>
      <c r="AL616" s="4">
        <v>1</v>
      </c>
      <c r="AM616" s="4">
        <v>2</v>
      </c>
      <c r="AN616" s="4">
        <v>0</v>
      </c>
      <c r="AO616" s="4">
        <v>0</v>
      </c>
      <c r="AP616" s="3" t="s">
        <v>58</v>
      </c>
      <c r="AQ616" s="3" t="s">
        <v>58</v>
      </c>
      <c r="AS616" s="6" t="str">
        <f>HYPERLINK("https://creighton-primo.hosted.exlibrisgroup.com/primo-explore/search?tab=default_tab&amp;search_scope=EVERYTHING&amp;vid=01CRU&amp;lang=en_US&amp;offset=0&amp;query=any,contains,991003977869702656","Catalog Record")</f>
        <v>Catalog Record</v>
      </c>
      <c r="AT616" s="6" t="str">
        <f>HYPERLINK("http://www.worldcat.org/oclc/50725481","WorldCat Record")</f>
        <v>WorldCat Record</v>
      </c>
      <c r="AU616" s="3" t="s">
        <v>8132</v>
      </c>
      <c r="AV616" s="3" t="s">
        <v>8133</v>
      </c>
      <c r="AW616" s="3" t="s">
        <v>8134</v>
      </c>
      <c r="AX616" s="3" t="s">
        <v>8134</v>
      </c>
      <c r="AY616" s="3" t="s">
        <v>8135</v>
      </c>
      <c r="AZ616" s="3" t="s">
        <v>74</v>
      </c>
      <c r="BB616" s="3" t="s">
        <v>8136</v>
      </c>
      <c r="BC616" s="3" t="s">
        <v>8137</v>
      </c>
      <c r="BD616" s="3" t="s">
        <v>8138</v>
      </c>
    </row>
    <row r="617" spans="1:56" ht="42.75" customHeight="1" x14ac:dyDescent="0.25">
      <c r="A617" s="7" t="s">
        <v>58</v>
      </c>
      <c r="B617" s="2" t="s">
        <v>8139</v>
      </c>
      <c r="C617" s="2" t="s">
        <v>8140</v>
      </c>
      <c r="D617" s="2" t="s">
        <v>8141</v>
      </c>
      <c r="F617" s="3" t="s">
        <v>58</v>
      </c>
      <c r="G617" s="3" t="s">
        <v>59</v>
      </c>
      <c r="H617" s="3" t="s">
        <v>58</v>
      </c>
      <c r="I617" s="3" t="s">
        <v>58</v>
      </c>
      <c r="J617" s="3" t="s">
        <v>60</v>
      </c>
      <c r="K617" s="2" t="s">
        <v>8142</v>
      </c>
      <c r="L617" s="2" t="s">
        <v>8143</v>
      </c>
      <c r="M617" s="3" t="s">
        <v>996</v>
      </c>
      <c r="N617" s="2" t="s">
        <v>1844</v>
      </c>
      <c r="O617" s="3" t="s">
        <v>64</v>
      </c>
      <c r="P617" s="3" t="s">
        <v>115</v>
      </c>
      <c r="R617" s="3" t="s">
        <v>67</v>
      </c>
      <c r="S617" s="4">
        <v>4</v>
      </c>
      <c r="T617" s="4">
        <v>4</v>
      </c>
      <c r="U617" s="5" t="s">
        <v>8144</v>
      </c>
      <c r="V617" s="5" t="s">
        <v>8144</v>
      </c>
      <c r="W617" s="5" t="s">
        <v>8145</v>
      </c>
      <c r="X617" s="5" t="s">
        <v>8145</v>
      </c>
      <c r="Y617" s="4">
        <v>315</v>
      </c>
      <c r="Z617" s="4">
        <v>279</v>
      </c>
      <c r="AA617" s="4">
        <v>524</v>
      </c>
      <c r="AB617" s="4">
        <v>2</v>
      </c>
      <c r="AC617" s="4">
        <v>3</v>
      </c>
      <c r="AD617" s="4">
        <v>22</v>
      </c>
      <c r="AE617" s="4">
        <v>35</v>
      </c>
      <c r="AF617" s="4">
        <v>6</v>
      </c>
      <c r="AG617" s="4">
        <v>11</v>
      </c>
      <c r="AH617" s="4">
        <v>2</v>
      </c>
      <c r="AI617" s="4">
        <v>7</v>
      </c>
      <c r="AJ617" s="4">
        <v>9</v>
      </c>
      <c r="AK617" s="4">
        <v>14</v>
      </c>
      <c r="AL617" s="4">
        <v>1</v>
      </c>
      <c r="AM617" s="4">
        <v>2</v>
      </c>
      <c r="AN617" s="4">
        <v>8</v>
      </c>
      <c r="AO617" s="4">
        <v>9</v>
      </c>
      <c r="AP617" s="3" t="s">
        <v>58</v>
      </c>
      <c r="AQ617" s="3" t="s">
        <v>58</v>
      </c>
      <c r="AS617" s="6" t="str">
        <f>HYPERLINK("https://creighton-primo.hosted.exlibrisgroup.com/primo-explore/search?tab=default_tab&amp;search_scope=EVERYTHING&amp;vid=01CRU&amp;lang=en_US&amp;offset=0&amp;query=any,contains,991004511069702656","Catalog Record")</f>
        <v>Catalog Record</v>
      </c>
      <c r="AT617" s="6" t="str">
        <f>HYPERLINK("http://www.worldcat.org/oclc/42683386","WorldCat Record")</f>
        <v>WorldCat Record</v>
      </c>
      <c r="AU617" s="3" t="s">
        <v>8146</v>
      </c>
      <c r="AV617" s="3" t="s">
        <v>8147</v>
      </c>
      <c r="AW617" s="3" t="s">
        <v>8148</v>
      </c>
      <c r="AX617" s="3" t="s">
        <v>8148</v>
      </c>
      <c r="AY617" s="3" t="s">
        <v>8149</v>
      </c>
      <c r="AZ617" s="3" t="s">
        <v>74</v>
      </c>
      <c r="BB617" s="3" t="s">
        <v>8150</v>
      </c>
      <c r="BC617" s="3" t="s">
        <v>8151</v>
      </c>
      <c r="BD617" s="3" t="s">
        <v>8152</v>
      </c>
    </row>
    <row r="618" spans="1:56" ht="42.75" customHeight="1" x14ac:dyDescent="0.25">
      <c r="A618" s="7" t="s">
        <v>58</v>
      </c>
      <c r="B618" s="2" t="s">
        <v>8153</v>
      </c>
      <c r="C618" s="2" t="s">
        <v>8154</v>
      </c>
      <c r="D618" s="2" t="s">
        <v>8155</v>
      </c>
      <c r="F618" s="3" t="s">
        <v>58</v>
      </c>
      <c r="G618" s="3" t="s">
        <v>59</v>
      </c>
      <c r="H618" s="3" t="s">
        <v>58</v>
      </c>
      <c r="I618" s="3" t="s">
        <v>58</v>
      </c>
      <c r="J618" s="3" t="s">
        <v>60</v>
      </c>
      <c r="L618" s="2" t="s">
        <v>8156</v>
      </c>
      <c r="M618" s="3" t="s">
        <v>207</v>
      </c>
      <c r="O618" s="3" t="s">
        <v>64</v>
      </c>
      <c r="P618" s="3" t="s">
        <v>115</v>
      </c>
      <c r="Q618" s="2" t="s">
        <v>6057</v>
      </c>
      <c r="R618" s="3" t="s">
        <v>67</v>
      </c>
      <c r="S618" s="4">
        <v>10</v>
      </c>
      <c r="T618" s="4">
        <v>10</v>
      </c>
      <c r="U618" s="5" t="s">
        <v>8157</v>
      </c>
      <c r="V618" s="5" t="s">
        <v>8157</v>
      </c>
      <c r="W618" s="5" t="s">
        <v>8158</v>
      </c>
      <c r="X618" s="5" t="s">
        <v>8158</v>
      </c>
      <c r="Y618" s="4">
        <v>412</v>
      </c>
      <c r="Z618" s="4">
        <v>286</v>
      </c>
      <c r="AA618" s="4">
        <v>328</v>
      </c>
      <c r="AB618" s="4">
        <v>3</v>
      </c>
      <c r="AC618" s="4">
        <v>3</v>
      </c>
      <c r="AD618" s="4">
        <v>18</v>
      </c>
      <c r="AE618" s="4">
        <v>21</v>
      </c>
      <c r="AF618" s="4">
        <v>8</v>
      </c>
      <c r="AG618" s="4">
        <v>10</v>
      </c>
      <c r="AH618" s="4">
        <v>3</v>
      </c>
      <c r="AI618" s="4">
        <v>5</v>
      </c>
      <c r="AJ618" s="4">
        <v>11</v>
      </c>
      <c r="AK618" s="4">
        <v>11</v>
      </c>
      <c r="AL618" s="4">
        <v>2</v>
      </c>
      <c r="AM618" s="4">
        <v>2</v>
      </c>
      <c r="AN618" s="4">
        <v>0</v>
      </c>
      <c r="AO618" s="4">
        <v>0</v>
      </c>
      <c r="AP618" s="3" t="s">
        <v>58</v>
      </c>
      <c r="AQ618" s="3" t="s">
        <v>86</v>
      </c>
      <c r="AR618" s="6" t="str">
        <f>HYPERLINK("http://catalog.hathitrust.org/Record/000098247","HathiTrust Record")</f>
        <v>HathiTrust Record</v>
      </c>
      <c r="AS618" s="6" t="str">
        <f>HYPERLINK("https://creighton-primo.hosted.exlibrisgroup.com/primo-explore/search?tab=default_tab&amp;search_scope=EVERYTHING&amp;vid=01CRU&amp;lang=en_US&amp;offset=0&amp;query=any,contains,991005055149702656","Catalog Record")</f>
        <v>Catalog Record</v>
      </c>
      <c r="AT618" s="6" t="str">
        <f>HYPERLINK("http://www.worldcat.org/oclc/6891128","WorldCat Record")</f>
        <v>WorldCat Record</v>
      </c>
      <c r="AU618" s="3" t="s">
        <v>8159</v>
      </c>
      <c r="AV618" s="3" t="s">
        <v>8160</v>
      </c>
      <c r="AW618" s="3" t="s">
        <v>8161</v>
      </c>
      <c r="AX618" s="3" t="s">
        <v>8161</v>
      </c>
      <c r="AY618" s="3" t="s">
        <v>8162</v>
      </c>
      <c r="AZ618" s="3" t="s">
        <v>74</v>
      </c>
      <c r="BB618" s="3" t="s">
        <v>8163</v>
      </c>
      <c r="BC618" s="3" t="s">
        <v>8164</v>
      </c>
      <c r="BD618" s="3" t="s">
        <v>8165</v>
      </c>
    </row>
    <row r="619" spans="1:56" ht="42.75" customHeight="1" x14ac:dyDescent="0.25">
      <c r="A619" s="7" t="s">
        <v>58</v>
      </c>
      <c r="B619" s="2" t="s">
        <v>8166</v>
      </c>
      <c r="C619" s="2" t="s">
        <v>8167</v>
      </c>
      <c r="D619" s="2" t="s">
        <v>8168</v>
      </c>
      <c r="F619" s="3" t="s">
        <v>58</v>
      </c>
      <c r="G619" s="3" t="s">
        <v>59</v>
      </c>
      <c r="H619" s="3" t="s">
        <v>58</v>
      </c>
      <c r="I619" s="3" t="s">
        <v>58</v>
      </c>
      <c r="J619" s="3" t="s">
        <v>60</v>
      </c>
      <c r="K619" s="2" t="s">
        <v>8169</v>
      </c>
      <c r="L619" s="2" t="s">
        <v>8170</v>
      </c>
      <c r="M619" s="3" t="s">
        <v>144</v>
      </c>
      <c r="O619" s="3" t="s">
        <v>64</v>
      </c>
      <c r="P619" s="3" t="s">
        <v>8171</v>
      </c>
      <c r="R619" s="3" t="s">
        <v>67</v>
      </c>
      <c r="S619" s="4">
        <v>13</v>
      </c>
      <c r="T619" s="4">
        <v>13</v>
      </c>
      <c r="U619" s="5" t="s">
        <v>7075</v>
      </c>
      <c r="V619" s="5" t="s">
        <v>7075</v>
      </c>
      <c r="W619" s="5" t="s">
        <v>8172</v>
      </c>
      <c r="X619" s="5" t="s">
        <v>8172</v>
      </c>
      <c r="Y619" s="4">
        <v>123</v>
      </c>
      <c r="Z619" s="4">
        <v>15</v>
      </c>
      <c r="AA619" s="4">
        <v>245</v>
      </c>
      <c r="AB619" s="4">
        <v>1</v>
      </c>
      <c r="AC619" s="4">
        <v>1</v>
      </c>
      <c r="AD619" s="4">
        <v>0</v>
      </c>
      <c r="AE619" s="4">
        <v>7</v>
      </c>
      <c r="AF619" s="4">
        <v>0</v>
      </c>
      <c r="AG619" s="4">
        <v>3</v>
      </c>
      <c r="AH619" s="4">
        <v>0</v>
      </c>
      <c r="AI619" s="4">
        <v>1</v>
      </c>
      <c r="AJ619" s="4">
        <v>0</v>
      </c>
      <c r="AK619" s="4">
        <v>4</v>
      </c>
      <c r="AL619" s="4">
        <v>0</v>
      </c>
      <c r="AM619" s="4">
        <v>0</v>
      </c>
      <c r="AN619" s="4">
        <v>0</v>
      </c>
      <c r="AO619" s="4">
        <v>1</v>
      </c>
      <c r="AP619" s="3" t="s">
        <v>58</v>
      </c>
      <c r="AQ619" s="3" t="s">
        <v>58</v>
      </c>
      <c r="AS619" s="6" t="str">
        <f>HYPERLINK("https://creighton-primo.hosted.exlibrisgroup.com/primo-explore/search?tab=default_tab&amp;search_scope=EVERYTHING&amp;vid=01CRU&amp;lang=en_US&amp;offset=0&amp;query=any,contains,991002874469702656","Catalog Record")</f>
        <v>Catalog Record</v>
      </c>
      <c r="AT619" s="6" t="str">
        <f>HYPERLINK("http://www.worldcat.org/oclc/37879019","WorldCat Record")</f>
        <v>WorldCat Record</v>
      </c>
      <c r="AU619" s="3" t="s">
        <v>8173</v>
      </c>
      <c r="AV619" s="3" t="s">
        <v>8174</v>
      </c>
      <c r="AW619" s="3" t="s">
        <v>8175</v>
      </c>
      <c r="AX619" s="3" t="s">
        <v>8175</v>
      </c>
      <c r="AY619" s="3" t="s">
        <v>8176</v>
      </c>
      <c r="AZ619" s="3" t="s">
        <v>74</v>
      </c>
      <c r="BC619" s="3" t="s">
        <v>8177</v>
      </c>
      <c r="BD619" s="3" t="s">
        <v>8178</v>
      </c>
    </row>
    <row r="620" spans="1:56" ht="42.75" customHeight="1" x14ac:dyDescent="0.25">
      <c r="A620" s="7" t="s">
        <v>58</v>
      </c>
      <c r="B620" s="2" t="s">
        <v>8179</v>
      </c>
      <c r="C620" s="2" t="s">
        <v>8180</v>
      </c>
      <c r="D620" s="2" t="s">
        <v>8181</v>
      </c>
      <c r="F620" s="3" t="s">
        <v>58</v>
      </c>
      <c r="G620" s="3" t="s">
        <v>59</v>
      </c>
      <c r="H620" s="3" t="s">
        <v>58</v>
      </c>
      <c r="I620" s="3" t="s">
        <v>58</v>
      </c>
      <c r="J620" s="3" t="s">
        <v>60</v>
      </c>
      <c r="K620" s="2" t="s">
        <v>8182</v>
      </c>
      <c r="L620" s="2" t="s">
        <v>8183</v>
      </c>
      <c r="M620" s="3" t="s">
        <v>5085</v>
      </c>
      <c r="O620" s="3" t="s">
        <v>64</v>
      </c>
      <c r="P620" s="3" t="s">
        <v>2854</v>
      </c>
      <c r="R620" s="3" t="s">
        <v>67</v>
      </c>
      <c r="S620" s="4">
        <v>3</v>
      </c>
      <c r="T620" s="4">
        <v>3</v>
      </c>
      <c r="U620" s="5" t="s">
        <v>8184</v>
      </c>
      <c r="V620" s="5" t="s">
        <v>8184</v>
      </c>
      <c r="W620" s="5" t="s">
        <v>3917</v>
      </c>
      <c r="X620" s="5" t="s">
        <v>3917</v>
      </c>
      <c r="Y620" s="4">
        <v>358</v>
      </c>
      <c r="Z620" s="4">
        <v>299</v>
      </c>
      <c r="AA620" s="4">
        <v>308</v>
      </c>
      <c r="AB620" s="4">
        <v>5</v>
      </c>
      <c r="AC620" s="4">
        <v>5</v>
      </c>
      <c r="AD620" s="4">
        <v>15</v>
      </c>
      <c r="AE620" s="4">
        <v>15</v>
      </c>
      <c r="AF620" s="4">
        <v>2</v>
      </c>
      <c r="AG620" s="4">
        <v>2</v>
      </c>
      <c r="AH620" s="4">
        <v>5</v>
      </c>
      <c r="AI620" s="4">
        <v>5</v>
      </c>
      <c r="AJ620" s="4">
        <v>9</v>
      </c>
      <c r="AK620" s="4">
        <v>9</v>
      </c>
      <c r="AL620" s="4">
        <v>3</v>
      </c>
      <c r="AM620" s="4">
        <v>3</v>
      </c>
      <c r="AN620" s="4">
        <v>0</v>
      </c>
      <c r="AO620" s="4">
        <v>0</v>
      </c>
      <c r="AP620" s="3" t="s">
        <v>58</v>
      </c>
      <c r="AQ620" s="3" t="s">
        <v>86</v>
      </c>
      <c r="AR620" s="6" t="str">
        <f>HYPERLINK("http://catalog.hathitrust.org/Record/001564353","HathiTrust Record")</f>
        <v>HathiTrust Record</v>
      </c>
      <c r="AS620" s="6" t="str">
        <f>HYPERLINK("https://creighton-primo.hosted.exlibrisgroup.com/primo-explore/search?tab=default_tab&amp;search_scope=EVERYTHING&amp;vid=01CRU&amp;lang=en_US&amp;offset=0&amp;query=any,contains,991000949279702656","Catalog Record")</f>
        <v>Catalog Record</v>
      </c>
      <c r="AT620" s="6" t="str">
        <f>HYPERLINK("http://www.worldcat.org/oclc/14616866","WorldCat Record")</f>
        <v>WorldCat Record</v>
      </c>
      <c r="AU620" s="3" t="s">
        <v>8185</v>
      </c>
      <c r="AV620" s="3" t="s">
        <v>8186</v>
      </c>
      <c r="AW620" s="3" t="s">
        <v>8187</v>
      </c>
      <c r="AX620" s="3" t="s">
        <v>8187</v>
      </c>
      <c r="AY620" s="3" t="s">
        <v>8188</v>
      </c>
      <c r="AZ620" s="3" t="s">
        <v>74</v>
      </c>
      <c r="BC620" s="3" t="s">
        <v>8189</v>
      </c>
      <c r="BD620" s="3" t="s">
        <v>8190</v>
      </c>
    </row>
    <row r="621" spans="1:56" ht="42.75" customHeight="1" x14ac:dyDescent="0.25">
      <c r="A621" s="7" t="s">
        <v>58</v>
      </c>
      <c r="B621" s="2" t="s">
        <v>8191</v>
      </c>
      <c r="C621" s="2" t="s">
        <v>8192</v>
      </c>
      <c r="D621" s="2" t="s">
        <v>8193</v>
      </c>
      <c r="F621" s="3" t="s">
        <v>58</v>
      </c>
      <c r="G621" s="3" t="s">
        <v>59</v>
      </c>
      <c r="H621" s="3" t="s">
        <v>58</v>
      </c>
      <c r="I621" s="3" t="s">
        <v>58</v>
      </c>
      <c r="J621" s="3" t="s">
        <v>60</v>
      </c>
      <c r="K621" s="2" t="s">
        <v>8194</v>
      </c>
      <c r="L621" s="2" t="s">
        <v>8195</v>
      </c>
      <c r="M621" s="3" t="s">
        <v>3914</v>
      </c>
      <c r="O621" s="3" t="s">
        <v>64</v>
      </c>
      <c r="P621" s="3" t="s">
        <v>115</v>
      </c>
      <c r="R621" s="3" t="s">
        <v>67</v>
      </c>
      <c r="S621" s="4">
        <v>14</v>
      </c>
      <c r="T621" s="4">
        <v>14</v>
      </c>
      <c r="U621" s="5" t="s">
        <v>8196</v>
      </c>
      <c r="V621" s="5" t="s">
        <v>8196</v>
      </c>
      <c r="W621" s="5" t="s">
        <v>226</v>
      </c>
      <c r="X621" s="5" t="s">
        <v>226</v>
      </c>
      <c r="Y621" s="4">
        <v>573</v>
      </c>
      <c r="Z621" s="4">
        <v>437</v>
      </c>
      <c r="AA621" s="4">
        <v>440</v>
      </c>
      <c r="AB621" s="4">
        <v>5</v>
      </c>
      <c r="AC621" s="4">
        <v>5</v>
      </c>
      <c r="AD621" s="4">
        <v>25</v>
      </c>
      <c r="AE621" s="4">
        <v>25</v>
      </c>
      <c r="AF621" s="4">
        <v>8</v>
      </c>
      <c r="AG621" s="4">
        <v>8</v>
      </c>
      <c r="AH621" s="4">
        <v>6</v>
      </c>
      <c r="AI621" s="4">
        <v>6</v>
      </c>
      <c r="AJ621" s="4">
        <v>14</v>
      </c>
      <c r="AK621" s="4">
        <v>14</v>
      </c>
      <c r="AL621" s="4">
        <v>4</v>
      </c>
      <c r="AM621" s="4">
        <v>4</v>
      </c>
      <c r="AN621" s="4">
        <v>0</v>
      </c>
      <c r="AO621" s="4">
        <v>0</v>
      </c>
      <c r="AP621" s="3" t="s">
        <v>58</v>
      </c>
      <c r="AQ621" s="3" t="s">
        <v>86</v>
      </c>
      <c r="AR621" s="6" t="str">
        <f>HYPERLINK("http://catalog.hathitrust.org/Record/000736619","HathiTrust Record")</f>
        <v>HathiTrust Record</v>
      </c>
      <c r="AS621" s="6" t="str">
        <f>HYPERLINK("https://creighton-primo.hosted.exlibrisgroup.com/primo-explore/search?tab=default_tab&amp;search_scope=EVERYTHING&amp;vid=01CRU&amp;lang=en_US&amp;offset=0&amp;query=any,contains,991004080889702656","Catalog Record")</f>
        <v>Catalog Record</v>
      </c>
      <c r="AT621" s="6" t="str">
        <f>HYPERLINK("http://www.worldcat.org/oclc/2328511","WorldCat Record")</f>
        <v>WorldCat Record</v>
      </c>
      <c r="AU621" s="3" t="s">
        <v>8197</v>
      </c>
      <c r="AV621" s="3" t="s">
        <v>8198</v>
      </c>
      <c r="AW621" s="3" t="s">
        <v>8199</v>
      </c>
      <c r="AX621" s="3" t="s">
        <v>8199</v>
      </c>
      <c r="AY621" s="3" t="s">
        <v>8200</v>
      </c>
      <c r="AZ621" s="3" t="s">
        <v>74</v>
      </c>
      <c r="BB621" s="3" t="s">
        <v>8201</v>
      </c>
      <c r="BC621" s="3" t="s">
        <v>8202</v>
      </c>
      <c r="BD621" s="3" t="s">
        <v>8203</v>
      </c>
    </row>
    <row r="622" spans="1:56" ht="42.75" customHeight="1" x14ac:dyDescent="0.25">
      <c r="A622" s="7" t="s">
        <v>58</v>
      </c>
      <c r="B622" s="2" t="s">
        <v>8204</v>
      </c>
      <c r="C622" s="2" t="s">
        <v>8205</v>
      </c>
      <c r="D622" s="2" t="s">
        <v>8206</v>
      </c>
      <c r="F622" s="3" t="s">
        <v>58</v>
      </c>
      <c r="G622" s="3" t="s">
        <v>59</v>
      </c>
      <c r="H622" s="3" t="s">
        <v>86</v>
      </c>
      <c r="I622" s="3" t="s">
        <v>58</v>
      </c>
      <c r="J622" s="3" t="s">
        <v>60</v>
      </c>
      <c r="L622" s="2" t="s">
        <v>8207</v>
      </c>
      <c r="M622" s="3" t="s">
        <v>2227</v>
      </c>
      <c r="O622" s="3" t="s">
        <v>64</v>
      </c>
      <c r="P622" s="3" t="s">
        <v>2609</v>
      </c>
      <c r="R622" s="3" t="s">
        <v>67</v>
      </c>
      <c r="S622" s="4">
        <v>6</v>
      </c>
      <c r="T622" s="4">
        <v>8</v>
      </c>
      <c r="U622" s="5" t="s">
        <v>8208</v>
      </c>
      <c r="V622" s="5" t="s">
        <v>8209</v>
      </c>
      <c r="W622" s="5" t="s">
        <v>8210</v>
      </c>
      <c r="X622" s="5" t="s">
        <v>8210</v>
      </c>
      <c r="Y622" s="4">
        <v>389</v>
      </c>
      <c r="Z622" s="4">
        <v>348</v>
      </c>
      <c r="AA622" s="4">
        <v>355</v>
      </c>
      <c r="AB622" s="4">
        <v>3</v>
      </c>
      <c r="AC622" s="4">
        <v>3</v>
      </c>
      <c r="AD622" s="4">
        <v>21</v>
      </c>
      <c r="AE622" s="4">
        <v>22</v>
      </c>
      <c r="AF622" s="4">
        <v>8</v>
      </c>
      <c r="AG622" s="4">
        <v>9</v>
      </c>
      <c r="AH622" s="4">
        <v>6</v>
      </c>
      <c r="AI622" s="4">
        <v>6</v>
      </c>
      <c r="AJ622" s="4">
        <v>12</v>
      </c>
      <c r="AK622" s="4">
        <v>13</v>
      </c>
      <c r="AL622" s="4">
        <v>1</v>
      </c>
      <c r="AM622" s="4">
        <v>1</v>
      </c>
      <c r="AN622" s="4">
        <v>0</v>
      </c>
      <c r="AO622" s="4">
        <v>0</v>
      </c>
      <c r="AP622" s="3" t="s">
        <v>58</v>
      </c>
      <c r="AQ622" s="3" t="s">
        <v>86</v>
      </c>
      <c r="AR622" s="6" t="str">
        <f>HYPERLINK("http://catalog.hathitrust.org/Record/000385808","HathiTrust Record")</f>
        <v>HathiTrust Record</v>
      </c>
      <c r="AS622" s="6" t="str">
        <f>HYPERLINK("https://creighton-primo.hosted.exlibrisgroup.com/primo-explore/search?tab=default_tab&amp;search_scope=EVERYTHING&amp;vid=01CRU&amp;lang=en_US&amp;offset=0&amp;query=any,contains,991001792729702656","Catalog Record")</f>
        <v>Catalog Record</v>
      </c>
      <c r="AT622" s="6" t="str">
        <f>HYPERLINK("http://www.worldcat.org/oclc/12420832","WorldCat Record")</f>
        <v>WorldCat Record</v>
      </c>
      <c r="AU622" s="3" t="s">
        <v>8211</v>
      </c>
      <c r="AV622" s="3" t="s">
        <v>8212</v>
      </c>
      <c r="AW622" s="3" t="s">
        <v>8213</v>
      </c>
      <c r="AX622" s="3" t="s">
        <v>8213</v>
      </c>
      <c r="AY622" s="3" t="s">
        <v>8214</v>
      </c>
      <c r="AZ622" s="3" t="s">
        <v>74</v>
      </c>
      <c r="BB622" s="3" t="s">
        <v>8215</v>
      </c>
      <c r="BC622" s="3" t="s">
        <v>8216</v>
      </c>
      <c r="BD622" s="3" t="s">
        <v>8217</v>
      </c>
    </row>
    <row r="623" spans="1:56" ht="42.75" customHeight="1" x14ac:dyDescent="0.25">
      <c r="A623" s="7" t="s">
        <v>58</v>
      </c>
      <c r="B623" s="2" t="s">
        <v>8218</v>
      </c>
      <c r="C623" s="2" t="s">
        <v>8219</v>
      </c>
      <c r="D623" s="2" t="s">
        <v>8220</v>
      </c>
      <c r="F623" s="3" t="s">
        <v>58</v>
      </c>
      <c r="G623" s="3" t="s">
        <v>59</v>
      </c>
      <c r="H623" s="3" t="s">
        <v>86</v>
      </c>
      <c r="I623" s="3" t="s">
        <v>58</v>
      </c>
      <c r="J623" s="3" t="s">
        <v>60</v>
      </c>
      <c r="L623" s="2" t="s">
        <v>8221</v>
      </c>
      <c r="M623" s="3" t="s">
        <v>98</v>
      </c>
      <c r="O623" s="3" t="s">
        <v>64</v>
      </c>
      <c r="P623" s="3" t="s">
        <v>1749</v>
      </c>
      <c r="R623" s="3" t="s">
        <v>67</v>
      </c>
      <c r="S623" s="4">
        <v>7</v>
      </c>
      <c r="T623" s="4">
        <v>7</v>
      </c>
      <c r="U623" s="5" t="s">
        <v>8222</v>
      </c>
      <c r="V623" s="5" t="s">
        <v>8222</v>
      </c>
      <c r="W623" s="5" t="s">
        <v>4000</v>
      </c>
      <c r="X623" s="5" t="s">
        <v>4000</v>
      </c>
      <c r="Y623" s="4">
        <v>99</v>
      </c>
      <c r="Z623" s="4">
        <v>64</v>
      </c>
      <c r="AA623" s="4">
        <v>76</v>
      </c>
      <c r="AB623" s="4">
        <v>2</v>
      </c>
      <c r="AC623" s="4">
        <v>2</v>
      </c>
      <c r="AD623" s="4">
        <v>3</v>
      </c>
      <c r="AE623" s="4">
        <v>3</v>
      </c>
      <c r="AF623" s="4">
        <v>2</v>
      </c>
      <c r="AG623" s="4">
        <v>2</v>
      </c>
      <c r="AH623" s="4">
        <v>0</v>
      </c>
      <c r="AI623" s="4">
        <v>0</v>
      </c>
      <c r="AJ623" s="4">
        <v>2</v>
      </c>
      <c r="AK623" s="4">
        <v>2</v>
      </c>
      <c r="AL623" s="4">
        <v>0</v>
      </c>
      <c r="AM623" s="4">
        <v>0</v>
      </c>
      <c r="AN623" s="4">
        <v>0</v>
      </c>
      <c r="AO623" s="4">
        <v>0</v>
      </c>
      <c r="AP623" s="3" t="s">
        <v>58</v>
      </c>
      <c r="AQ623" s="3" t="s">
        <v>86</v>
      </c>
      <c r="AR623" s="6" t="str">
        <f>HYPERLINK("http://catalog.hathitrust.org/Record/001080627","HathiTrust Record")</f>
        <v>HathiTrust Record</v>
      </c>
      <c r="AS623" s="6" t="str">
        <f>HYPERLINK("https://creighton-primo.hosted.exlibrisgroup.com/primo-explore/search?tab=default_tab&amp;search_scope=EVERYTHING&amp;vid=01CRU&amp;lang=en_US&amp;offset=0&amp;query=any,contains,991001333279702656","Catalog Record")</f>
        <v>Catalog Record</v>
      </c>
      <c r="AT623" s="6" t="str">
        <f>HYPERLINK("http://www.worldcat.org/oclc/18327356","WorldCat Record")</f>
        <v>WorldCat Record</v>
      </c>
      <c r="AU623" s="3" t="s">
        <v>8223</v>
      </c>
      <c r="AV623" s="3" t="s">
        <v>8224</v>
      </c>
      <c r="AW623" s="3" t="s">
        <v>8225</v>
      </c>
      <c r="AX623" s="3" t="s">
        <v>8225</v>
      </c>
      <c r="AY623" s="3" t="s">
        <v>8226</v>
      </c>
      <c r="AZ623" s="3" t="s">
        <v>74</v>
      </c>
      <c r="BB623" s="3" t="s">
        <v>8227</v>
      </c>
      <c r="BC623" s="3" t="s">
        <v>8228</v>
      </c>
      <c r="BD623" s="3" t="s">
        <v>8229</v>
      </c>
    </row>
    <row r="624" spans="1:56" ht="42.75" customHeight="1" x14ac:dyDescent="0.25">
      <c r="A624" s="7" t="s">
        <v>58</v>
      </c>
      <c r="B624" s="2" t="s">
        <v>8230</v>
      </c>
      <c r="C624" s="2" t="s">
        <v>8231</v>
      </c>
      <c r="D624" s="2" t="s">
        <v>8232</v>
      </c>
      <c r="F624" s="3" t="s">
        <v>58</v>
      </c>
      <c r="G624" s="3" t="s">
        <v>59</v>
      </c>
      <c r="H624" s="3" t="s">
        <v>58</v>
      </c>
      <c r="I624" s="3" t="s">
        <v>58</v>
      </c>
      <c r="J624" s="3" t="s">
        <v>60</v>
      </c>
      <c r="L624" s="2" t="s">
        <v>8233</v>
      </c>
      <c r="M624" s="3" t="s">
        <v>942</v>
      </c>
      <c r="O624" s="3" t="s">
        <v>64</v>
      </c>
      <c r="P624" s="3" t="s">
        <v>65</v>
      </c>
      <c r="R624" s="3" t="s">
        <v>67</v>
      </c>
      <c r="S624" s="4">
        <v>2</v>
      </c>
      <c r="T624" s="4">
        <v>2</v>
      </c>
      <c r="U624" s="5" t="s">
        <v>7600</v>
      </c>
      <c r="V624" s="5" t="s">
        <v>7600</v>
      </c>
      <c r="W624" s="5" t="s">
        <v>7600</v>
      </c>
      <c r="X624" s="5" t="s">
        <v>7600</v>
      </c>
      <c r="Y624" s="4">
        <v>55</v>
      </c>
      <c r="Z624" s="4">
        <v>19</v>
      </c>
      <c r="AA624" s="4">
        <v>19</v>
      </c>
      <c r="AB624" s="4">
        <v>1</v>
      </c>
      <c r="AC624" s="4">
        <v>1</v>
      </c>
      <c r="AD624" s="4">
        <v>0</v>
      </c>
      <c r="AE624" s="4">
        <v>0</v>
      </c>
      <c r="AF624" s="4">
        <v>0</v>
      </c>
      <c r="AG624" s="4">
        <v>0</v>
      </c>
      <c r="AH624" s="4">
        <v>0</v>
      </c>
      <c r="AI624" s="4">
        <v>0</v>
      </c>
      <c r="AJ624" s="4">
        <v>0</v>
      </c>
      <c r="AK624" s="4">
        <v>0</v>
      </c>
      <c r="AL624" s="4">
        <v>0</v>
      </c>
      <c r="AM624" s="4">
        <v>0</v>
      </c>
      <c r="AN624" s="4">
        <v>0</v>
      </c>
      <c r="AO624" s="4">
        <v>0</v>
      </c>
      <c r="AP624" s="3" t="s">
        <v>58</v>
      </c>
      <c r="AQ624" s="3" t="s">
        <v>58</v>
      </c>
      <c r="AS624" s="6" t="str">
        <f>HYPERLINK("https://creighton-primo.hosted.exlibrisgroup.com/primo-explore/search?tab=default_tab&amp;search_scope=EVERYTHING&amp;vid=01CRU&amp;lang=en_US&amp;offset=0&amp;query=any,contains,991003910009702656","Catalog Record")</f>
        <v>Catalog Record</v>
      </c>
      <c r="AT624" s="6" t="str">
        <f>HYPERLINK("http://www.worldcat.org/oclc/43378220","WorldCat Record")</f>
        <v>WorldCat Record</v>
      </c>
      <c r="AU624" s="3" t="s">
        <v>8234</v>
      </c>
      <c r="AV624" s="3" t="s">
        <v>8235</v>
      </c>
      <c r="AW624" s="3" t="s">
        <v>8236</v>
      </c>
      <c r="AX624" s="3" t="s">
        <v>8236</v>
      </c>
      <c r="AY624" s="3" t="s">
        <v>8237</v>
      </c>
      <c r="AZ624" s="3" t="s">
        <v>74</v>
      </c>
      <c r="BB624" s="3" t="s">
        <v>8238</v>
      </c>
      <c r="BC624" s="3" t="s">
        <v>8239</v>
      </c>
      <c r="BD624" s="3" t="s">
        <v>8240</v>
      </c>
    </row>
    <row r="625" spans="1:56" ht="42.75" customHeight="1" x14ac:dyDescent="0.25">
      <c r="A625" s="7" t="s">
        <v>58</v>
      </c>
      <c r="B625" s="2" t="s">
        <v>8241</v>
      </c>
      <c r="C625" s="2" t="s">
        <v>8242</v>
      </c>
      <c r="D625" s="2" t="s">
        <v>8243</v>
      </c>
      <c r="F625" s="3" t="s">
        <v>58</v>
      </c>
      <c r="G625" s="3" t="s">
        <v>59</v>
      </c>
      <c r="H625" s="3" t="s">
        <v>58</v>
      </c>
      <c r="I625" s="3" t="s">
        <v>58</v>
      </c>
      <c r="J625" s="3" t="s">
        <v>60</v>
      </c>
      <c r="K625" s="2" t="s">
        <v>8070</v>
      </c>
      <c r="L625" s="2" t="s">
        <v>8244</v>
      </c>
      <c r="M625" s="3" t="s">
        <v>1181</v>
      </c>
      <c r="N625" s="2" t="s">
        <v>1613</v>
      </c>
      <c r="O625" s="3" t="s">
        <v>64</v>
      </c>
      <c r="P625" s="3" t="s">
        <v>145</v>
      </c>
      <c r="R625" s="3" t="s">
        <v>67</v>
      </c>
      <c r="S625" s="4">
        <v>7</v>
      </c>
      <c r="T625" s="4">
        <v>7</v>
      </c>
      <c r="U625" s="5" t="s">
        <v>8245</v>
      </c>
      <c r="V625" s="5" t="s">
        <v>8245</v>
      </c>
      <c r="W625" s="5" t="s">
        <v>8246</v>
      </c>
      <c r="X625" s="5" t="s">
        <v>8246</v>
      </c>
      <c r="Y625" s="4">
        <v>63</v>
      </c>
      <c r="Z625" s="4">
        <v>38</v>
      </c>
      <c r="AA625" s="4">
        <v>439</v>
      </c>
      <c r="AB625" s="4">
        <v>1</v>
      </c>
      <c r="AC625" s="4">
        <v>3</v>
      </c>
      <c r="AD625" s="4">
        <v>2</v>
      </c>
      <c r="AE625" s="4">
        <v>23</v>
      </c>
      <c r="AF625" s="4">
        <v>1</v>
      </c>
      <c r="AG625" s="4">
        <v>9</v>
      </c>
      <c r="AH625" s="4">
        <v>0</v>
      </c>
      <c r="AI625" s="4">
        <v>5</v>
      </c>
      <c r="AJ625" s="4">
        <v>1</v>
      </c>
      <c r="AK625" s="4">
        <v>13</v>
      </c>
      <c r="AL625" s="4">
        <v>0</v>
      </c>
      <c r="AM625" s="4">
        <v>2</v>
      </c>
      <c r="AN625" s="4">
        <v>0</v>
      </c>
      <c r="AO625" s="4">
        <v>0</v>
      </c>
      <c r="AP625" s="3" t="s">
        <v>58</v>
      </c>
      <c r="AQ625" s="3" t="s">
        <v>58</v>
      </c>
      <c r="AS625" s="6" t="str">
        <f>HYPERLINK("https://creighton-primo.hosted.exlibrisgroup.com/primo-explore/search?tab=default_tab&amp;search_scope=EVERYTHING&amp;vid=01CRU&amp;lang=en_US&amp;offset=0&amp;query=any,contains,991004265369702656","Catalog Record")</f>
        <v>Catalog Record</v>
      </c>
      <c r="AT625" s="6" t="str">
        <f>HYPERLINK("http://www.worldcat.org/oclc/54029393","WorldCat Record")</f>
        <v>WorldCat Record</v>
      </c>
      <c r="AU625" s="3" t="s">
        <v>8247</v>
      </c>
      <c r="AV625" s="3" t="s">
        <v>8248</v>
      </c>
      <c r="AW625" s="3" t="s">
        <v>8249</v>
      </c>
      <c r="AX625" s="3" t="s">
        <v>8249</v>
      </c>
      <c r="AY625" s="3" t="s">
        <v>8250</v>
      </c>
      <c r="AZ625" s="3" t="s">
        <v>74</v>
      </c>
      <c r="BB625" s="3" t="s">
        <v>8251</v>
      </c>
      <c r="BC625" s="3" t="s">
        <v>8252</v>
      </c>
      <c r="BD625" s="3" t="s">
        <v>8253</v>
      </c>
    </row>
    <row r="626" spans="1:56" ht="42.75" customHeight="1" x14ac:dyDescent="0.25">
      <c r="A626" s="7" t="s">
        <v>58</v>
      </c>
      <c r="B626" s="2" t="s">
        <v>8254</v>
      </c>
      <c r="C626" s="2" t="s">
        <v>8255</v>
      </c>
      <c r="D626" s="2" t="s">
        <v>8256</v>
      </c>
      <c r="F626" s="3" t="s">
        <v>58</v>
      </c>
      <c r="G626" s="3" t="s">
        <v>59</v>
      </c>
      <c r="H626" s="3" t="s">
        <v>58</v>
      </c>
      <c r="I626" s="3" t="s">
        <v>58</v>
      </c>
      <c r="J626" s="3" t="s">
        <v>60</v>
      </c>
      <c r="K626" s="2" t="s">
        <v>8257</v>
      </c>
      <c r="L626" s="2" t="s">
        <v>6998</v>
      </c>
      <c r="M626" s="3" t="s">
        <v>1101</v>
      </c>
      <c r="O626" s="3" t="s">
        <v>64</v>
      </c>
      <c r="P626" s="3" t="s">
        <v>145</v>
      </c>
      <c r="R626" s="3" t="s">
        <v>67</v>
      </c>
      <c r="S626" s="4">
        <v>8</v>
      </c>
      <c r="T626" s="4">
        <v>8</v>
      </c>
      <c r="U626" s="5" t="s">
        <v>8258</v>
      </c>
      <c r="V626" s="5" t="s">
        <v>8258</v>
      </c>
      <c r="W626" s="5" t="s">
        <v>8259</v>
      </c>
      <c r="X626" s="5" t="s">
        <v>8259</v>
      </c>
      <c r="Y626" s="4">
        <v>317</v>
      </c>
      <c r="Z626" s="4">
        <v>270</v>
      </c>
      <c r="AA626" s="4">
        <v>350</v>
      </c>
      <c r="AB626" s="4">
        <v>3</v>
      </c>
      <c r="AC626" s="4">
        <v>4</v>
      </c>
      <c r="AD626" s="4">
        <v>10</v>
      </c>
      <c r="AE626" s="4">
        <v>16</v>
      </c>
      <c r="AF626" s="4">
        <v>5</v>
      </c>
      <c r="AG626" s="4">
        <v>7</v>
      </c>
      <c r="AH626" s="4">
        <v>2</v>
      </c>
      <c r="AI626" s="4">
        <v>2</v>
      </c>
      <c r="AJ626" s="4">
        <v>5</v>
      </c>
      <c r="AK626" s="4">
        <v>8</v>
      </c>
      <c r="AL626" s="4">
        <v>1</v>
      </c>
      <c r="AM626" s="4">
        <v>2</v>
      </c>
      <c r="AN626" s="4">
        <v>0</v>
      </c>
      <c r="AO626" s="4">
        <v>0</v>
      </c>
      <c r="AP626" s="3" t="s">
        <v>58</v>
      </c>
      <c r="AQ626" s="3" t="s">
        <v>58</v>
      </c>
      <c r="AS626" s="6" t="str">
        <f>HYPERLINK("https://creighton-primo.hosted.exlibrisgroup.com/primo-explore/search?tab=default_tab&amp;search_scope=EVERYTHING&amp;vid=01CRU&amp;lang=en_US&amp;offset=0&amp;query=any,contains,991003978109702656","Catalog Record")</f>
        <v>Catalog Record</v>
      </c>
      <c r="AT626" s="6" t="str">
        <f>HYPERLINK("http://www.worldcat.org/oclc/47690535","WorldCat Record")</f>
        <v>WorldCat Record</v>
      </c>
      <c r="AU626" s="3" t="s">
        <v>8260</v>
      </c>
      <c r="AV626" s="3" t="s">
        <v>8261</v>
      </c>
      <c r="AW626" s="3" t="s">
        <v>8262</v>
      </c>
      <c r="AX626" s="3" t="s">
        <v>8262</v>
      </c>
      <c r="AY626" s="3" t="s">
        <v>8263</v>
      </c>
      <c r="AZ626" s="3" t="s">
        <v>74</v>
      </c>
      <c r="BB626" s="3" t="s">
        <v>8264</v>
      </c>
      <c r="BC626" s="3" t="s">
        <v>8265</v>
      </c>
      <c r="BD626" s="3" t="s">
        <v>8266</v>
      </c>
    </row>
    <row r="627" spans="1:56" ht="42.75" customHeight="1" x14ac:dyDescent="0.25">
      <c r="A627" s="7" t="s">
        <v>58</v>
      </c>
      <c r="B627" s="2" t="s">
        <v>8267</v>
      </c>
      <c r="C627" s="2" t="s">
        <v>8268</v>
      </c>
      <c r="D627" s="2" t="s">
        <v>8269</v>
      </c>
      <c r="F627" s="3" t="s">
        <v>58</v>
      </c>
      <c r="G627" s="3" t="s">
        <v>59</v>
      </c>
      <c r="H627" s="3" t="s">
        <v>58</v>
      </c>
      <c r="I627" s="3" t="s">
        <v>58</v>
      </c>
      <c r="J627" s="3" t="s">
        <v>60</v>
      </c>
      <c r="K627" s="2" t="s">
        <v>8270</v>
      </c>
      <c r="L627" s="2" t="s">
        <v>8271</v>
      </c>
      <c r="M627" s="3" t="s">
        <v>534</v>
      </c>
      <c r="O627" s="3" t="s">
        <v>64</v>
      </c>
      <c r="P627" s="3" t="s">
        <v>115</v>
      </c>
      <c r="R627" s="3" t="s">
        <v>67</v>
      </c>
      <c r="S627" s="4">
        <v>1</v>
      </c>
      <c r="T627" s="4">
        <v>1</v>
      </c>
      <c r="U627" s="5" t="s">
        <v>8272</v>
      </c>
      <c r="V627" s="5" t="s">
        <v>8272</v>
      </c>
      <c r="W627" s="5" t="s">
        <v>8272</v>
      </c>
      <c r="X627" s="5" t="s">
        <v>8272</v>
      </c>
      <c r="Y627" s="4">
        <v>641</v>
      </c>
      <c r="Z627" s="4">
        <v>546</v>
      </c>
      <c r="AA627" s="4">
        <v>551</v>
      </c>
      <c r="AB627" s="4">
        <v>3</v>
      </c>
      <c r="AC627" s="4">
        <v>3</v>
      </c>
      <c r="AD627" s="4">
        <v>25</v>
      </c>
      <c r="AE627" s="4">
        <v>25</v>
      </c>
      <c r="AF627" s="4">
        <v>9</v>
      </c>
      <c r="AG627" s="4">
        <v>9</v>
      </c>
      <c r="AH627" s="4">
        <v>7</v>
      </c>
      <c r="AI627" s="4">
        <v>7</v>
      </c>
      <c r="AJ627" s="4">
        <v>16</v>
      </c>
      <c r="AK627" s="4">
        <v>16</v>
      </c>
      <c r="AL627" s="4">
        <v>2</v>
      </c>
      <c r="AM627" s="4">
        <v>2</v>
      </c>
      <c r="AN627" s="4">
        <v>0</v>
      </c>
      <c r="AO627" s="4">
        <v>0</v>
      </c>
      <c r="AP627" s="3" t="s">
        <v>58</v>
      </c>
      <c r="AQ627" s="3" t="s">
        <v>58</v>
      </c>
      <c r="AS627" s="6" t="str">
        <f>HYPERLINK("https://creighton-primo.hosted.exlibrisgroup.com/primo-explore/search?tab=default_tab&amp;search_scope=EVERYTHING&amp;vid=01CRU&amp;lang=en_US&amp;offset=0&amp;query=any,contains,991005307729702656","Catalog Record")</f>
        <v>Catalog Record</v>
      </c>
      <c r="AT627" s="6" t="str">
        <f>HYPERLINK("http://www.worldcat.org/oclc/20933056","WorldCat Record")</f>
        <v>WorldCat Record</v>
      </c>
      <c r="AU627" s="3" t="s">
        <v>8273</v>
      </c>
      <c r="AV627" s="3" t="s">
        <v>8274</v>
      </c>
      <c r="AW627" s="3" t="s">
        <v>8275</v>
      </c>
      <c r="AX627" s="3" t="s">
        <v>8275</v>
      </c>
      <c r="AY627" s="3" t="s">
        <v>8276</v>
      </c>
      <c r="AZ627" s="3" t="s">
        <v>74</v>
      </c>
      <c r="BB627" s="3" t="s">
        <v>8277</v>
      </c>
      <c r="BC627" s="3" t="s">
        <v>8278</v>
      </c>
      <c r="BD627" s="3" t="s">
        <v>8279</v>
      </c>
    </row>
    <row r="628" spans="1:56" ht="42.75" customHeight="1" x14ac:dyDescent="0.25">
      <c r="A628" s="7" t="s">
        <v>58</v>
      </c>
      <c r="B628" s="2" t="s">
        <v>8280</v>
      </c>
      <c r="C628" s="2" t="s">
        <v>8281</v>
      </c>
      <c r="D628" s="2" t="s">
        <v>8282</v>
      </c>
      <c r="F628" s="3" t="s">
        <v>58</v>
      </c>
      <c r="G628" s="3" t="s">
        <v>59</v>
      </c>
      <c r="H628" s="3" t="s">
        <v>58</v>
      </c>
      <c r="I628" s="3" t="s">
        <v>58</v>
      </c>
      <c r="J628" s="3" t="s">
        <v>60</v>
      </c>
      <c r="K628" s="2" t="s">
        <v>8283</v>
      </c>
      <c r="L628" s="2" t="s">
        <v>8284</v>
      </c>
      <c r="M628" s="3" t="s">
        <v>480</v>
      </c>
      <c r="O628" s="3" t="s">
        <v>64</v>
      </c>
      <c r="P628" s="3" t="s">
        <v>1898</v>
      </c>
      <c r="R628" s="3" t="s">
        <v>67</v>
      </c>
      <c r="S628" s="4">
        <v>18</v>
      </c>
      <c r="T628" s="4">
        <v>18</v>
      </c>
      <c r="U628" s="5" t="s">
        <v>8285</v>
      </c>
      <c r="V628" s="5" t="s">
        <v>8285</v>
      </c>
      <c r="W628" s="5" t="s">
        <v>7573</v>
      </c>
      <c r="X628" s="5" t="s">
        <v>7573</v>
      </c>
      <c r="Y628" s="4">
        <v>354</v>
      </c>
      <c r="Z628" s="4">
        <v>314</v>
      </c>
      <c r="AA628" s="4">
        <v>325</v>
      </c>
      <c r="AB628" s="4">
        <v>2</v>
      </c>
      <c r="AC628" s="4">
        <v>2</v>
      </c>
      <c r="AD628" s="4">
        <v>18</v>
      </c>
      <c r="AE628" s="4">
        <v>18</v>
      </c>
      <c r="AF628" s="4">
        <v>6</v>
      </c>
      <c r="AG628" s="4">
        <v>6</v>
      </c>
      <c r="AH628" s="4">
        <v>5</v>
      </c>
      <c r="AI628" s="4">
        <v>5</v>
      </c>
      <c r="AJ628" s="4">
        <v>12</v>
      </c>
      <c r="AK628" s="4">
        <v>12</v>
      </c>
      <c r="AL628" s="4">
        <v>1</v>
      </c>
      <c r="AM628" s="4">
        <v>1</v>
      </c>
      <c r="AN628" s="4">
        <v>0</v>
      </c>
      <c r="AO628" s="4">
        <v>0</v>
      </c>
      <c r="AP628" s="3" t="s">
        <v>58</v>
      </c>
      <c r="AQ628" s="3" t="s">
        <v>86</v>
      </c>
      <c r="AR628" s="6" t="str">
        <f>HYPERLINK("http://catalog.hathitrust.org/Record/001541188","HathiTrust Record")</f>
        <v>HathiTrust Record</v>
      </c>
      <c r="AS628" s="6" t="str">
        <f>HYPERLINK("https://creighton-primo.hosted.exlibrisgroup.com/primo-explore/search?tab=default_tab&amp;search_scope=EVERYTHING&amp;vid=01CRU&amp;lang=en_US&amp;offset=0&amp;query=any,contains,991001491589702656","Catalog Record")</f>
        <v>Catalog Record</v>
      </c>
      <c r="AT628" s="6" t="str">
        <f>HYPERLINK("http://www.worldcat.org/oclc/19723812","WorldCat Record")</f>
        <v>WorldCat Record</v>
      </c>
      <c r="AU628" s="3" t="s">
        <v>8286</v>
      </c>
      <c r="AV628" s="3" t="s">
        <v>8287</v>
      </c>
      <c r="AW628" s="3" t="s">
        <v>8288</v>
      </c>
      <c r="AX628" s="3" t="s">
        <v>8288</v>
      </c>
      <c r="AY628" s="3" t="s">
        <v>8289</v>
      </c>
      <c r="AZ628" s="3" t="s">
        <v>74</v>
      </c>
      <c r="BB628" s="3" t="s">
        <v>8290</v>
      </c>
      <c r="BC628" s="3" t="s">
        <v>8291</v>
      </c>
      <c r="BD628" s="3" t="s">
        <v>8292</v>
      </c>
    </row>
    <row r="629" spans="1:56" ht="42.75" customHeight="1" x14ac:dyDescent="0.25">
      <c r="A629" s="7" t="s">
        <v>58</v>
      </c>
      <c r="B629" s="2" t="s">
        <v>8293</v>
      </c>
      <c r="C629" s="2" t="s">
        <v>8294</v>
      </c>
      <c r="D629" s="2" t="s">
        <v>8295</v>
      </c>
      <c r="F629" s="3" t="s">
        <v>58</v>
      </c>
      <c r="G629" s="3" t="s">
        <v>59</v>
      </c>
      <c r="H629" s="3" t="s">
        <v>58</v>
      </c>
      <c r="I629" s="3" t="s">
        <v>58</v>
      </c>
      <c r="J629" s="3" t="s">
        <v>60</v>
      </c>
      <c r="K629" s="2" t="s">
        <v>8283</v>
      </c>
      <c r="L629" s="2" t="s">
        <v>8284</v>
      </c>
      <c r="M629" s="3" t="s">
        <v>480</v>
      </c>
      <c r="O629" s="3" t="s">
        <v>64</v>
      </c>
      <c r="P629" s="3" t="s">
        <v>1898</v>
      </c>
      <c r="R629" s="3" t="s">
        <v>67</v>
      </c>
      <c r="S629" s="4">
        <v>9</v>
      </c>
      <c r="T629" s="4">
        <v>9</v>
      </c>
      <c r="U629" s="5" t="s">
        <v>8296</v>
      </c>
      <c r="V629" s="5" t="s">
        <v>8296</v>
      </c>
      <c r="W629" s="5" t="s">
        <v>7573</v>
      </c>
      <c r="X629" s="5" t="s">
        <v>7573</v>
      </c>
      <c r="Y629" s="4">
        <v>40</v>
      </c>
      <c r="Z629" s="4">
        <v>26</v>
      </c>
      <c r="AA629" s="4">
        <v>28</v>
      </c>
      <c r="AB629" s="4">
        <v>1</v>
      </c>
      <c r="AC629" s="4">
        <v>1</v>
      </c>
      <c r="AD629" s="4">
        <v>0</v>
      </c>
      <c r="AE629" s="4">
        <v>0</v>
      </c>
      <c r="AF629" s="4">
        <v>0</v>
      </c>
      <c r="AG629" s="4">
        <v>0</v>
      </c>
      <c r="AH629" s="4">
        <v>0</v>
      </c>
      <c r="AI629" s="4">
        <v>0</v>
      </c>
      <c r="AJ629" s="4">
        <v>0</v>
      </c>
      <c r="AK629" s="4">
        <v>0</v>
      </c>
      <c r="AL629" s="4">
        <v>0</v>
      </c>
      <c r="AM629" s="4">
        <v>0</v>
      </c>
      <c r="AN629" s="4">
        <v>0</v>
      </c>
      <c r="AO629" s="4">
        <v>0</v>
      </c>
      <c r="AP629" s="3" t="s">
        <v>58</v>
      </c>
      <c r="AQ629" s="3" t="s">
        <v>86</v>
      </c>
      <c r="AR629" s="6" t="str">
        <f>HYPERLINK("http://catalog.hathitrust.org/Record/010389263","HathiTrust Record")</f>
        <v>HathiTrust Record</v>
      </c>
      <c r="AS629" s="6" t="str">
        <f>HYPERLINK("https://creighton-primo.hosted.exlibrisgroup.com/primo-explore/search?tab=default_tab&amp;search_scope=EVERYTHING&amp;vid=01CRU&amp;lang=en_US&amp;offset=0&amp;query=any,contains,991001689309702656","Catalog Record")</f>
        <v>Catalog Record</v>
      </c>
      <c r="AT629" s="6" t="str">
        <f>HYPERLINK("http://www.worldcat.org/oclc/21422650","WorldCat Record")</f>
        <v>WorldCat Record</v>
      </c>
      <c r="AU629" s="3" t="s">
        <v>8297</v>
      </c>
      <c r="AV629" s="3" t="s">
        <v>8298</v>
      </c>
      <c r="AW629" s="3" t="s">
        <v>8299</v>
      </c>
      <c r="AX629" s="3" t="s">
        <v>8299</v>
      </c>
      <c r="AY629" s="3" t="s">
        <v>8300</v>
      </c>
      <c r="AZ629" s="3" t="s">
        <v>74</v>
      </c>
      <c r="BB629" s="3" t="s">
        <v>8301</v>
      </c>
      <c r="BC629" s="3" t="s">
        <v>8302</v>
      </c>
      <c r="BD629" s="3" t="s">
        <v>8303</v>
      </c>
    </row>
    <row r="630" spans="1:56" ht="42.75" customHeight="1" x14ac:dyDescent="0.25">
      <c r="A630" s="7" t="s">
        <v>58</v>
      </c>
      <c r="B630" s="2" t="s">
        <v>8304</v>
      </c>
      <c r="C630" s="2" t="s">
        <v>8305</v>
      </c>
      <c r="D630" s="2" t="s">
        <v>8306</v>
      </c>
      <c r="F630" s="3" t="s">
        <v>58</v>
      </c>
      <c r="G630" s="3" t="s">
        <v>59</v>
      </c>
      <c r="H630" s="3" t="s">
        <v>58</v>
      </c>
      <c r="I630" s="3" t="s">
        <v>58</v>
      </c>
      <c r="J630" s="3" t="s">
        <v>60</v>
      </c>
      <c r="K630" s="2" t="s">
        <v>8307</v>
      </c>
      <c r="L630" s="2" t="s">
        <v>6525</v>
      </c>
      <c r="M630" s="3" t="s">
        <v>695</v>
      </c>
      <c r="O630" s="3" t="s">
        <v>64</v>
      </c>
      <c r="P630" s="3" t="s">
        <v>208</v>
      </c>
      <c r="R630" s="3" t="s">
        <v>67</v>
      </c>
      <c r="S630" s="4">
        <v>3</v>
      </c>
      <c r="T630" s="4">
        <v>3</v>
      </c>
      <c r="U630" s="5" t="s">
        <v>8308</v>
      </c>
      <c r="V630" s="5" t="s">
        <v>8308</v>
      </c>
      <c r="W630" s="5" t="s">
        <v>8309</v>
      </c>
      <c r="X630" s="5" t="s">
        <v>8309</v>
      </c>
      <c r="Y630" s="4">
        <v>513</v>
      </c>
      <c r="Z630" s="4">
        <v>451</v>
      </c>
      <c r="AA630" s="4">
        <v>458</v>
      </c>
      <c r="AB630" s="4">
        <v>7</v>
      </c>
      <c r="AC630" s="4">
        <v>7</v>
      </c>
      <c r="AD630" s="4">
        <v>26</v>
      </c>
      <c r="AE630" s="4">
        <v>26</v>
      </c>
      <c r="AF630" s="4">
        <v>6</v>
      </c>
      <c r="AG630" s="4">
        <v>6</v>
      </c>
      <c r="AH630" s="4">
        <v>5</v>
      </c>
      <c r="AI630" s="4">
        <v>5</v>
      </c>
      <c r="AJ630" s="4">
        <v>14</v>
      </c>
      <c r="AK630" s="4">
        <v>14</v>
      </c>
      <c r="AL630" s="4">
        <v>6</v>
      </c>
      <c r="AM630" s="4">
        <v>6</v>
      </c>
      <c r="AN630" s="4">
        <v>0</v>
      </c>
      <c r="AO630" s="4">
        <v>0</v>
      </c>
      <c r="AP630" s="3" t="s">
        <v>58</v>
      </c>
      <c r="AQ630" s="3" t="s">
        <v>86</v>
      </c>
      <c r="AR630" s="6" t="str">
        <f>HYPERLINK("http://catalog.hathitrust.org/Record/002612088","HathiTrust Record")</f>
        <v>HathiTrust Record</v>
      </c>
      <c r="AS630" s="6" t="str">
        <f>HYPERLINK("https://creighton-primo.hosted.exlibrisgroup.com/primo-explore/search?tab=default_tab&amp;search_scope=EVERYTHING&amp;vid=01CRU&amp;lang=en_US&amp;offset=0&amp;query=any,contains,991002032889702656","Catalog Record")</f>
        <v>Catalog Record</v>
      </c>
      <c r="AT630" s="6" t="str">
        <f>HYPERLINK("http://www.worldcat.org/oclc/25874389","WorldCat Record")</f>
        <v>WorldCat Record</v>
      </c>
      <c r="AU630" s="3" t="s">
        <v>8310</v>
      </c>
      <c r="AV630" s="3" t="s">
        <v>8311</v>
      </c>
      <c r="AW630" s="3" t="s">
        <v>8312</v>
      </c>
      <c r="AX630" s="3" t="s">
        <v>8312</v>
      </c>
      <c r="AY630" s="3" t="s">
        <v>8313</v>
      </c>
      <c r="AZ630" s="3" t="s">
        <v>74</v>
      </c>
      <c r="BB630" s="3" t="s">
        <v>8314</v>
      </c>
      <c r="BC630" s="3" t="s">
        <v>8315</v>
      </c>
      <c r="BD630" s="3" t="s">
        <v>8316</v>
      </c>
    </row>
    <row r="631" spans="1:56" ht="42.75" customHeight="1" x14ac:dyDescent="0.25">
      <c r="A631" s="7" t="s">
        <v>58</v>
      </c>
      <c r="B631" s="2" t="s">
        <v>8317</v>
      </c>
      <c r="C631" s="2" t="s">
        <v>8318</v>
      </c>
      <c r="D631" s="2" t="s">
        <v>8319</v>
      </c>
      <c r="F631" s="3" t="s">
        <v>58</v>
      </c>
      <c r="G631" s="3" t="s">
        <v>59</v>
      </c>
      <c r="H631" s="3" t="s">
        <v>58</v>
      </c>
      <c r="I631" s="3" t="s">
        <v>58</v>
      </c>
      <c r="J631" s="3" t="s">
        <v>60</v>
      </c>
      <c r="L631" s="2" t="s">
        <v>8320</v>
      </c>
      <c r="M631" s="3" t="s">
        <v>805</v>
      </c>
      <c r="O631" s="3" t="s">
        <v>64</v>
      </c>
      <c r="P631" s="3" t="s">
        <v>8321</v>
      </c>
      <c r="R631" s="3" t="s">
        <v>67</v>
      </c>
      <c r="S631" s="4">
        <v>1</v>
      </c>
      <c r="T631" s="4">
        <v>1</v>
      </c>
      <c r="U631" s="5" t="s">
        <v>8322</v>
      </c>
      <c r="V631" s="5" t="s">
        <v>8322</v>
      </c>
      <c r="W631" s="5" t="s">
        <v>8323</v>
      </c>
      <c r="X631" s="5" t="s">
        <v>8323</v>
      </c>
      <c r="Y631" s="4">
        <v>73</v>
      </c>
      <c r="Z631" s="4">
        <v>55</v>
      </c>
      <c r="AA631" s="4">
        <v>55</v>
      </c>
      <c r="AB631" s="4">
        <v>2</v>
      </c>
      <c r="AC631" s="4">
        <v>2</v>
      </c>
      <c r="AD631" s="4">
        <v>3</v>
      </c>
      <c r="AE631" s="4">
        <v>3</v>
      </c>
      <c r="AF631" s="4">
        <v>1</v>
      </c>
      <c r="AG631" s="4">
        <v>1</v>
      </c>
      <c r="AH631" s="4">
        <v>0</v>
      </c>
      <c r="AI631" s="4">
        <v>0</v>
      </c>
      <c r="AJ631" s="4">
        <v>2</v>
      </c>
      <c r="AK631" s="4">
        <v>2</v>
      </c>
      <c r="AL631" s="4">
        <v>1</v>
      </c>
      <c r="AM631" s="4">
        <v>1</v>
      </c>
      <c r="AN631" s="4">
        <v>0</v>
      </c>
      <c r="AO631" s="4">
        <v>0</v>
      </c>
      <c r="AP631" s="3" t="s">
        <v>58</v>
      </c>
      <c r="AQ631" s="3" t="s">
        <v>58</v>
      </c>
      <c r="AS631" s="6" t="str">
        <f>HYPERLINK("https://creighton-primo.hosted.exlibrisgroup.com/primo-explore/search?tab=default_tab&amp;search_scope=EVERYTHING&amp;vid=01CRU&amp;lang=en_US&amp;offset=0&amp;query=any,contains,991002679819702656","Catalog Record")</f>
        <v>Catalog Record</v>
      </c>
      <c r="AT631" s="6" t="str">
        <f>HYPERLINK("http://www.worldcat.org/oclc/35025848","WorldCat Record")</f>
        <v>WorldCat Record</v>
      </c>
      <c r="AU631" s="3" t="s">
        <v>8324</v>
      </c>
      <c r="AV631" s="3" t="s">
        <v>8325</v>
      </c>
      <c r="AW631" s="3" t="s">
        <v>8326</v>
      </c>
      <c r="AX631" s="3" t="s">
        <v>8326</v>
      </c>
      <c r="AY631" s="3" t="s">
        <v>8327</v>
      </c>
      <c r="AZ631" s="3" t="s">
        <v>74</v>
      </c>
      <c r="BB631" s="3" t="s">
        <v>8328</v>
      </c>
      <c r="BC631" s="3" t="s">
        <v>8329</v>
      </c>
      <c r="BD631" s="3" t="s">
        <v>8330</v>
      </c>
    </row>
    <row r="632" spans="1:56" ht="42.75" customHeight="1" x14ac:dyDescent="0.25">
      <c r="A632" s="7" t="s">
        <v>58</v>
      </c>
      <c r="B632" s="2" t="s">
        <v>8331</v>
      </c>
      <c r="C632" s="2" t="s">
        <v>8332</v>
      </c>
      <c r="D632" s="2" t="s">
        <v>8333</v>
      </c>
      <c r="F632" s="3" t="s">
        <v>58</v>
      </c>
      <c r="G632" s="3" t="s">
        <v>59</v>
      </c>
      <c r="H632" s="3" t="s">
        <v>58</v>
      </c>
      <c r="I632" s="3" t="s">
        <v>58</v>
      </c>
      <c r="J632" s="3" t="s">
        <v>60</v>
      </c>
      <c r="K632" s="2" t="s">
        <v>8334</v>
      </c>
      <c r="L632" s="2" t="s">
        <v>8335</v>
      </c>
      <c r="M632" s="3" t="s">
        <v>805</v>
      </c>
      <c r="O632" s="3" t="s">
        <v>64</v>
      </c>
      <c r="P632" s="3" t="s">
        <v>115</v>
      </c>
      <c r="Q632" s="2" t="s">
        <v>8336</v>
      </c>
      <c r="R632" s="3" t="s">
        <v>67</v>
      </c>
      <c r="S632" s="4">
        <v>0</v>
      </c>
      <c r="T632" s="4">
        <v>0</v>
      </c>
      <c r="U632" s="5" t="s">
        <v>8337</v>
      </c>
      <c r="V632" s="5" t="s">
        <v>8337</v>
      </c>
      <c r="W632" s="5" t="s">
        <v>8338</v>
      </c>
      <c r="X632" s="5" t="s">
        <v>8338</v>
      </c>
      <c r="Y632" s="4">
        <v>267</v>
      </c>
      <c r="Z632" s="4">
        <v>212</v>
      </c>
      <c r="AA632" s="4">
        <v>212</v>
      </c>
      <c r="AB632" s="4">
        <v>2</v>
      </c>
      <c r="AC632" s="4">
        <v>2</v>
      </c>
      <c r="AD632" s="4">
        <v>15</v>
      </c>
      <c r="AE632" s="4">
        <v>15</v>
      </c>
      <c r="AF632" s="4">
        <v>3</v>
      </c>
      <c r="AG632" s="4">
        <v>3</v>
      </c>
      <c r="AH632" s="4">
        <v>3</v>
      </c>
      <c r="AI632" s="4">
        <v>3</v>
      </c>
      <c r="AJ632" s="4">
        <v>11</v>
      </c>
      <c r="AK632" s="4">
        <v>11</v>
      </c>
      <c r="AL632" s="4">
        <v>1</v>
      </c>
      <c r="AM632" s="4">
        <v>1</v>
      </c>
      <c r="AN632" s="4">
        <v>0</v>
      </c>
      <c r="AO632" s="4">
        <v>0</v>
      </c>
      <c r="AP632" s="3" t="s">
        <v>58</v>
      </c>
      <c r="AQ632" s="3" t="s">
        <v>58</v>
      </c>
      <c r="AS632" s="6" t="str">
        <f>HYPERLINK("https://creighton-primo.hosted.exlibrisgroup.com/primo-explore/search?tab=default_tab&amp;search_scope=EVERYTHING&amp;vid=01CRU&amp;lang=en_US&amp;offset=0&amp;query=any,contains,991002625309702656","Catalog Record")</f>
        <v>Catalog Record</v>
      </c>
      <c r="AT632" s="6" t="str">
        <f>HYPERLINK("http://www.worldcat.org/oclc/34411361","WorldCat Record")</f>
        <v>WorldCat Record</v>
      </c>
      <c r="AU632" s="3" t="s">
        <v>8339</v>
      </c>
      <c r="AV632" s="3" t="s">
        <v>8340</v>
      </c>
      <c r="AW632" s="3" t="s">
        <v>8341</v>
      </c>
      <c r="AX632" s="3" t="s">
        <v>8341</v>
      </c>
      <c r="AY632" s="3" t="s">
        <v>8342</v>
      </c>
      <c r="AZ632" s="3" t="s">
        <v>74</v>
      </c>
      <c r="BB632" s="3" t="s">
        <v>8343</v>
      </c>
      <c r="BC632" s="3" t="s">
        <v>8344</v>
      </c>
      <c r="BD632" s="3" t="s">
        <v>8345</v>
      </c>
    </row>
    <row r="633" spans="1:56" ht="42.75" customHeight="1" x14ac:dyDescent="0.25">
      <c r="A633" s="7" t="s">
        <v>58</v>
      </c>
      <c r="B633" s="2" t="s">
        <v>8346</v>
      </c>
      <c r="C633" s="2" t="s">
        <v>8347</v>
      </c>
      <c r="D633" s="2" t="s">
        <v>8348</v>
      </c>
      <c r="F633" s="3" t="s">
        <v>58</v>
      </c>
      <c r="G633" s="3" t="s">
        <v>59</v>
      </c>
      <c r="H633" s="3" t="s">
        <v>58</v>
      </c>
      <c r="I633" s="3" t="s">
        <v>58</v>
      </c>
      <c r="J633" s="3" t="s">
        <v>60</v>
      </c>
      <c r="K633" s="2" t="s">
        <v>8349</v>
      </c>
      <c r="L633" s="2" t="s">
        <v>8350</v>
      </c>
      <c r="M633" s="3" t="s">
        <v>344</v>
      </c>
      <c r="O633" s="3" t="s">
        <v>64</v>
      </c>
      <c r="P633" s="3" t="s">
        <v>83</v>
      </c>
      <c r="R633" s="3" t="s">
        <v>67</v>
      </c>
      <c r="S633" s="4">
        <v>4</v>
      </c>
      <c r="T633" s="4">
        <v>4</v>
      </c>
      <c r="U633" s="5" t="s">
        <v>8351</v>
      </c>
      <c r="V633" s="5" t="s">
        <v>8351</v>
      </c>
      <c r="W633" s="5" t="s">
        <v>8352</v>
      </c>
      <c r="X633" s="5" t="s">
        <v>8352</v>
      </c>
      <c r="Y633" s="4">
        <v>157</v>
      </c>
      <c r="Z633" s="4">
        <v>111</v>
      </c>
      <c r="AA633" s="4">
        <v>238</v>
      </c>
      <c r="AB633" s="4">
        <v>2</v>
      </c>
      <c r="AC633" s="4">
        <v>4</v>
      </c>
      <c r="AD633" s="4">
        <v>4</v>
      </c>
      <c r="AE633" s="4">
        <v>9</v>
      </c>
      <c r="AF633" s="4">
        <v>1</v>
      </c>
      <c r="AG633" s="4">
        <v>3</v>
      </c>
      <c r="AH633" s="4">
        <v>1</v>
      </c>
      <c r="AI633" s="4">
        <v>1</v>
      </c>
      <c r="AJ633" s="4">
        <v>1</v>
      </c>
      <c r="AK633" s="4">
        <v>3</v>
      </c>
      <c r="AL633" s="4">
        <v>1</v>
      </c>
      <c r="AM633" s="4">
        <v>3</v>
      </c>
      <c r="AN633" s="4">
        <v>0</v>
      </c>
      <c r="AO633" s="4">
        <v>0</v>
      </c>
      <c r="AP633" s="3" t="s">
        <v>58</v>
      </c>
      <c r="AQ633" s="3" t="s">
        <v>58</v>
      </c>
      <c r="AS633" s="6" t="str">
        <f>HYPERLINK("https://creighton-primo.hosted.exlibrisgroup.com/primo-explore/search?tab=default_tab&amp;search_scope=EVERYTHING&amp;vid=01CRU&amp;lang=en_US&amp;offset=0&amp;query=any,contains,991004971239702656","Catalog Record")</f>
        <v>Catalog Record</v>
      </c>
      <c r="AT633" s="6" t="str">
        <f>HYPERLINK("http://www.worldcat.org/oclc/6448501","WorldCat Record")</f>
        <v>WorldCat Record</v>
      </c>
      <c r="AU633" s="3" t="s">
        <v>8353</v>
      </c>
      <c r="AV633" s="3" t="s">
        <v>8354</v>
      </c>
      <c r="AW633" s="3" t="s">
        <v>8355</v>
      </c>
      <c r="AX633" s="3" t="s">
        <v>8355</v>
      </c>
      <c r="AY633" s="3" t="s">
        <v>8356</v>
      </c>
      <c r="AZ633" s="3" t="s">
        <v>74</v>
      </c>
      <c r="BB633" s="3" t="s">
        <v>8357</v>
      </c>
      <c r="BC633" s="3" t="s">
        <v>8358</v>
      </c>
      <c r="BD633" s="3" t="s">
        <v>8359</v>
      </c>
    </row>
    <row r="634" spans="1:56" ht="42.75" customHeight="1" x14ac:dyDescent="0.25">
      <c r="A634" s="7" t="s">
        <v>58</v>
      </c>
      <c r="B634" s="2" t="s">
        <v>8360</v>
      </c>
      <c r="C634" s="2" t="s">
        <v>8361</v>
      </c>
      <c r="D634" s="2" t="s">
        <v>8362</v>
      </c>
      <c r="F634" s="3" t="s">
        <v>58</v>
      </c>
      <c r="G634" s="3" t="s">
        <v>59</v>
      </c>
      <c r="H634" s="3" t="s">
        <v>58</v>
      </c>
      <c r="I634" s="3" t="s">
        <v>58</v>
      </c>
      <c r="J634" s="3" t="s">
        <v>60</v>
      </c>
      <c r="K634" s="2" t="s">
        <v>8363</v>
      </c>
      <c r="L634" s="2" t="s">
        <v>8364</v>
      </c>
      <c r="M634" s="3" t="s">
        <v>5200</v>
      </c>
      <c r="O634" s="3" t="s">
        <v>64</v>
      </c>
      <c r="P634" s="3" t="s">
        <v>83</v>
      </c>
      <c r="Q634" s="2" t="s">
        <v>8365</v>
      </c>
      <c r="R634" s="3" t="s">
        <v>67</v>
      </c>
      <c r="S634" s="4">
        <v>2</v>
      </c>
      <c r="T634" s="4">
        <v>2</v>
      </c>
      <c r="U634" s="5" t="s">
        <v>8366</v>
      </c>
      <c r="V634" s="5" t="s">
        <v>8366</v>
      </c>
      <c r="W634" s="5" t="s">
        <v>8367</v>
      </c>
      <c r="X634" s="5" t="s">
        <v>8367</v>
      </c>
      <c r="Y634" s="4">
        <v>454</v>
      </c>
      <c r="Z634" s="4">
        <v>371</v>
      </c>
      <c r="AA634" s="4">
        <v>407</v>
      </c>
      <c r="AB634" s="4">
        <v>2</v>
      </c>
      <c r="AC634" s="4">
        <v>2</v>
      </c>
      <c r="AD634" s="4">
        <v>15</v>
      </c>
      <c r="AE634" s="4">
        <v>15</v>
      </c>
      <c r="AF634" s="4">
        <v>3</v>
      </c>
      <c r="AG634" s="4">
        <v>3</v>
      </c>
      <c r="AH634" s="4">
        <v>5</v>
      </c>
      <c r="AI634" s="4">
        <v>5</v>
      </c>
      <c r="AJ634" s="4">
        <v>11</v>
      </c>
      <c r="AK634" s="4">
        <v>11</v>
      </c>
      <c r="AL634" s="4">
        <v>1</v>
      </c>
      <c r="AM634" s="4">
        <v>1</v>
      </c>
      <c r="AN634" s="4">
        <v>0</v>
      </c>
      <c r="AO634" s="4">
        <v>0</v>
      </c>
      <c r="AP634" s="3" t="s">
        <v>58</v>
      </c>
      <c r="AQ634" s="3" t="s">
        <v>86</v>
      </c>
      <c r="AR634" s="6" t="str">
        <f>HYPERLINK("http://catalog.hathitrust.org/Record/001564390","HathiTrust Record")</f>
        <v>HathiTrust Record</v>
      </c>
      <c r="AS634" s="6" t="str">
        <f>HYPERLINK("https://creighton-primo.hosted.exlibrisgroup.com/primo-explore/search?tab=default_tab&amp;search_scope=EVERYTHING&amp;vid=01CRU&amp;lang=en_US&amp;offset=0&amp;query=any,contains,991002421479702656","Catalog Record")</f>
        <v>Catalog Record</v>
      </c>
      <c r="AT634" s="6" t="str">
        <f>HYPERLINK("http://www.worldcat.org/oclc/342987","WorldCat Record")</f>
        <v>WorldCat Record</v>
      </c>
      <c r="AU634" s="3" t="s">
        <v>8368</v>
      </c>
      <c r="AV634" s="3" t="s">
        <v>8369</v>
      </c>
      <c r="AW634" s="3" t="s">
        <v>8370</v>
      </c>
      <c r="AX634" s="3" t="s">
        <v>8370</v>
      </c>
      <c r="AY634" s="3" t="s">
        <v>8371</v>
      </c>
      <c r="AZ634" s="3" t="s">
        <v>74</v>
      </c>
      <c r="BB634" s="3" t="s">
        <v>8372</v>
      </c>
      <c r="BC634" s="3" t="s">
        <v>8373</v>
      </c>
      <c r="BD634" s="3" t="s">
        <v>8374</v>
      </c>
    </row>
    <row r="635" spans="1:56" ht="42.75" customHeight="1" x14ac:dyDescent="0.25">
      <c r="A635" s="7" t="s">
        <v>58</v>
      </c>
      <c r="B635" s="2" t="s">
        <v>8375</v>
      </c>
      <c r="C635" s="2" t="s">
        <v>8376</v>
      </c>
      <c r="D635" s="2" t="s">
        <v>8377</v>
      </c>
      <c r="F635" s="3" t="s">
        <v>58</v>
      </c>
      <c r="G635" s="3" t="s">
        <v>59</v>
      </c>
      <c r="H635" s="3" t="s">
        <v>58</v>
      </c>
      <c r="I635" s="3" t="s">
        <v>58</v>
      </c>
      <c r="J635" s="3" t="s">
        <v>60</v>
      </c>
      <c r="K635" s="2" t="s">
        <v>8378</v>
      </c>
      <c r="L635" s="2" t="s">
        <v>8379</v>
      </c>
      <c r="M635" s="3" t="s">
        <v>344</v>
      </c>
      <c r="O635" s="3" t="s">
        <v>64</v>
      </c>
      <c r="P635" s="3" t="s">
        <v>145</v>
      </c>
      <c r="R635" s="3" t="s">
        <v>67</v>
      </c>
      <c r="S635" s="4">
        <v>10</v>
      </c>
      <c r="T635" s="4">
        <v>10</v>
      </c>
      <c r="U635" s="5" t="s">
        <v>8380</v>
      </c>
      <c r="V635" s="5" t="s">
        <v>8380</v>
      </c>
      <c r="W635" s="5" t="s">
        <v>2542</v>
      </c>
      <c r="X635" s="5" t="s">
        <v>2542</v>
      </c>
      <c r="Y635" s="4">
        <v>69</v>
      </c>
      <c r="Z635" s="4">
        <v>58</v>
      </c>
      <c r="AA635" s="4">
        <v>132</v>
      </c>
      <c r="AB635" s="4">
        <v>2</v>
      </c>
      <c r="AC635" s="4">
        <v>2</v>
      </c>
      <c r="AD635" s="4">
        <v>1</v>
      </c>
      <c r="AE635" s="4">
        <v>4</v>
      </c>
      <c r="AF635" s="4">
        <v>0</v>
      </c>
      <c r="AG635" s="4">
        <v>1</v>
      </c>
      <c r="AH635" s="4">
        <v>0</v>
      </c>
      <c r="AI635" s="4">
        <v>1</v>
      </c>
      <c r="AJ635" s="4">
        <v>0</v>
      </c>
      <c r="AK635" s="4">
        <v>2</v>
      </c>
      <c r="AL635" s="4">
        <v>1</v>
      </c>
      <c r="AM635" s="4">
        <v>1</v>
      </c>
      <c r="AN635" s="4">
        <v>0</v>
      </c>
      <c r="AO635" s="4">
        <v>0</v>
      </c>
      <c r="AP635" s="3" t="s">
        <v>58</v>
      </c>
      <c r="AQ635" s="3" t="s">
        <v>58</v>
      </c>
      <c r="AS635" s="6" t="str">
        <f>HYPERLINK("https://creighton-primo.hosted.exlibrisgroup.com/primo-explore/search?tab=default_tab&amp;search_scope=EVERYTHING&amp;vid=01CRU&amp;lang=en_US&amp;offset=0&amp;query=any,contains,991004902049702656","Catalog Record")</f>
        <v>Catalog Record</v>
      </c>
      <c r="AT635" s="6" t="str">
        <f>HYPERLINK("http://www.worldcat.org/oclc/5941018","WorldCat Record")</f>
        <v>WorldCat Record</v>
      </c>
      <c r="AU635" s="3" t="s">
        <v>8381</v>
      </c>
      <c r="AV635" s="3" t="s">
        <v>8382</v>
      </c>
      <c r="AW635" s="3" t="s">
        <v>8383</v>
      </c>
      <c r="AX635" s="3" t="s">
        <v>8383</v>
      </c>
      <c r="AY635" s="3" t="s">
        <v>8384</v>
      </c>
      <c r="AZ635" s="3" t="s">
        <v>74</v>
      </c>
      <c r="BB635" s="3" t="s">
        <v>8385</v>
      </c>
      <c r="BC635" s="3" t="s">
        <v>8386</v>
      </c>
      <c r="BD635" s="3" t="s">
        <v>8387</v>
      </c>
    </row>
    <row r="636" spans="1:56" ht="42.75" customHeight="1" x14ac:dyDescent="0.25">
      <c r="A636" s="7" t="s">
        <v>58</v>
      </c>
      <c r="B636" s="2" t="s">
        <v>8388</v>
      </c>
      <c r="C636" s="2" t="s">
        <v>8389</v>
      </c>
      <c r="D636" s="2" t="s">
        <v>8390</v>
      </c>
      <c r="F636" s="3" t="s">
        <v>58</v>
      </c>
      <c r="G636" s="3" t="s">
        <v>59</v>
      </c>
      <c r="H636" s="3" t="s">
        <v>58</v>
      </c>
      <c r="I636" s="3" t="s">
        <v>58</v>
      </c>
      <c r="J636" s="3" t="s">
        <v>60</v>
      </c>
      <c r="K636" s="2" t="s">
        <v>8391</v>
      </c>
      <c r="L636" s="2" t="s">
        <v>8392</v>
      </c>
      <c r="M636" s="3" t="s">
        <v>2853</v>
      </c>
      <c r="O636" s="3" t="s">
        <v>64</v>
      </c>
      <c r="P636" s="3" t="s">
        <v>6878</v>
      </c>
      <c r="Q636" s="2" t="s">
        <v>8393</v>
      </c>
      <c r="R636" s="3" t="s">
        <v>67</v>
      </c>
      <c r="S636" s="4">
        <v>3</v>
      </c>
      <c r="T636" s="4">
        <v>3</v>
      </c>
      <c r="U636" s="5" t="s">
        <v>8366</v>
      </c>
      <c r="V636" s="5" t="s">
        <v>8366</v>
      </c>
      <c r="W636" s="5" t="s">
        <v>4730</v>
      </c>
      <c r="X636" s="5" t="s">
        <v>4730</v>
      </c>
      <c r="Y636" s="4">
        <v>175</v>
      </c>
      <c r="Z636" s="4">
        <v>153</v>
      </c>
      <c r="AA636" s="4">
        <v>427</v>
      </c>
      <c r="AB636" s="4">
        <v>1</v>
      </c>
      <c r="AC636" s="4">
        <v>3</v>
      </c>
      <c r="AD636" s="4">
        <v>6</v>
      </c>
      <c r="AE636" s="4">
        <v>15</v>
      </c>
      <c r="AF636" s="4">
        <v>3</v>
      </c>
      <c r="AG636" s="4">
        <v>6</v>
      </c>
      <c r="AH636" s="4">
        <v>0</v>
      </c>
      <c r="AI636" s="4">
        <v>1</v>
      </c>
      <c r="AJ636" s="4">
        <v>5</v>
      </c>
      <c r="AK636" s="4">
        <v>10</v>
      </c>
      <c r="AL636" s="4">
        <v>0</v>
      </c>
      <c r="AM636" s="4">
        <v>2</v>
      </c>
      <c r="AN636" s="4">
        <v>0</v>
      </c>
      <c r="AO636" s="4">
        <v>0</v>
      </c>
      <c r="AP636" s="3" t="s">
        <v>58</v>
      </c>
      <c r="AQ636" s="3" t="s">
        <v>86</v>
      </c>
      <c r="AR636" s="6" t="str">
        <f>HYPERLINK("http://catalog.hathitrust.org/Record/000012895","HathiTrust Record")</f>
        <v>HathiTrust Record</v>
      </c>
      <c r="AS636" s="6" t="str">
        <f>HYPERLINK("https://creighton-primo.hosted.exlibrisgroup.com/primo-explore/search?tab=default_tab&amp;search_scope=EVERYTHING&amp;vid=01CRU&amp;lang=en_US&amp;offset=0&amp;query=any,contains,991003387739702656","Catalog Record")</f>
        <v>Catalog Record</v>
      </c>
      <c r="AT636" s="6" t="str">
        <f>HYPERLINK("http://www.worldcat.org/oclc/840322","WorldCat Record")</f>
        <v>WorldCat Record</v>
      </c>
      <c r="AU636" s="3" t="s">
        <v>8394</v>
      </c>
      <c r="AV636" s="3" t="s">
        <v>8395</v>
      </c>
      <c r="AW636" s="3" t="s">
        <v>8396</v>
      </c>
      <c r="AX636" s="3" t="s">
        <v>8396</v>
      </c>
      <c r="AY636" s="3" t="s">
        <v>8397</v>
      </c>
      <c r="AZ636" s="3" t="s">
        <v>74</v>
      </c>
      <c r="BC636" s="3" t="s">
        <v>8398</v>
      </c>
      <c r="BD636" s="3" t="s">
        <v>8399</v>
      </c>
    </row>
    <row r="637" spans="1:56" ht="42.75" customHeight="1" x14ac:dyDescent="0.25">
      <c r="A637" s="7" t="s">
        <v>58</v>
      </c>
      <c r="B637" s="2" t="s">
        <v>8400</v>
      </c>
      <c r="C637" s="2" t="s">
        <v>8401</v>
      </c>
      <c r="D637" s="2" t="s">
        <v>8402</v>
      </c>
      <c r="F637" s="3" t="s">
        <v>58</v>
      </c>
      <c r="G637" s="3" t="s">
        <v>59</v>
      </c>
      <c r="H637" s="3" t="s">
        <v>58</v>
      </c>
      <c r="I637" s="3" t="s">
        <v>58</v>
      </c>
      <c r="J637" s="3" t="s">
        <v>60</v>
      </c>
      <c r="K637" s="2" t="s">
        <v>8403</v>
      </c>
      <c r="L637" s="2" t="s">
        <v>8404</v>
      </c>
      <c r="M637" s="3" t="s">
        <v>82</v>
      </c>
      <c r="N637" s="2" t="s">
        <v>1736</v>
      </c>
      <c r="O637" s="3" t="s">
        <v>64</v>
      </c>
      <c r="P637" s="3" t="s">
        <v>115</v>
      </c>
      <c r="R637" s="3" t="s">
        <v>67</v>
      </c>
      <c r="S637" s="4">
        <v>4</v>
      </c>
      <c r="T637" s="4">
        <v>4</v>
      </c>
      <c r="U637" s="5" t="s">
        <v>8405</v>
      </c>
      <c r="V637" s="5" t="s">
        <v>8405</v>
      </c>
      <c r="W637" s="5" t="s">
        <v>8406</v>
      </c>
      <c r="X637" s="5" t="s">
        <v>8406</v>
      </c>
      <c r="Y637" s="4">
        <v>430</v>
      </c>
      <c r="Z637" s="4">
        <v>361</v>
      </c>
      <c r="AA637" s="4">
        <v>409</v>
      </c>
      <c r="AB637" s="4">
        <v>2</v>
      </c>
      <c r="AC637" s="4">
        <v>2</v>
      </c>
      <c r="AD637" s="4">
        <v>18</v>
      </c>
      <c r="AE637" s="4">
        <v>19</v>
      </c>
      <c r="AF637" s="4">
        <v>4</v>
      </c>
      <c r="AG637" s="4">
        <v>5</v>
      </c>
      <c r="AH637" s="4">
        <v>5</v>
      </c>
      <c r="AI637" s="4">
        <v>5</v>
      </c>
      <c r="AJ637" s="4">
        <v>14</v>
      </c>
      <c r="AK637" s="4">
        <v>14</v>
      </c>
      <c r="AL637" s="4">
        <v>1</v>
      </c>
      <c r="AM637" s="4">
        <v>1</v>
      </c>
      <c r="AN637" s="4">
        <v>0</v>
      </c>
      <c r="AO637" s="4">
        <v>0</v>
      </c>
      <c r="AP637" s="3" t="s">
        <v>58</v>
      </c>
      <c r="AQ637" s="3" t="s">
        <v>58</v>
      </c>
      <c r="AS637" s="6" t="str">
        <f>HYPERLINK("https://creighton-primo.hosted.exlibrisgroup.com/primo-explore/search?tab=default_tab&amp;search_scope=EVERYTHING&amp;vid=01CRU&amp;lang=en_US&amp;offset=0&amp;query=any,contains,991000966059702656","Catalog Record")</f>
        <v>Catalog Record</v>
      </c>
      <c r="AT637" s="6" t="str">
        <f>HYPERLINK("http://www.worldcat.org/oclc/14906030","WorldCat Record")</f>
        <v>WorldCat Record</v>
      </c>
      <c r="AU637" s="3" t="s">
        <v>8407</v>
      </c>
      <c r="AV637" s="3" t="s">
        <v>8408</v>
      </c>
      <c r="AW637" s="3" t="s">
        <v>8409</v>
      </c>
      <c r="AX637" s="3" t="s">
        <v>8409</v>
      </c>
      <c r="AY637" s="3" t="s">
        <v>8410</v>
      </c>
      <c r="AZ637" s="3" t="s">
        <v>74</v>
      </c>
      <c r="BB637" s="3" t="s">
        <v>8411</v>
      </c>
      <c r="BC637" s="3" t="s">
        <v>8412</v>
      </c>
      <c r="BD637" s="3" t="s">
        <v>8413</v>
      </c>
    </row>
    <row r="638" spans="1:56" ht="42.75" customHeight="1" x14ac:dyDescent="0.25">
      <c r="A638" s="7" t="s">
        <v>58</v>
      </c>
      <c r="B638" s="2" t="s">
        <v>8414</v>
      </c>
      <c r="C638" s="2" t="s">
        <v>8415</v>
      </c>
      <c r="D638" s="2" t="s">
        <v>8416</v>
      </c>
      <c r="F638" s="3" t="s">
        <v>58</v>
      </c>
      <c r="G638" s="3" t="s">
        <v>59</v>
      </c>
      <c r="H638" s="3" t="s">
        <v>58</v>
      </c>
      <c r="I638" s="3" t="s">
        <v>58</v>
      </c>
      <c r="J638" s="3" t="s">
        <v>60</v>
      </c>
      <c r="K638" s="2" t="s">
        <v>8417</v>
      </c>
      <c r="L638" s="2" t="s">
        <v>8418</v>
      </c>
      <c r="M638" s="3" t="s">
        <v>2770</v>
      </c>
      <c r="N638" s="2" t="s">
        <v>4027</v>
      </c>
      <c r="O638" s="3" t="s">
        <v>64</v>
      </c>
      <c r="P638" s="3" t="s">
        <v>115</v>
      </c>
      <c r="R638" s="3" t="s">
        <v>67</v>
      </c>
      <c r="S638" s="4">
        <v>1</v>
      </c>
      <c r="T638" s="4">
        <v>1</v>
      </c>
      <c r="U638" s="5" t="s">
        <v>8419</v>
      </c>
      <c r="V638" s="5" t="s">
        <v>8419</v>
      </c>
      <c r="W638" s="5" t="s">
        <v>8352</v>
      </c>
      <c r="X638" s="5" t="s">
        <v>8352</v>
      </c>
      <c r="Y638" s="4">
        <v>386</v>
      </c>
      <c r="Z638" s="4">
        <v>273</v>
      </c>
      <c r="AA638" s="4">
        <v>619</v>
      </c>
      <c r="AB638" s="4">
        <v>3</v>
      </c>
      <c r="AC638" s="4">
        <v>5</v>
      </c>
      <c r="AD638" s="4">
        <v>15</v>
      </c>
      <c r="AE638" s="4">
        <v>28</v>
      </c>
      <c r="AF638" s="4">
        <v>7</v>
      </c>
      <c r="AG638" s="4">
        <v>9</v>
      </c>
      <c r="AH638" s="4">
        <v>3</v>
      </c>
      <c r="AI638" s="4">
        <v>6</v>
      </c>
      <c r="AJ638" s="4">
        <v>9</v>
      </c>
      <c r="AK638" s="4">
        <v>17</v>
      </c>
      <c r="AL638" s="4">
        <v>2</v>
      </c>
      <c r="AM638" s="4">
        <v>4</v>
      </c>
      <c r="AN638" s="4">
        <v>0</v>
      </c>
      <c r="AO638" s="4">
        <v>0</v>
      </c>
      <c r="AP638" s="3" t="s">
        <v>58</v>
      </c>
      <c r="AQ638" s="3" t="s">
        <v>86</v>
      </c>
      <c r="AR638" s="6" t="str">
        <f>HYPERLINK("http://catalog.hathitrust.org/Record/000690344","HathiTrust Record")</f>
        <v>HathiTrust Record</v>
      </c>
      <c r="AS638" s="6" t="str">
        <f>HYPERLINK("https://creighton-primo.hosted.exlibrisgroup.com/primo-explore/search?tab=default_tab&amp;search_scope=EVERYTHING&amp;vid=01CRU&amp;lang=en_US&amp;offset=0&amp;query=any,contains,991004055759702656","Catalog Record")</f>
        <v>Catalog Record</v>
      </c>
      <c r="AT638" s="6" t="str">
        <f>HYPERLINK("http://www.worldcat.org/oclc/2225033","WorldCat Record")</f>
        <v>WorldCat Record</v>
      </c>
      <c r="AU638" s="3" t="s">
        <v>8420</v>
      </c>
      <c r="AV638" s="3" t="s">
        <v>8421</v>
      </c>
      <c r="AW638" s="3" t="s">
        <v>8422</v>
      </c>
      <c r="AX638" s="3" t="s">
        <v>8422</v>
      </c>
      <c r="AY638" s="3" t="s">
        <v>8423</v>
      </c>
      <c r="AZ638" s="3" t="s">
        <v>74</v>
      </c>
      <c r="BB638" s="3" t="s">
        <v>8424</v>
      </c>
      <c r="BC638" s="3" t="s">
        <v>8425</v>
      </c>
      <c r="BD638" s="3" t="s">
        <v>8426</v>
      </c>
    </row>
    <row r="639" spans="1:56" ht="42.75" customHeight="1" x14ac:dyDescent="0.25">
      <c r="A639" s="7" t="s">
        <v>58</v>
      </c>
      <c r="B639" s="2" t="s">
        <v>8427</v>
      </c>
      <c r="C639" s="2" t="s">
        <v>8428</v>
      </c>
      <c r="D639" s="2" t="s">
        <v>8429</v>
      </c>
      <c r="F639" s="3" t="s">
        <v>58</v>
      </c>
      <c r="G639" s="3" t="s">
        <v>59</v>
      </c>
      <c r="H639" s="3" t="s">
        <v>58</v>
      </c>
      <c r="I639" s="3" t="s">
        <v>58</v>
      </c>
      <c r="J639" s="3" t="s">
        <v>60</v>
      </c>
      <c r="K639" s="2" t="s">
        <v>8430</v>
      </c>
      <c r="L639" s="2" t="s">
        <v>8431</v>
      </c>
      <c r="M639" s="3" t="s">
        <v>238</v>
      </c>
      <c r="N639" s="2" t="s">
        <v>4027</v>
      </c>
      <c r="O639" s="3" t="s">
        <v>64</v>
      </c>
      <c r="P639" s="3" t="s">
        <v>83</v>
      </c>
      <c r="R639" s="3" t="s">
        <v>67</v>
      </c>
      <c r="S639" s="4">
        <v>6</v>
      </c>
      <c r="T639" s="4">
        <v>6</v>
      </c>
      <c r="U639" s="5" t="s">
        <v>8432</v>
      </c>
      <c r="V639" s="5" t="s">
        <v>8432</v>
      </c>
      <c r="W639" s="5" t="s">
        <v>8433</v>
      </c>
      <c r="X639" s="5" t="s">
        <v>8433</v>
      </c>
      <c r="Y639" s="4">
        <v>381</v>
      </c>
      <c r="Z639" s="4">
        <v>290</v>
      </c>
      <c r="AA639" s="4">
        <v>1208</v>
      </c>
      <c r="AB639" s="4">
        <v>2</v>
      </c>
      <c r="AC639" s="4">
        <v>13</v>
      </c>
      <c r="AD639" s="4">
        <v>9</v>
      </c>
      <c r="AE639" s="4">
        <v>44</v>
      </c>
      <c r="AF639" s="4">
        <v>1</v>
      </c>
      <c r="AG639" s="4">
        <v>19</v>
      </c>
      <c r="AH639" s="4">
        <v>2</v>
      </c>
      <c r="AI639" s="4">
        <v>6</v>
      </c>
      <c r="AJ639" s="4">
        <v>6</v>
      </c>
      <c r="AK639" s="4">
        <v>21</v>
      </c>
      <c r="AL639" s="4">
        <v>1</v>
      </c>
      <c r="AM639" s="4">
        <v>8</v>
      </c>
      <c r="AN639" s="4">
        <v>0</v>
      </c>
      <c r="AO639" s="4">
        <v>0</v>
      </c>
      <c r="AP639" s="3" t="s">
        <v>58</v>
      </c>
      <c r="AQ639" s="3" t="s">
        <v>86</v>
      </c>
      <c r="AR639" s="6" t="str">
        <f>HYPERLINK("http://catalog.hathitrust.org/Record/008514205","HathiTrust Record")</f>
        <v>HathiTrust Record</v>
      </c>
      <c r="AS639" s="6" t="str">
        <f>HYPERLINK("https://creighton-primo.hosted.exlibrisgroup.com/primo-explore/search?tab=default_tab&amp;search_scope=EVERYTHING&amp;vid=01CRU&amp;lang=en_US&amp;offset=0&amp;query=any,contains,991004755649702656","Catalog Record")</f>
        <v>Catalog Record</v>
      </c>
      <c r="AT639" s="6" t="str">
        <f>HYPERLINK("http://www.worldcat.org/oclc/4961148","WorldCat Record")</f>
        <v>WorldCat Record</v>
      </c>
      <c r="AU639" s="3" t="s">
        <v>8434</v>
      </c>
      <c r="AV639" s="3" t="s">
        <v>8435</v>
      </c>
      <c r="AW639" s="3" t="s">
        <v>8436</v>
      </c>
      <c r="AX639" s="3" t="s">
        <v>8436</v>
      </c>
      <c r="AY639" s="3" t="s">
        <v>8437</v>
      </c>
      <c r="AZ639" s="3" t="s">
        <v>74</v>
      </c>
      <c r="BB639" s="3" t="s">
        <v>8438</v>
      </c>
      <c r="BC639" s="3" t="s">
        <v>8439</v>
      </c>
      <c r="BD639" s="3" t="s">
        <v>8440</v>
      </c>
    </row>
    <row r="640" spans="1:56" ht="42.75" customHeight="1" x14ac:dyDescent="0.25">
      <c r="A640" s="7" t="s">
        <v>58</v>
      </c>
      <c r="B640" s="2" t="s">
        <v>8441</v>
      </c>
      <c r="C640" s="2" t="s">
        <v>8442</v>
      </c>
      <c r="D640" s="2" t="s">
        <v>8443</v>
      </c>
      <c r="F640" s="3" t="s">
        <v>58</v>
      </c>
      <c r="G640" s="3" t="s">
        <v>59</v>
      </c>
      <c r="H640" s="3" t="s">
        <v>58</v>
      </c>
      <c r="I640" s="3" t="s">
        <v>58</v>
      </c>
      <c r="J640" s="3" t="s">
        <v>60</v>
      </c>
      <c r="K640" s="2" t="s">
        <v>8444</v>
      </c>
      <c r="L640" s="2" t="s">
        <v>8445</v>
      </c>
      <c r="M640" s="3" t="s">
        <v>2770</v>
      </c>
      <c r="N640" s="2" t="s">
        <v>1736</v>
      </c>
      <c r="O640" s="3" t="s">
        <v>64</v>
      </c>
      <c r="P640" s="3" t="s">
        <v>115</v>
      </c>
      <c r="R640" s="3" t="s">
        <v>67</v>
      </c>
      <c r="S640" s="4">
        <v>5</v>
      </c>
      <c r="T640" s="4">
        <v>5</v>
      </c>
      <c r="U640" s="5" t="s">
        <v>8446</v>
      </c>
      <c r="V640" s="5" t="s">
        <v>8446</v>
      </c>
      <c r="W640" s="5" t="s">
        <v>8447</v>
      </c>
      <c r="X640" s="5" t="s">
        <v>8447</v>
      </c>
      <c r="Y640" s="4">
        <v>248</v>
      </c>
      <c r="Z640" s="4">
        <v>232</v>
      </c>
      <c r="AA640" s="4">
        <v>495</v>
      </c>
      <c r="AB640" s="4">
        <v>2</v>
      </c>
      <c r="AC640" s="4">
        <v>3</v>
      </c>
      <c r="AD640" s="4">
        <v>3</v>
      </c>
      <c r="AE640" s="4">
        <v>7</v>
      </c>
      <c r="AF640" s="4">
        <v>0</v>
      </c>
      <c r="AG640" s="4">
        <v>1</v>
      </c>
      <c r="AH640" s="4">
        <v>0</v>
      </c>
      <c r="AI640" s="4">
        <v>0</v>
      </c>
      <c r="AJ640" s="4">
        <v>2</v>
      </c>
      <c r="AK640" s="4">
        <v>6</v>
      </c>
      <c r="AL640" s="4">
        <v>1</v>
      </c>
      <c r="AM640" s="4">
        <v>1</v>
      </c>
      <c r="AN640" s="4">
        <v>0</v>
      </c>
      <c r="AO640" s="4">
        <v>0</v>
      </c>
      <c r="AP640" s="3" t="s">
        <v>58</v>
      </c>
      <c r="AQ640" s="3" t="s">
        <v>58</v>
      </c>
      <c r="AS640" s="6" t="str">
        <f>HYPERLINK("https://creighton-primo.hosted.exlibrisgroup.com/primo-explore/search?tab=default_tab&amp;search_scope=EVERYTHING&amp;vid=01CRU&amp;lang=en_US&amp;offset=0&amp;query=any,contains,991004297919702656","Catalog Record")</f>
        <v>Catalog Record</v>
      </c>
      <c r="AT640" s="6" t="str">
        <f>HYPERLINK("http://www.worldcat.org/oclc/2966301","WorldCat Record")</f>
        <v>WorldCat Record</v>
      </c>
      <c r="AU640" s="3" t="s">
        <v>8448</v>
      </c>
      <c r="AV640" s="3" t="s">
        <v>8449</v>
      </c>
      <c r="AW640" s="3" t="s">
        <v>8450</v>
      </c>
      <c r="AX640" s="3" t="s">
        <v>8450</v>
      </c>
      <c r="AY640" s="3" t="s">
        <v>8451</v>
      </c>
      <c r="AZ640" s="3" t="s">
        <v>74</v>
      </c>
      <c r="BB640" s="3" t="s">
        <v>8452</v>
      </c>
      <c r="BC640" s="3" t="s">
        <v>8453</v>
      </c>
      <c r="BD640" s="3" t="s">
        <v>8454</v>
      </c>
    </row>
    <row r="641" spans="1:56" ht="42.75" customHeight="1" x14ac:dyDescent="0.25">
      <c r="A641" s="7" t="s">
        <v>58</v>
      </c>
      <c r="B641" s="2" t="s">
        <v>8455</v>
      </c>
      <c r="C641" s="2" t="s">
        <v>8456</v>
      </c>
      <c r="D641" s="2" t="s">
        <v>8457</v>
      </c>
      <c r="F641" s="3" t="s">
        <v>58</v>
      </c>
      <c r="G641" s="3" t="s">
        <v>59</v>
      </c>
      <c r="H641" s="3" t="s">
        <v>58</v>
      </c>
      <c r="I641" s="3" t="s">
        <v>58</v>
      </c>
      <c r="J641" s="3" t="s">
        <v>60</v>
      </c>
      <c r="L641" s="2" t="s">
        <v>8458</v>
      </c>
      <c r="M641" s="3" t="s">
        <v>586</v>
      </c>
      <c r="O641" s="3" t="s">
        <v>64</v>
      </c>
      <c r="P641" s="3" t="s">
        <v>83</v>
      </c>
      <c r="R641" s="3" t="s">
        <v>67</v>
      </c>
      <c r="S641" s="4">
        <v>15</v>
      </c>
      <c r="T641" s="4">
        <v>15</v>
      </c>
      <c r="U641" s="5" t="s">
        <v>8446</v>
      </c>
      <c r="V641" s="5" t="s">
        <v>8446</v>
      </c>
      <c r="W641" s="5" t="s">
        <v>8459</v>
      </c>
      <c r="X641" s="5" t="s">
        <v>8459</v>
      </c>
      <c r="Y641" s="4">
        <v>131</v>
      </c>
      <c r="Z641" s="4">
        <v>103</v>
      </c>
      <c r="AA641" s="4">
        <v>110</v>
      </c>
      <c r="AB641" s="4">
        <v>1</v>
      </c>
      <c r="AC641" s="4">
        <v>1</v>
      </c>
      <c r="AD641" s="4">
        <v>5</v>
      </c>
      <c r="AE641" s="4">
        <v>5</v>
      </c>
      <c r="AF641" s="4">
        <v>2</v>
      </c>
      <c r="AG641" s="4">
        <v>2</v>
      </c>
      <c r="AH641" s="4">
        <v>1</v>
      </c>
      <c r="AI641" s="4">
        <v>1</v>
      </c>
      <c r="AJ641" s="4">
        <v>2</v>
      </c>
      <c r="AK641" s="4">
        <v>2</v>
      </c>
      <c r="AL641" s="4">
        <v>0</v>
      </c>
      <c r="AM641" s="4">
        <v>0</v>
      </c>
      <c r="AN641" s="4">
        <v>0</v>
      </c>
      <c r="AO641" s="4">
        <v>0</v>
      </c>
      <c r="AP641" s="3" t="s">
        <v>58</v>
      </c>
      <c r="AQ641" s="3" t="s">
        <v>86</v>
      </c>
      <c r="AR641" s="6" t="str">
        <f>HYPERLINK("http://catalog.hathitrust.org/Record/002794490","HathiTrust Record")</f>
        <v>HathiTrust Record</v>
      </c>
      <c r="AS641" s="6" t="str">
        <f>HYPERLINK("https://creighton-primo.hosted.exlibrisgroup.com/primo-explore/search?tab=default_tab&amp;search_scope=EVERYTHING&amp;vid=01CRU&amp;lang=en_US&amp;offset=0&amp;query=any,contains,991001922669702656","Catalog Record")</f>
        <v>Catalog Record</v>
      </c>
      <c r="AT641" s="6" t="str">
        <f>HYPERLINK("http://www.worldcat.org/oclc/24272814","WorldCat Record")</f>
        <v>WorldCat Record</v>
      </c>
      <c r="AU641" s="3" t="s">
        <v>8460</v>
      </c>
      <c r="AV641" s="3" t="s">
        <v>8461</v>
      </c>
      <c r="AW641" s="3" t="s">
        <v>8462</v>
      </c>
      <c r="AX641" s="3" t="s">
        <v>8462</v>
      </c>
      <c r="AY641" s="3" t="s">
        <v>8463</v>
      </c>
      <c r="AZ641" s="3" t="s">
        <v>74</v>
      </c>
      <c r="BB641" s="3" t="s">
        <v>8464</v>
      </c>
      <c r="BC641" s="3" t="s">
        <v>8465</v>
      </c>
      <c r="BD641" s="3" t="s">
        <v>8466</v>
      </c>
    </row>
    <row r="642" spans="1:56" ht="42.75" customHeight="1" x14ac:dyDescent="0.25">
      <c r="A642" s="7" t="s">
        <v>58</v>
      </c>
      <c r="B642" s="2" t="s">
        <v>8467</v>
      </c>
      <c r="C642" s="2" t="s">
        <v>8468</v>
      </c>
      <c r="D642" s="2" t="s">
        <v>8469</v>
      </c>
      <c r="F642" s="3" t="s">
        <v>58</v>
      </c>
      <c r="G642" s="3" t="s">
        <v>59</v>
      </c>
      <c r="H642" s="3" t="s">
        <v>58</v>
      </c>
      <c r="I642" s="3" t="s">
        <v>58</v>
      </c>
      <c r="J642" s="3" t="s">
        <v>60</v>
      </c>
      <c r="K642" s="2" t="s">
        <v>8470</v>
      </c>
      <c r="L642" s="2" t="s">
        <v>8471</v>
      </c>
      <c r="M642" s="3" t="s">
        <v>3069</v>
      </c>
      <c r="O642" s="3" t="s">
        <v>64</v>
      </c>
      <c r="P642" s="3" t="s">
        <v>115</v>
      </c>
      <c r="R642" s="3" t="s">
        <v>67</v>
      </c>
      <c r="S642" s="4">
        <v>2</v>
      </c>
      <c r="T642" s="4">
        <v>2</v>
      </c>
      <c r="U642" s="5" t="s">
        <v>8472</v>
      </c>
      <c r="V642" s="5" t="s">
        <v>8472</v>
      </c>
      <c r="W642" s="5" t="s">
        <v>3917</v>
      </c>
      <c r="X642" s="5" t="s">
        <v>3917</v>
      </c>
      <c r="Y642" s="4">
        <v>26</v>
      </c>
      <c r="Z642" s="4">
        <v>17</v>
      </c>
      <c r="AA642" s="4">
        <v>740</v>
      </c>
      <c r="AB642" s="4">
        <v>1</v>
      </c>
      <c r="AC642" s="4">
        <v>7</v>
      </c>
      <c r="AD642" s="4">
        <v>0</v>
      </c>
      <c r="AE642" s="4">
        <v>31</v>
      </c>
      <c r="AF642" s="4">
        <v>0</v>
      </c>
      <c r="AG642" s="4">
        <v>7</v>
      </c>
      <c r="AH642" s="4">
        <v>0</v>
      </c>
      <c r="AI642" s="4">
        <v>7</v>
      </c>
      <c r="AJ642" s="4">
        <v>0</v>
      </c>
      <c r="AK642" s="4">
        <v>18</v>
      </c>
      <c r="AL642" s="4">
        <v>0</v>
      </c>
      <c r="AM642" s="4">
        <v>5</v>
      </c>
      <c r="AN642" s="4">
        <v>0</v>
      </c>
      <c r="AO642" s="4">
        <v>0</v>
      </c>
      <c r="AP642" s="3" t="s">
        <v>58</v>
      </c>
      <c r="AQ642" s="3" t="s">
        <v>58</v>
      </c>
      <c r="AS642" s="6" t="str">
        <f>HYPERLINK("https://creighton-primo.hosted.exlibrisgroup.com/primo-explore/search?tab=default_tab&amp;search_scope=EVERYTHING&amp;vid=01CRU&amp;lang=en_US&amp;offset=0&amp;query=any,contains,991004977809702656","Catalog Record")</f>
        <v>Catalog Record</v>
      </c>
      <c r="AT642" s="6" t="str">
        <f>HYPERLINK("http://www.worldcat.org/oclc/6412469","WorldCat Record")</f>
        <v>WorldCat Record</v>
      </c>
      <c r="AU642" s="3" t="s">
        <v>8473</v>
      </c>
      <c r="AV642" s="3" t="s">
        <v>8474</v>
      </c>
      <c r="AW642" s="3" t="s">
        <v>8475</v>
      </c>
      <c r="AX642" s="3" t="s">
        <v>8475</v>
      </c>
      <c r="AY642" s="3" t="s">
        <v>8476</v>
      </c>
      <c r="AZ642" s="3" t="s">
        <v>74</v>
      </c>
      <c r="BC642" s="3" t="s">
        <v>8477</v>
      </c>
      <c r="BD642" s="3" t="s">
        <v>8478</v>
      </c>
    </row>
    <row r="643" spans="1:56" ht="42.75" customHeight="1" x14ac:dyDescent="0.25">
      <c r="A643" s="7" t="s">
        <v>58</v>
      </c>
      <c r="B643" s="2" t="s">
        <v>8479</v>
      </c>
      <c r="C643" s="2" t="s">
        <v>8480</v>
      </c>
      <c r="D643" s="2" t="s">
        <v>8481</v>
      </c>
      <c r="F643" s="3" t="s">
        <v>58</v>
      </c>
      <c r="G643" s="3" t="s">
        <v>59</v>
      </c>
      <c r="H643" s="3" t="s">
        <v>58</v>
      </c>
      <c r="I643" s="3" t="s">
        <v>58</v>
      </c>
      <c r="J643" s="3" t="s">
        <v>60</v>
      </c>
      <c r="L643" s="2" t="s">
        <v>8482</v>
      </c>
      <c r="M643" s="3" t="s">
        <v>114</v>
      </c>
      <c r="O643" s="3" t="s">
        <v>64</v>
      </c>
      <c r="P643" s="3" t="s">
        <v>1898</v>
      </c>
      <c r="R643" s="3" t="s">
        <v>67</v>
      </c>
      <c r="S643" s="4">
        <v>19</v>
      </c>
      <c r="T643" s="4">
        <v>19</v>
      </c>
      <c r="U643" s="5" t="s">
        <v>8483</v>
      </c>
      <c r="V643" s="5" t="s">
        <v>8483</v>
      </c>
      <c r="W643" s="5" t="s">
        <v>8484</v>
      </c>
      <c r="X643" s="5" t="s">
        <v>8484</v>
      </c>
      <c r="Y643" s="4">
        <v>212</v>
      </c>
      <c r="Z643" s="4">
        <v>149</v>
      </c>
      <c r="AA643" s="4">
        <v>466</v>
      </c>
      <c r="AB643" s="4">
        <v>1</v>
      </c>
      <c r="AC643" s="4">
        <v>3</v>
      </c>
      <c r="AD643" s="4">
        <v>7</v>
      </c>
      <c r="AE643" s="4">
        <v>18</v>
      </c>
      <c r="AF643" s="4">
        <v>4</v>
      </c>
      <c r="AG643" s="4">
        <v>9</v>
      </c>
      <c r="AH643" s="4">
        <v>1</v>
      </c>
      <c r="AI643" s="4">
        <v>3</v>
      </c>
      <c r="AJ643" s="4">
        <v>5</v>
      </c>
      <c r="AK643" s="4">
        <v>10</v>
      </c>
      <c r="AL643" s="4">
        <v>0</v>
      </c>
      <c r="AM643" s="4">
        <v>2</v>
      </c>
      <c r="AN643" s="4">
        <v>0</v>
      </c>
      <c r="AO643" s="4">
        <v>0</v>
      </c>
      <c r="AP643" s="3" t="s">
        <v>58</v>
      </c>
      <c r="AQ643" s="3" t="s">
        <v>86</v>
      </c>
      <c r="AR643" s="6" t="str">
        <f>HYPERLINK("http://catalog.hathitrust.org/Record/000166122","HathiTrust Record")</f>
        <v>HathiTrust Record</v>
      </c>
      <c r="AS643" s="6" t="str">
        <f>HYPERLINK("https://creighton-primo.hosted.exlibrisgroup.com/primo-explore/search?tab=default_tab&amp;search_scope=EVERYTHING&amp;vid=01CRU&amp;lang=en_US&amp;offset=0&amp;query=any,contains,991000269619702656","Catalog Record")</f>
        <v>Catalog Record</v>
      </c>
      <c r="AT643" s="6" t="str">
        <f>HYPERLINK("http://www.worldcat.org/oclc/9853250","WorldCat Record")</f>
        <v>WorldCat Record</v>
      </c>
      <c r="AU643" s="3" t="s">
        <v>8485</v>
      </c>
      <c r="AV643" s="3" t="s">
        <v>8486</v>
      </c>
      <c r="AW643" s="3" t="s">
        <v>8487</v>
      </c>
      <c r="AX643" s="3" t="s">
        <v>8487</v>
      </c>
      <c r="AY643" s="3" t="s">
        <v>8488</v>
      </c>
      <c r="AZ643" s="3" t="s">
        <v>74</v>
      </c>
      <c r="BB643" s="3" t="s">
        <v>8489</v>
      </c>
      <c r="BC643" s="3" t="s">
        <v>8490</v>
      </c>
      <c r="BD643" s="3" t="s">
        <v>8491</v>
      </c>
    </row>
    <row r="644" spans="1:56" ht="42.75" customHeight="1" x14ac:dyDescent="0.25">
      <c r="A644" s="7" t="s">
        <v>58</v>
      </c>
      <c r="B644" s="2" t="s">
        <v>8492</v>
      </c>
      <c r="C644" s="2" t="s">
        <v>8493</v>
      </c>
      <c r="D644" s="2" t="s">
        <v>8494</v>
      </c>
      <c r="F644" s="3" t="s">
        <v>58</v>
      </c>
      <c r="G644" s="3" t="s">
        <v>59</v>
      </c>
      <c r="H644" s="3" t="s">
        <v>58</v>
      </c>
      <c r="I644" s="3" t="s">
        <v>58</v>
      </c>
      <c r="J644" s="3" t="s">
        <v>60</v>
      </c>
      <c r="L644" s="2" t="s">
        <v>8495</v>
      </c>
      <c r="M644" s="3" t="s">
        <v>2770</v>
      </c>
      <c r="O644" s="3" t="s">
        <v>64</v>
      </c>
      <c r="P644" s="3" t="s">
        <v>65</v>
      </c>
      <c r="R644" s="3" t="s">
        <v>67</v>
      </c>
      <c r="S644" s="4">
        <v>4</v>
      </c>
      <c r="T644" s="4">
        <v>4</v>
      </c>
      <c r="U644" s="5" t="s">
        <v>8351</v>
      </c>
      <c r="V644" s="5" t="s">
        <v>8351</v>
      </c>
      <c r="W644" s="5" t="s">
        <v>8496</v>
      </c>
      <c r="X644" s="5" t="s">
        <v>8496</v>
      </c>
      <c r="Y644" s="4">
        <v>402</v>
      </c>
      <c r="Z644" s="4">
        <v>321</v>
      </c>
      <c r="AA644" s="4">
        <v>331</v>
      </c>
      <c r="AB644" s="4">
        <v>3</v>
      </c>
      <c r="AC644" s="4">
        <v>3</v>
      </c>
      <c r="AD644" s="4">
        <v>11</v>
      </c>
      <c r="AE644" s="4">
        <v>11</v>
      </c>
      <c r="AF644" s="4">
        <v>4</v>
      </c>
      <c r="AG644" s="4">
        <v>4</v>
      </c>
      <c r="AH644" s="4">
        <v>3</v>
      </c>
      <c r="AI644" s="4">
        <v>3</v>
      </c>
      <c r="AJ644" s="4">
        <v>7</v>
      </c>
      <c r="AK644" s="4">
        <v>7</v>
      </c>
      <c r="AL644" s="4">
        <v>2</v>
      </c>
      <c r="AM644" s="4">
        <v>2</v>
      </c>
      <c r="AN644" s="4">
        <v>0</v>
      </c>
      <c r="AO644" s="4">
        <v>0</v>
      </c>
      <c r="AP644" s="3" t="s">
        <v>58</v>
      </c>
      <c r="AQ644" s="3" t="s">
        <v>58</v>
      </c>
      <c r="AS644" s="6" t="str">
        <f>HYPERLINK("https://creighton-primo.hosted.exlibrisgroup.com/primo-explore/search?tab=default_tab&amp;search_scope=EVERYTHING&amp;vid=01CRU&amp;lang=en_US&amp;offset=0&amp;query=any,contains,991004340839702656","Catalog Record")</f>
        <v>Catalog Record</v>
      </c>
      <c r="AT644" s="6" t="str">
        <f>HYPERLINK("http://www.worldcat.org/oclc/3089139","WorldCat Record")</f>
        <v>WorldCat Record</v>
      </c>
      <c r="AU644" s="3" t="s">
        <v>8497</v>
      </c>
      <c r="AV644" s="3" t="s">
        <v>8498</v>
      </c>
      <c r="AW644" s="3" t="s">
        <v>8499</v>
      </c>
      <c r="AX644" s="3" t="s">
        <v>8499</v>
      </c>
      <c r="AY644" s="3" t="s">
        <v>8500</v>
      </c>
      <c r="AZ644" s="3" t="s">
        <v>74</v>
      </c>
      <c r="BB644" s="3" t="s">
        <v>8501</v>
      </c>
      <c r="BC644" s="3" t="s">
        <v>8502</v>
      </c>
      <c r="BD644" s="3" t="s">
        <v>8503</v>
      </c>
    </row>
    <row r="645" spans="1:56" ht="42.75" customHeight="1" x14ac:dyDescent="0.25">
      <c r="A645" s="7" t="s">
        <v>58</v>
      </c>
      <c r="B645" s="2" t="s">
        <v>8504</v>
      </c>
      <c r="C645" s="2" t="s">
        <v>8505</v>
      </c>
      <c r="D645" s="2" t="s">
        <v>8506</v>
      </c>
      <c r="F645" s="3" t="s">
        <v>58</v>
      </c>
      <c r="G645" s="3" t="s">
        <v>59</v>
      </c>
      <c r="H645" s="3" t="s">
        <v>58</v>
      </c>
      <c r="I645" s="3" t="s">
        <v>58</v>
      </c>
      <c r="J645" s="3" t="s">
        <v>60</v>
      </c>
      <c r="K645" s="2" t="s">
        <v>8507</v>
      </c>
      <c r="L645" s="2" t="s">
        <v>8508</v>
      </c>
      <c r="M645" s="3" t="s">
        <v>114</v>
      </c>
      <c r="N645" s="2" t="s">
        <v>1736</v>
      </c>
      <c r="O645" s="3" t="s">
        <v>64</v>
      </c>
      <c r="P645" s="3" t="s">
        <v>99</v>
      </c>
      <c r="Q645" s="2" t="s">
        <v>7599</v>
      </c>
      <c r="R645" s="3" t="s">
        <v>67</v>
      </c>
      <c r="S645" s="4">
        <v>3</v>
      </c>
      <c r="T645" s="4">
        <v>3</v>
      </c>
      <c r="U645" s="5" t="s">
        <v>4605</v>
      </c>
      <c r="V645" s="5" t="s">
        <v>4605</v>
      </c>
      <c r="W645" s="5" t="s">
        <v>4730</v>
      </c>
      <c r="X645" s="5" t="s">
        <v>4730</v>
      </c>
      <c r="Y645" s="4">
        <v>637</v>
      </c>
      <c r="Z645" s="4">
        <v>556</v>
      </c>
      <c r="AA645" s="4">
        <v>566</v>
      </c>
      <c r="AB645" s="4">
        <v>3</v>
      </c>
      <c r="AC645" s="4">
        <v>3</v>
      </c>
      <c r="AD645" s="4">
        <v>29</v>
      </c>
      <c r="AE645" s="4">
        <v>29</v>
      </c>
      <c r="AF645" s="4">
        <v>14</v>
      </c>
      <c r="AG645" s="4">
        <v>14</v>
      </c>
      <c r="AH645" s="4">
        <v>5</v>
      </c>
      <c r="AI645" s="4">
        <v>5</v>
      </c>
      <c r="AJ645" s="4">
        <v>16</v>
      </c>
      <c r="AK645" s="4">
        <v>16</v>
      </c>
      <c r="AL645" s="4">
        <v>2</v>
      </c>
      <c r="AM645" s="4">
        <v>2</v>
      </c>
      <c r="AN645" s="4">
        <v>0</v>
      </c>
      <c r="AO645" s="4">
        <v>0</v>
      </c>
      <c r="AP645" s="3" t="s">
        <v>58</v>
      </c>
      <c r="AQ645" s="3" t="s">
        <v>86</v>
      </c>
      <c r="AR645" s="6" t="str">
        <f>HYPERLINK("http://catalog.hathitrust.org/Record/000782359","HathiTrust Record")</f>
        <v>HathiTrust Record</v>
      </c>
      <c r="AS645" s="6" t="str">
        <f>HYPERLINK("https://creighton-primo.hosted.exlibrisgroup.com/primo-explore/search?tab=default_tab&amp;search_scope=EVERYTHING&amp;vid=01CRU&amp;lang=en_US&amp;offset=0&amp;query=any,contains,991000358729702656","Catalog Record")</f>
        <v>Catalog Record</v>
      </c>
      <c r="AT645" s="6" t="str">
        <f>HYPERLINK("http://www.worldcat.org/oclc/10349008","WorldCat Record")</f>
        <v>WorldCat Record</v>
      </c>
      <c r="AU645" s="3" t="s">
        <v>8509</v>
      </c>
      <c r="AV645" s="3" t="s">
        <v>8510</v>
      </c>
      <c r="AW645" s="3" t="s">
        <v>8511</v>
      </c>
      <c r="AX645" s="3" t="s">
        <v>8511</v>
      </c>
      <c r="AY645" s="3" t="s">
        <v>8512</v>
      </c>
      <c r="AZ645" s="3" t="s">
        <v>74</v>
      </c>
      <c r="BB645" s="3" t="s">
        <v>8513</v>
      </c>
      <c r="BC645" s="3" t="s">
        <v>8514</v>
      </c>
      <c r="BD645" s="3" t="s">
        <v>8515</v>
      </c>
    </row>
    <row r="646" spans="1:56" ht="42.75" customHeight="1" x14ac:dyDescent="0.25">
      <c r="A646" s="7" t="s">
        <v>58</v>
      </c>
      <c r="B646" s="2" t="s">
        <v>8516</v>
      </c>
      <c r="C646" s="2" t="s">
        <v>8517</v>
      </c>
      <c r="D646" s="2" t="s">
        <v>8518</v>
      </c>
      <c r="F646" s="3" t="s">
        <v>58</v>
      </c>
      <c r="G646" s="3" t="s">
        <v>59</v>
      </c>
      <c r="H646" s="3" t="s">
        <v>58</v>
      </c>
      <c r="I646" s="3" t="s">
        <v>58</v>
      </c>
      <c r="J646" s="3" t="s">
        <v>60</v>
      </c>
      <c r="K646" s="2" t="s">
        <v>8519</v>
      </c>
      <c r="L646" s="2" t="s">
        <v>8520</v>
      </c>
      <c r="M646" s="3" t="s">
        <v>163</v>
      </c>
      <c r="O646" s="3" t="s">
        <v>64</v>
      </c>
      <c r="P646" s="3" t="s">
        <v>1898</v>
      </c>
      <c r="Q646" s="2" t="s">
        <v>8521</v>
      </c>
      <c r="R646" s="3" t="s">
        <v>67</v>
      </c>
      <c r="S646" s="4">
        <v>3</v>
      </c>
      <c r="T646" s="4">
        <v>3</v>
      </c>
      <c r="U646" s="5" t="s">
        <v>8522</v>
      </c>
      <c r="V646" s="5" t="s">
        <v>8522</v>
      </c>
      <c r="W646" s="5" t="s">
        <v>8523</v>
      </c>
      <c r="X646" s="5" t="s">
        <v>8523</v>
      </c>
      <c r="Y646" s="4">
        <v>418</v>
      </c>
      <c r="Z646" s="4">
        <v>340</v>
      </c>
      <c r="AA646" s="4">
        <v>341</v>
      </c>
      <c r="AB646" s="4">
        <v>3</v>
      </c>
      <c r="AC646" s="4">
        <v>3</v>
      </c>
      <c r="AD646" s="4">
        <v>15</v>
      </c>
      <c r="AE646" s="4">
        <v>15</v>
      </c>
      <c r="AF646" s="4">
        <v>6</v>
      </c>
      <c r="AG646" s="4">
        <v>6</v>
      </c>
      <c r="AH646" s="4">
        <v>2</v>
      </c>
      <c r="AI646" s="4">
        <v>2</v>
      </c>
      <c r="AJ646" s="4">
        <v>6</v>
      </c>
      <c r="AK646" s="4">
        <v>6</v>
      </c>
      <c r="AL646" s="4">
        <v>2</v>
      </c>
      <c r="AM646" s="4">
        <v>2</v>
      </c>
      <c r="AN646" s="4">
        <v>0</v>
      </c>
      <c r="AO646" s="4">
        <v>0</v>
      </c>
      <c r="AP646" s="3" t="s">
        <v>58</v>
      </c>
      <c r="AQ646" s="3" t="s">
        <v>58</v>
      </c>
      <c r="AS646" s="6" t="str">
        <f>HYPERLINK("https://creighton-primo.hosted.exlibrisgroup.com/primo-explore/search?tab=default_tab&amp;search_scope=EVERYTHING&amp;vid=01CRU&amp;lang=en_US&amp;offset=0&amp;query=any,contains,991000647049702656","Catalog Record")</f>
        <v>Catalog Record</v>
      </c>
      <c r="AT646" s="6" t="str">
        <f>HYPERLINK("http://www.worldcat.org/oclc/111225","WorldCat Record")</f>
        <v>WorldCat Record</v>
      </c>
      <c r="AU646" s="3" t="s">
        <v>8524</v>
      </c>
      <c r="AV646" s="3" t="s">
        <v>8525</v>
      </c>
      <c r="AW646" s="3" t="s">
        <v>8526</v>
      </c>
      <c r="AX646" s="3" t="s">
        <v>8526</v>
      </c>
      <c r="AY646" s="3" t="s">
        <v>8527</v>
      </c>
      <c r="AZ646" s="3" t="s">
        <v>74</v>
      </c>
      <c r="BB646" s="3" t="s">
        <v>8528</v>
      </c>
      <c r="BC646" s="3" t="s">
        <v>8529</v>
      </c>
      <c r="BD646" s="3" t="s">
        <v>8530</v>
      </c>
    </row>
    <row r="647" spans="1:56" ht="42.75" customHeight="1" x14ac:dyDescent="0.25">
      <c r="A647" s="7" t="s">
        <v>58</v>
      </c>
      <c r="B647" s="2" t="s">
        <v>8531</v>
      </c>
      <c r="C647" s="2" t="s">
        <v>8532</v>
      </c>
      <c r="D647" s="2" t="s">
        <v>8533</v>
      </c>
      <c r="F647" s="3" t="s">
        <v>58</v>
      </c>
      <c r="G647" s="3" t="s">
        <v>59</v>
      </c>
      <c r="H647" s="3" t="s">
        <v>58</v>
      </c>
      <c r="I647" s="3" t="s">
        <v>58</v>
      </c>
      <c r="J647" s="3" t="s">
        <v>60</v>
      </c>
      <c r="K647" s="2" t="s">
        <v>8534</v>
      </c>
      <c r="L647" s="2" t="s">
        <v>8535</v>
      </c>
      <c r="M647" s="3" t="s">
        <v>5200</v>
      </c>
      <c r="O647" s="3" t="s">
        <v>64</v>
      </c>
      <c r="P647" s="3" t="s">
        <v>3666</v>
      </c>
      <c r="Q647" s="2" t="s">
        <v>8536</v>
      </c>
      <c r="R647" s="3" t="s">
        <v>67</v>
      </c>
      <c r="S647" s="4">
        <v>2</v>
      </c>
      <c r="T647" s="4">
        <v>2</v>
      </c>
      <c r="U647" s="5" t="s">
        <v>8483</v>
      </c>
      <c r="V647" s="5" t="s">
        <v>8483</v>
      </c>
      <c r="W647" s="5" t="s">
        <v>8537</v>
      </c>
      <c r="X647" s="5" t="s">
        <v>8537</v>
      </c>
      <c r="Y647" s="4">
        <v>185</v>
      </c>
      <c r="Z647" s="4">
        <v>147</v>
      </c>
      <c r="AA647" s="4">
        <v>148</v>
      </c>
      <c r="AB647" s="4">
        <v>3</v>
      </c>
      <c r="AC647" s="4">
        <v>3</v>
      </c>
      <c r="AD647" s="4">
        <v>7</v>
      </c>
      <c r="AE647" s="4">
        <v>7</v>
      </c>
      <c r="AF647" s="4">
        <v>2</v>
      </c>
      <c r="AG647" s="4">
        <v>2</v>
      </c>
      <c r="AH647" s="4">
        <v>2</v>
      </c>
      <c r="AI647" s="4">
        <v>2</v>
      </c>
      <c r="AJ647" s="4">
        <v>3</v>
      </c>
      <c r="AK647" s="4">
        <v>3</v>
      </c>
      <c r="AL647" s="4">
        <v>1</v>
      </c>
      <c r="AM647" s="4">
        <v>1</v>
      </c>
      <c r="AN647" s="4">
        <v>0</v>
      </c>
      <c r="AO647" s="4">
        <v>0</v>
      </c>
      <c r="AP647" s="3" t="s">
        <v>58</v>
      </c>
      <c r="AQ647" s="3" t="s">
        <v>58</v>
      </c>
      <c r="AS647" s="6" t="str">
        <f>HYPERLINK("https://creighton-primo.hosted.exlibrisgroup.com/primo-explore/search?tab=default_tab&amp;search_scope=EVERYTHING&amp;vid=01CRU&amp;lang=en_US&amp;offset=0&amp;query=any,contains,991002413839702656","Catalog Record")</f>
        <v>Catalog Record</v>
      </c>
      <c r="AT647" s="6" t="str">
        <f>HYPERLINK("http://www.worldcat.org/oclc/340922","WorldCat Record")</f>
        <v>WorldCat Record</v>
      </c>
      <c r="AU647" s="3" t="s">
        <v>8538</v>
      </c>
      <c r="AV647" s="3" t="s">
        <v>8539</v>
      </c>
      <c r="AW647" s="3" t="s">
        <v>8540</v>
      </c>
      <c r="AX647" s="3" t="s">
        <v>8540</v>
      </c>
      <c r="AY647" s="3" t="s">
        <v>8541</v>
      </c>
      <c r="AZ647" s="3" t="s">
        <v>74</v>
      </c>
      <c r="BB647" s="3" t="s">
        <v>8542</v>
      </c>
      <c r="BC647" s="3" t="s">
        <v>8543</v>
      </c>
      <c r="BD647" s="3" t="s">
        <v>8544</v>
      </c>
    </row>
    <row r="648" spans="1:56" ht="42.75" customHeight="1" x14ac:dyDescent="0.25">
      <c r="A648" s="7" t="s">
        <v>58</v>
      </c>
      <c r="B648" s="2" t="s">
        <v>8545</v>
      </c>
      <c r="C648" s="2" t="s">
        <v>8546</v>
      </c>
      <c r="D648" s="2" t="s">
        <v>8547</v>
      </c>
      <c r="F648" s="3" t="s">
        <v>58</v>
      </c>
      <c r="G648" s="3" t="s">
        <v>59</v>
      </c>
      <c r="H648" s="3" t="s">
        <v>58</v>
      </c>
      <c r="I648" s="3" t="s">
        <v>86</v>
      </c>
      <c r="J648" s="3" t="s">
        <v>60</v>
      </c>
      <c r="L648" s="2" t="s">
        <v>8548</v>
      </c>
      <c r="M648" s="3" t="s">
        <v>238</v>
      </c>
      <c r="O648" s="3" t="s">
        <v>64</v>
      </c>
      <c r="P648" s="3" t="s">
        <v>65</v>
      </c>
      <c r="Q648" s="2" t="s">
        <v>1776</v>
      </c>
      <c r="R648" s="3" t="s">
        <v>67</v>
      </c>
      <c r="S648" s="4">
        <v>5</v>
      </c>
      <c r="T648" s="4">
        <v>5</v>
      </c>
      <c r="U648" s="5" t="s">
        <v>8549</v>
      </c>
      <c r="V648" s="5" t="s">
        <v>8549</v>
      </c>
      <c r="W648" s="5" t="s">
        <v>4730</v>
      </c>
      <c r="X648" s="5" t="s">
        <v>4730</v>
      </c>
      <c r="Y648" s="4">
        <v>355</v>
      </c>
      <c r="Z648" s="4">
        <v>255</v>
      </c>
      <c r="AA648" s="4">
        <v>474</v>
      </c>
      <c r="AB648" s="4">
        <v>5</v>
      </c>
      <c r="AC648" s="4">
        <v>6</v>
      </c>
      <c r="AD648" s="4">
        <v>11</v>
      </c>
      <c r="AE648" s="4">
        <v>19</v>
      </c>
      <c r="AF648" s="4">
        <v>2</v>
      </c>
      <c r="AG648" s="4">
        <v>5</v>
      </c>
      <c r="AH648" s="4">
        <v>3</v>
      </c>
      <c r="AI648" s="4">
        <v>4</v>
      </c>
      <c r="AJ648" s="4">
        <v>3</v>
      </c>
      <c r="AK648" s="4">
        <v>10</v>
      </c>
      <c r="AL648" s="4">
        <v>4</v>
      </c>
      <c r="AM648" s="4">
        <v>4</v>
      </c>
      <c r="AN648" s="4">
        <v>0</v>
      </c>
      <c r="AO648" s="4">
        <v>0</v>
      </c>
      <c r="AP648" s="3" t="s">
        <v>58</v>
      </c>
      <c r="AQ648" s="3" t="s">
        <v>58</v>
      </c>
      <c r="AS648" s="6" t="str">
        <f>HYPERLINK("https://creighton-primo.hosted.exlibrisgroup.com/primo-explore/search?tab=default_tab&amp;search_scope=EVERYTHING&amp;vid=01CRU&amp;lang=en_US&amp;offset=0&amp;query=any,contains,991004753499702656","Catalog Record")</f>
        <v>Catalog Record</v>
      </c>
      <c r="AT648" s="6" t="str">
        <f>HYPERLINK("http://www.worldcat.org/oclc/4952541","WorldCat Record")</f>
        <v>WorldCat Record</v>
      </c>
      <c r="AU648" s="3" t="s">
        <v>8550</v>
      </c>
      <c r="AV648" s="3" t="s">
        <v>8551</v>
      </c>
      <c r="AW648" s="3" t="s">
        <v>8552</v>
      </c>
      <c r="AX648" s="3" t="s">
        <v>8552</v>
      </c>
      <c r="AY648" s="3" t="s">
        <v>8553</v>
      </c>
      <c r="AZ648" s="3" t="s">
        <v>74</v>
      </c>
      <c r="BB648" s="3" t="s">
        <v>8554</v>
      </c>
      <c r="BC648" s="3" t="s">
        <v>8555</v>
      </c>
      <c r="BD648" s="3" t="s">
        <v>8556</v>
      </c>
    </row>
    <row r="649" spans="1:56" ht="42.75" customHeight="1" x14ac:dyDescent="0.25">
      <c r="A649" s="7" t="s">
        <v>58</v>
      </c>
      <c r="B649" s="2" t="s">
        <v>8557</v>
      </c>
      <c r="C649" s="2" t="s">
        <v>8558</v>
      </c>
      <c r="D649" s="2" t="s">
        <v>8559</v>
      </c>
      <c r="F649" s="3" t="s">
        <v>58</v>
      </c>
      <c r="G649" s="3" t="s">
        <v>59</v>
      </c>
      <c r="H649" s="3" t="s">
        <v>58</v>
      </c>
      <c r="I649" s="3" t="s">
        <v>58</v>
      </c>
      <c r="J649" s="3" t="s">
        <v>60</v>
      </c>
      <c r="K649" s="2" t="s">
        <v>8560</v>
      </c>
      <c r="L649" s="2" t="s">
        <v>8561</v>
      </c>
      <c r="M649" s="3" t="s">
        <v>3069</v>
      </c>
      <c r="O649" s="3" t="s">
        <v>64</v>
      </c>
      <c r="P649" s="3" t="s">
        <v>115</v>
      </c>
      <c r="R649" s="3" t="s">
        <v>67</v>
      </c>
      <c r="S649" s="4">
        <v>4</v>
      </c>
      <c r="T649" s="4">
        <v>4</v>
      </c>
      <c r="U649" s="5" t="s">
        <v>8562</v>
      </c>
      <c r="V649" s="5" t="s">
        <v>8562</v>
      </c>
      <c r="W649" s="5" t="s">
        <v>8563</v>
      </c>
      <c r="X649" s="5" t="s">
        <v>8563</v>
      </c>
      <c r="Y649" s="4">
        <v>449</v>
      </c>
      <c r="Z649" s="4">
        <v>394</v>
      </c>
      <c r="AA649" s="4">
        <v>407</v>
      </c>
      <c r="AB649" s="4">
        <v>3</v>
      </c>
      <c r="AC649" s="4">
        <v>3</v>
      </c>
      <c r="AD649" s="4">
        <v>15</v>
      </c>
      <c r="AE649" s="4">
        <v>15</v>
      </c>
      <c r="AF649" s="4">
        <v>5</v>
      </c>
      <c r="AG649" s="4">
        <v>5</v>
      </c>
      <c r="AH649" s="4">
        <v>4</v>
      </c>
      <c r="AI649" s="4">
        <v>4</v>
      </c>
      <c r="AJ649" s="4">
        <v>10</v>
      </c>
      <c r="AK649" s="4">
        <v>10</v>
      </c>
      <c r="AL649" s="4">
        <v>1</v>
      </c>
      <c r="AM649" s="4">
        <v>1</v>
      </c>
      <c r="AN649" s="4">
        <v>0</v>
      </c>
      <c r="AO649" s="4">
        <v>0</v>
      </c>
      <c r="AP649" s="3" t="s">
        <v>58</v>
      </c>
      <c r="AQ649" s="3" t="s">
        <v>86</v>
      </c>
      <c r="AR649" s="6" t="str">
        <f>HYPERLINK("http://catalog.hathitrust.org/Record/001564435","HathiTrust Record")</f>
        <v>HathiTrust Record</v>
      </c>
      <c r="AS649" s="6" t="str">
        <f>HYPERLINK("https://creighton-primo.hosted.exlibrisgroup.com/primo-explore/search?tab=default_tab&amp;search_scope=EVERYTHING&amp;vid=01CRU&amp;lang=en_US&amp;offset=0&amp;query=any,contains,991005318129702656","Catalog Record")</f>
        <v>Catalog Record</v>
      </c>
      <c r="AT649" s="6" t="str">
        <f>HYPERLINK("http://www.worldcat.org/oclc/992840","WorldCat Record")</f>
        <v>WorldCat Record</v>
      </c>
      <c r="AU649" s="3" t="s">
        <v>8564</v>
      </c>
      <c r="AV649" s="3" t="s">
        <v>8565</v>
      </c>
      <c r="AW649" s="3" t="s">
        <v>8566</v>
      </c>
      <c r="AX649" s="3" t="s">
        <v>8566</v>
      </c>
      <c r="AY649" s="3" t="s">
        <v>8567</v>
      </c>
      <c r="AZ649" s="3" t="s">
        <v>74</v>
      </c>
      <c r="BC649" s="3" t="s">
        <v>8568</v>
      </c>
      <c r="BD649" s="3" t="s">
        <v>8569</v>
      </c>
    </row>
    <row r="650" spans="1:56" ht="42.75" customHeight="1" x14ac:dyDescent="0.25">
      <c r="A650" s="7" t="s">
        <v>58</v>
      </c>
      <c r="B650" s="2" t="s">
        <v>8570</v>
      </c>
      <c r="C650" s="2" t="s">
        <v>8571</v>
      </c>
      <c r="D650" s="2" t="s">
        <v>8572</v>
      </c>
      <c r="F650" s="3" t="s">
        <v>58</v>
      </c>
      <c r="G650" s="3" t="s">
        <v>59</v>
      </c>
      <c r="H650" s="3" t="s">
        <v>58</v>
      </c>
      <c r="I650" s="3" t="s">
        <v>58</v>
      </c>
      <c r="J650" s="3" t="s">
        <v>60</v>
      </c>
      <c r="K650" s="2" t="s">
        <v>8573</v>
      </c>
      <c r="L650" s="2" t="s">
        <v>3760</v>
      </c>
      <c r="M650" s="3" t="s">
        <v>207</v>
      </c>
      <c r="O650" s="3" t="s">
        <v>64</v>
      </c>
      <c r="P650" s="3" t="s">
        <v>115</v>
      </c>
      <c r="R650" s="3" t="s">
        <v>67</v>
      </c>
      <c r="S650" s="4">
        <v>4</v>
      </c>
      <c r="T650" s="4">
        <v>4</v>
      </c>
      <c r="U650" s="5" t="s">
        <v>8574</v>
      </c>
      <c r="V650" s="5" t="s">
        <v>8574</v>
      </c>
      <c r="W650" s="5" t="s">
        <v>8575</v>
      </c>
      <c r="X650" s="5" t="s">
        <v>8575</v>
      </c>
      <c r="Y650" s="4">
        <v>497</v>
      </c>
      <c r="Z650" s="4">
        <v>410</v>
      </c>
      <c r="AA650" s="4">
        <v>514</v>
      </c>
      <c r="AB650" s="4">
        <v>1</v>
      </c>
      <c r="AC650" s="4">
        <v>1</v>
      </c>
      <c r="AD650" s="4">
        <v>11</v>
      </c>
      <c r="AE650" s="4">
        <v>18</v>
      </c>
      <c r="AF650" s="4">
        <v>4</v>
      </c>
      <c r="AG650" s="4">
        <v>9</v>
      </c>
      <c r="AH650" s="4">
        <v>2</v>
      </c>
      <c r="AI650" s="4">
        <v>2</v>
      </c>
      <c r="AJ650" s="4">
        <v>7</v>
      </c>
      <c r="AK650" s="4">
        <v>12</v>
      </c>
      <c r="AL650" s="4">
        <v>0</v>
      </c>
      <c r="AM650" s="4">
        <v>0</v>
      </c>
      <c r="AN650" s="4">
        <v>0</v>
      </c>
      <c r="AO650" s="4">
        <v>0</v>
      </c>
      <c r="AP650" s="3" t="s">
        <v>58</v>
      </c>
      <c r="AQ650" s="3" t="s">
        <v>58</v>
      </c>
      <c r="AS650" s="6" t="str">
        <f>HYPERLINK("https://creighton-primo.hosted.exlibrisgroup.com/primo-explore/search?tab=default_tab&amp;search_scope=EVERYTHING&amp;vid=01CRU&amp;lang=en_US&amp;offset=0&amp;query=any,contains,991005090169702656","Catalog Record")</f>
        <v>Catalog Record</v>
      </c>
      <c r="AT650" s="6" t="str">
        <f>HYPERLINK("http://www.worldcat.org/oclc/7206812","WorldCat Record")</f>
        <v>WorldCat Record</v>
      </c>
      <c r="AU650" s="3" t="s">
        <v>8576</v>
      </c>
      <c r="AV650" s="3" t="s">
        <v>8577</v>
      </c>
      <c r="AW650" s="3" t="s">
        <v>8578</v>
      </c>
      <c r="AX650" s="3" t="s">
        <v>8578</v>
      </c>
      <c r="AY650" s="3" t="s">
        <v>8579</v>
      </c>
      <c r="AZ650" s="3" t="s">
        <v>74</v>
      </c>
      <c r="BB650" s="3" t="s">
        <v>8580</v>
      </c>
      <c r="BC650" s="3" t="s">
        <v>8581</v>
      </c>
      <c r="BD650" s="3" t="s">
        <v>8582</v>
      </c>
    </row>
    <row r="651" spans="1:56" ht="42.75" customHeight="1" x14ac:dyDescent="0.25">
      <c r="A651" s="7" t="s">
        <v>58</v>
      </c>
      <c r="B651" s="2" t="s">
        <v>8583</v>
      </c>
      <c r="C651" s="2" t="s">
        <v>8584</v>
      </c>
      <c r="D651" s="2" t="s">
        <v>8585</v>
      </c>
      <c r="F651" s="3" t="s">
        <v>58</v>
      </c>
      <c r="G651" s="3" t="s">
        <v>59</v>
      </c>
      <c r="H651" s="3" t="s">
        <v>58</v>
      </c>
      <c r="I651" s="3" t="s">
        <v>58</v>
      </c>
      <c r="J651" s="3" t="s">
        <v>60</v>
      </c>
      <c r="K651" s="2" t="s">
        <v>8586</v>
      </c>
      <c r="L651" s="2" t="s">
        <v>8587</v>
      </c>
      <c r="M651" s="3" t="s">
        <v>163</v>
      </c>
      <c r="O651" s="3" t="s">
        <v>64</v>
      </c>
      <c r="P651" s="3" t="s">
        <v>99</v>
      </c>
      <c r="R651" s="3" t="s">
        <v>67</v>
      </c>
      <c r="S651" s="4">
        <v>3</v>
      </c>
      <c r="T651" s="4">
        <v>3</v>
      </c>
      <c r="U651" s="5" t="s">
        <v>8588</v>
      </c>
      <c r="V651" s="5" t="s">
        <v>8588</v>
      </c>
      <c r="W651" s="5" t="s">
        <v>8537</v>
      </c>
      <c r="X651" s="5" t="s">
        <v>8537</v>
      </c>
      <c r="Y651" s="4">
        <v>193</v>
      </c>
      <c r="Z651" s="4">
        <v>149</v>
      </c>
      <c r="AA651" s="4">
        <v>151</v>
      </c>
      <c r="AB651" s="4">
        <v>2</v>
      </c>
      <c r="AC651" s="4">
        <v>2</v>
      </c>
      <c r="AD651" s="4">
        <v>6</v>
      </c>
      <c r="AE651" s="4">
        <v>6</v>
      </c>
      <c r="AF651" s="4">
        <v>1</v>
      </c>
      <c r="AG651" s="4">
        <v>1</v>
      </c>
      <c r="AH651" s="4">
        <v>2</v>
      </c>
      <c r="AI651" s="4">
        <v>2</v>
      </c>
      <c r="AJ651" s="4">
        <v>4</v>
      </c>
      <c r="AK651" s="4">
        <v>4</v>
      </c>
      <c r="AL651" s="4">
        <v>1</v>
      </c>
      <c r="AM651" s="4">
        <v>1</v>
      </c>
      <c r="AN651" s="4">
        <v>0</v>
      </c>
      <c r="AO651" s="4">
        <v>0</v>
      </c>
      <c r="AP651" s="3" t="s">
        <v>58</v>
      </c>
      <c r="AQ651" s="3" t="s">
        <v>86</v>
      </c>
      <c r="AR651" s="6" t="str">
        <f>HYPERLINK("http://catalog.hathitrust.org/Record/006241166","HathiTrust Record")</f>
        <v>HathiTrust Record</v>
      </c>
      <c r="AS651" s="6" t="str">
        <f>HYPERLINK("https://creighton-primo.hosted.exlibrisgroup.com/primo-explore/search?tab=default_tab&amp;search_scope=EVERYTHING&amp;vid=01CRU&amp;lang=en_US&amp;offset=0&amp;query=any,contains,991000816589702656","Catalog Record")</f>
        <v>Catalog Record</v>
      </c>
      <c r="AT651" s="6" t="str">
        <f>HYPERLINK("http://www.worldcat.org/oclc/142795","WorldCat Record")</f>
        <v>WorldCat Record</v>
      </c>
      <c r="AU651" s="3" t="s">
        <v>8589</v>
      </c>
      <c r="AV651" s="3" t="s">
        <v>8590</v>
      </c>
      <c r="AW651" s="3" t="s">
        <v>8591</v>
      </c>
      <c r="AX651" s="3" t="s">
        <v>8591</v>
      </c>
      <c r="AY651" s="3" t="s">
        <v>8592</v>
      </c>
      <c r="AZ651" s="3" t="s">
        <v>74</v>
      </c>
      <c r="BB651" s="3" t="s">
        <v>8593</v>
      </c>
      <c r="BC651" s="3" t="s">
        <v>8594</v>
      </c>
      <c r="BD651" s="3" t="s">
        <v>8595</v>
      </c>
    </row>
    <row r="652" spans="1:56" ht="42.75" customHeight="1" x14ac:dyDescent="0.25">
      <c r="A652" s="7" t="s">
        <v>58</v>
      </c>
      <c r="B652" s="2" t="s">
        <v>8596</v>
      </c>
      <c r="C652" s="2" t="s">
        <v>8597</v>
      </c>
      <c r="D652" s="2" t="s">
        <v>8598</v>
      </c>
      <c r="F652" s="3" t="s">
        <v>58</v>
      </c>
      <c r="G652" s="3" t="s">
        <v>59</v>
      </c>
      <c r="H652" s="3" t="s">
        <v>58</v>
      </c>
      <c r="I652" s="3" t="s">
        <v>58</v>
      </c>
      <c r="J652" s="3" t="s">
        <v>60</v>
      </c>
      <c r="K652" s="2" t="s">
        <v>8599</v>
      </c>
      <c r="L652" s="2" t="s">
        <v>8600</v>
      </c>
      <c r="M652" s="3" t="s">
        <v>163</v>
      </c>
      <c r="O652" s="3" t="s">
        <v>64</v>
      </c>
      <c r="P652" s="3" t="s">
        <v>83</v>
      </c>
      <c r="R652" s="3" t="s">
        <v>67</v>
      </c>
      <c r="S652" s="4">
        <v>6</v>
      </c>
      <c r="T652" s="4">
        <v>6</v>
      </c>
      <c r="U652" s="5" t="s">
        <v>8601</v>
      </c>
      <c r="V652" s="5" t="s">
        <v>8601</v>
      </c>
      <c r="W652" s="5" t="s">
        <v>8602</v>
      </c>
      <c r="X652" s="5" t="s">
        <v>8602</v>
      </c>
      <c r="Y652" s="4">
        <v>483</v>
      </c>
      <c r="Z652" s="4">
        <v>426</v>
      </c>
      <c r="AA652" s="4">
        <v>428</v>
      </c>
      <c r="AB652" s="4">
        <v>4</v>
      </c>
      <c r="AC652" s="4">
        <v>4</v>
      </c>
      <c r="AD652" s="4">
        <v>21</v>
      </c>
      <c r="AE652" s="4">
        <v>21</v>
      </c>
      <c r="AF652" s="4">
        <v>9</v>
      </c>
      <c r="AG652" s="4">
        <v>9</v>
      </c>
      <c r="AH652" s="4">
        <v>5</v>
      </c>
      <c r="AI652" s="4">
        <v>5</v>
      </c>
      <c r="AJ652" s="4">
        <v>11</v>
      </c>
      <c r="AK652" s="4">
        <v>11</v>
      </c>
      <c r="AL652" s="4">
        <v>3</v>
      </c>
      <c r="AM652" s="4">
        <v>3</v>
      </c>
      <c r="AN652" s="4">
        <v>0</v>
      </c>
      <c r="AO652" s="4">
        <v>0</v>
      </c>
      <c r="AP652" s="3" t="s">
        <v>58</v>
      </c>
      <c r="AQ652" s="3" t="s">
        <v>86</v>
      </c>
      <c r="AR652" s="6" t="str">
        <f>HYPERLINK("http://catalog.hathitrust.org/Record/001564457","HathiTrust Record")</f>
        <v>HathiTrust Record</v>
      </c>
      <c r="AS652" s="6" t="str">
        <f>HYPERLINK("https://creighton-primo.hosted.exlibrisgroup.com/primo-explore/search?tab=default_tab&amp;search_scope=EVERYTHING&amp;vid=01CRU&amp;lang=en_US&amp;offset=0&amp;query=any,contains,991000719819702656","Catalog Record")</f>
        <v>Catalog Record</v>
      </c>
      <c r="AT652" s="6" t="str">
        <f>HYPERLINK("http://www.worldcat.org/oclc/126429","WorldCat Record")</f>
        <v>WorldCat Record</v>
      </c>
      <c r="AU652" s="3" t="s">
        <v>8603</v>
      </c>
      <c r="AV652" s="3" t="s">
        <v>8604</v>
      </c>
      <c r="AW652" s="3" t="s">
        <v>8605</v>
      </c>
      <c r="AX652" s="3" t="s">
        <v>8605</v>
      </c>
      <c r="AY652" s="3" t="s">
        <v>8606</v>
      </c>
      <c r="AZ652" s="3" t="s">
        <v>74</v>
      </c>
      <c r="BC652" s="3" t="s">
        <v>8607</v>
      </c>
      <c r="BD652" s="3" t="s">
        <v>8608</v>
      </c>
    </row>
    <row r="653" spans="1:56" ht="42.75" customHeight="1" x14ac:dyDescent="0.25">
      <c r="A653" s="7" t="s">
        <v>58</v>
      </c>
      <c r="B653" s="2" t="s">
        <v>8609</v>
      </c>
      <c r="C653" s="2" t="s">
        <v>8610</v>
      </c>
      <c r="D653" s="2" t="s">
        <v>8611</v>
      </c>
      <c r="F653" s="3" t="s">
        <v>58</v>
      </c>
      <c r="G653" s="3" t="s">
        <v>59</v>
      </c>
      <c r="H653" s="3" t="s">
        <v>58</v>
      </c>
      <c r="I653" s="3" t="s">
        <v>58</v>
      </c>
      <c r="J653" s="3" t="s">
        <v>60</v>
      </c>
      <c r="L653" s="2" t="s">
        <v>8445</v>
      </c>
      <c r="M653" s="3" t="s">
        <v>2770</v>
      </c>
      <c r="O653" s="3" t="s">
        <v>64</v>
      </c>
      <c r="P653" s="3" t="s">
        <v>115</v>
      </c>
      <c r="R653" s="3" t="s">
        <v>67</v>
      </c>
      <c r="S653" s="4">
        <v>3</v>
      </c>
      <c r="T653" s="4">
        <v>3</v>
      </c>
      <c r="U653" s="5" t="s">
        <v>8522</v>
      </c>
      <c r="V653" s="5" t="s">
        <v>8522</v>
      </c>
      <c r="W653" s="5" t="s">
        <v>179</v>
      </c>
      <c r="X653" s="5" t="s">
        <v>179</v>
      </c>
      <c r="Y653" s="4">
        <v>307</v>
      </c>
      <c r="Z653" s="4">
        <v>231</v>
      </c>
      <c r="AA653" s="4">
        <v>231</v>
      </c>
      <c r="AB653" s="4">
        <v>3</v>
      </c>
      <c r="AC653" s="4">
        <v>3</v>
      </c>
      <c r="AD653" s="4">
        <v>12</v>
      </c>
      <c r="AE653" s="4">
        <v>12</v>
      </c>
      <c r="AF653" s="4">
        <v>2</v>
      </c>
      <c r="AG653" s="4">
        <v>2</v>
      </c>
      <c r="AH653" s="4">
        <v>4</v>
      </c>
      <c r="AI653" s="4">
        <v>4</v>
      </c>
      <c r="AJ653" s="4">
        <v>8</v>
      </c>
      <c r="AK653" s="4">
        <v>8</v>
      </c>
      <c r="AL653" s="4">
        <v>2</v>
      </c>
      <c r="AM653" s="4">
        <v>2</v>
      </c>
      <c r="AN653" s="4">
        <v>0</v>
      </c>
      <c r="AO653" s="4">
        <v>0</v>
      </c>
      <c r="AP653" s="3" t="s">
        <v>58</v>
      </c>
      <c r="AQ653" s="3" t="s">
        <v>58</v>
      </c>
      <c r="AS653" s="6" t="str">
        <f>HYPERLINK("https://creighton-primo.hosted.exlibrisgroup.com/primo-explore/search?tab=default_tab&amp;search_scope=EVERYTHING&amp;vid=01CRU&amp;lang=en_US&amp;offset=0&amp;query=any,contains,991004272219702656","Catalog Record")</f>
        <v>Catalog Record</v>
      </c>
      <c r="AT653" s="6" t="str">
        <f>HYPERLINK("http://www.worldcat.org/oclc/2881325","WorldCat Record")</f>
        <v>WorldCat Record</v>
      </c>
      <c r="AU653" s="3" t="s">
        <v>8612</v>
      </c>
      <c r="AV653" s="3" t="s">
        <v>8613</v>
      </c>
      <c r="AW653" s="3" t="s">
        <v>8614</v>
      </c>
      <c r="AX653" s="3" t="s">
        <v>8614</v>
      </c>
      <c r="AY653" s="3" t="s">
        <v>8615</v>
      </c>
      <c r="AZ653" s="3" t="s">
        <v>74</v>
      </c>
      <c r="BB653" s="3" t="s">
        <v>8616</v>
      </c>
      <c r="BC653" s="3" t="s">
        <v>8617</v>
      </c>
      <c r="BD653" s="3" t="s">
        <v>8618</v>
      </c>
    </row>
    <row r="654" spans="1:56" ht="42.75" customHeight="1" x14ac:dyDescent="0.25">
      <c r="A654" s="7" t="s">
        <v>58</v>
      </c>
      <c r="B654" s="2" t="s">
        <v>8619</v>
      </c>
      <c r="C654" s="2" t="s">
        <v>8620</v>
      </c>
      <c r="D654" s="2" t="s">
        <v>8621</v>
      </c>
      <c r="F654" s="3" t="s">
        <v>58</v>
      </c>
      <c r="G654" s="3" t="s">
        <v>59</v>
      </c>
      <c r="H654" s="3" t="s">
        <v>58</v>
      </c>
      <c r="I654" s="3" t="s">
        <v>58</v>
      </c>
      <c r="J654" s="3" t="s">
        <v>60</v>
      </c>
      <c r="K654" s="2" t="s">
        <v>8622</v>
      </c>
      <c r="L654" s="2" t="s">
        <v>8623</v>
      </c>
      <c r="M654" s="3" t="s">
        <v>344</v>
      </c>
      <c r="N654" s="2" t="s">
        <v>8624</v>
      </c>
      <c r="O654" s="3" t="s">
        <v>64</v>
      </c>
      <c r="P654" s="3" t="s">
        <v>65</v>
      </c>
      <c r="Q654" s="2" t="s">
        <v>8625</v>
      </c>
      <c r="R654" s="3" t="s">
        <v>67</v>
      </c>
      <c r="S654" s="4">
        <v>3</v>
      </c>
      <c r="T654" s="4">
        <v>3</v>
      </c>
      <c r="U654" s="5" t="s">
        <v>8366</v>
      </c>
      <c r="V654" s="5" t="s">
        <v>8366</v>
      </c>
      <c r="W654" s="5" t="s">
        <v>8626</v>
      </c>
      <c r="X654" s="5" t="s">
        <v>8626</v>
      </c>
      <c r="Y654" s="4">
        <v>387</v>
      </c>
      <c r="Z654" s="4">
        <v>267</v>
      </c>
      <c r="AA654" s="4">
        <v>303</v>
      </c>
      <c r="AB654" s="4">
        <v>2</v>
      </c>
      <c r="AC654" s="4">
        <v>2</v>
      </c>
      <c r="AD654" s="4">
        <v>10</v>
      </c>
      <c r="AE654" s="4">
        <v>13</v>
      </c>
      <c r="AF654" s="4">
        <v>4</v>
      </c>
      <c r="AG654" s="4">
        <v>6</v>
      </c>
      <c r="AH654" s="4">
        <v>2</v>
      </c>
      <c r="AI654" s="4">
        <v>4</v>
      </c>
      <c r="AJ654" s="4">
        <v>6</v>
      </c>
      <c r="AK654" s="4">
        <v>6</v>
      </c>
      <c r="AL654" s="4">
        <v>1</v>
      </c>
      <c r="AM654" s="4">
        <v>1</v>
      </c>
      <c r="AN654" s="4">
        <v>0</v>
      </c>
      <c r="AO654" s="4">
        <v>0</v>
      </c>
      <c r="AP654" s="3" t="s">
        <v>58</v>
      </c>
      <c r="AQ654" s="3" t="s">
        <v>86</v>
      </c>
      <c r="AR654" s="6" t="str">
        <f>HYPERLINK("http://catalog.hathitrust.org/Record/000306839","HathiTrust Record")</f>
        <v>HathiTrust Record</v>
      </c>
      <c r="AS654" s="6" t="str">
        <f>HYPERLINK("https://creighton-primo.hosted.exlibrisgroup.com/primo-explore/search?tab=default_tab&amp;search_scope=EVERYTHING&amp;vid=01CRU&amp;lang=en_US&amp;offset=0&amp;query=any,contains,991004950959702656","Catalog Record")</f>
        <v>Catalog Record</v>
      </c>
      <c r="AT654" s="6" t="str">
        <f>HYPERLINK("http://www.worldcat.org/oclc/6249834","WorldCat Record")</f>
        <v>WorldCat Record</v>
      </c>
      <c r="AU654" s="3" t="s">
        <v>8627</v>
      </c>
      <c r="AV654" s="3" t="s">
        <v>8628</v>
      </c>
      <c r="AW654" s="3" t="s">
        <v>8629</v>
      </c>
      <c r="AX654" s="3" t="s">
        <v>8629</v>
      </c>
      <c r="AY654" s="3" t="s">
        <v>8630</v>
      </c>
      <c r="AZ654" s="3" t="s">
        <v>74</v>
      </c>
      <c r="BB654" s="3" t="s">
        <v>8631</v>
      </c>
      <c r="BC654" s="3" t="s">
        <v>8632</v>
      </c>
      <c r="BD654" s="3" t="s">
        <v>8633</v>
      </c>
    </row>
    <row r="655" spans="1:56" ht="42.75" customHeight="1" x14ac:dyDescent="0.25">
      <c r="A655" s="7" t="s">
        <v>58</v>
      </c>
      <c r="B655" s="2" t="s">
        <v>8634</v>
      </c>
      <c r="C655" s="2" t="s">
        <v>8635</v>
      </c>
      <c r="D655" s="2" t="s">
        <v>8636</v>
      </c>
      <c r="F655" s="3" t="s">
        <v>58</v>
      </c>
      <c r="G655" s="3" t="s">
        <v>59</v>
      </c>
      <c r="H655" s="3" t="s">
        <v>58</v>
      </c>
      <c r="I655" s="3" t="s">
        <v>58</v>
      </c>
      <c r="J655" s="3" t="s">
        <v>60</v>
      </c>
      <c r="L655" s="2" t="s">
        <v>8637</v>
      </c>
      <c r="M655" s="3" t="s">
        <v>996</v>
      </c>
      <c r="N655" s="2" t="s">
        <v>1736</v>
      </c>
      <c r="O655" s="3" t="s">
        <v>64</v>
      </c>
      <c r="P655" s="3" t="s">
        <v>145</v>
      </c>
      <c r="R655" s="3" t="s">
        <v>67</v>
      </c>
      <c r="S655" s="4">
        <v>1</v>
      </c>
      <c r="T655" s="4">
        <v>1</v>
      </c>
      <c r="U655" s="5" t="s">
        <v>7180</v>
      </c>
      <c r="V655" s="5" t="s">
        <v>7180</v>
      </c>
      <c r="W655" s="5" t="s">
        <v>7180</v>
      </c>
      <c r="X655" s="5" t="s">
        <v>7180</v>
      </c>
      <c r="Y655" s="4">
        <v>233</v>
      </c>
      <c r="Z655" s="4">
        <v>196</v>
      </c>
      <c r="AA655" s="4">
        <v>296</v>
      </c>
      <c r="AB655" s="4">
        <v>1</v>
      </c>
      <c r="AC655" s="4">
        <v>2</v>
      </c>
      <c r="AD655" s="4">
        <v>9</v>
      </c>
      <c r="AE655" s="4">
        <v>17</v>
      </c>
      <c r="AF655" s="4">
        <v>4</v>
      </c>
      <c r="AG655" s="4">
        <v>6</v>
      </c>
      <c r="AH655" s="4">
        <v>3</v>
      </c>
      <c r="AI655" s="4">
        <v>4</v>
      </c>
      <c r="AJ655" s="4">
        <v>7</v>
      </c>
      <c r="AK655" s="4">
        <v>11</v>
      </c>
      <c r="AL655" s="4">
        <v>0</v>
      </c>
      <c r="AM655" s="4">
        <v>1</v>
      </c>
      <c r="AN655" s="4">
        <v>0</v>
      </c>
      <c r="AO655" s="4">
        <v>0</v>
      </c>
      <c r="AP655" s="3" t="s">
        <v>58</v>
      </c>
      <c r="AQ655" s="3" t="s">
        <v>58</v>
      </c>
      <c r="AS655" s="6" t="str">
        <f>HYPERLINK("https://creighton-primo.hosted.exlibrisgroup.com/primo-explore/search?tab=default_tab&amp;search_scope=EVERYTHING&amp;vid=01CRU&amp;lang=en_US&amp;offset=0&amp;query=any,contains,991004265709702656","Catalog Record")</f>
        <v>Catalog Record</v>
      </c>
      <c r="AT655" s="6" t="str">
        <f>HYPERLINK("http://www.worldcat.org/oclc/41528047","WorldCat Record")</f>
        <v>WorldCat Record</v>
      </c>
      <c r="AU655" s="3" t="s">
        <v>8638</v>
      </c>
      <c r="AV655" s="3" t="s">
        <v>8639</v>
      </c>
      <c r="AW655" s="3" t="s">
        <v>8640</v>
      </c>
      <c r="AX655" s="3" t="s">
        <v>8640</v>
      </c>
      <c r="AY655" s="3" t="s">
        <v>8641</v>
      </c>
      <c r="AZ655" s="3" t="s">
        <v>74</v>
      </c>
      <c r="BB655" s="3" t="s">
        <v>8642</v>
      </c>
      <c r="BC655" s="3" t="s">
        <v>8643</v>
      </c>
      <c r="BD655" s="3" t="s">
        <v>8644</v>
      </c>
    </row>
    <row r="656" spans="1:56" ht="42.75" customHeight="1" x14ac:dyDescent="0.25">
      <c r="A656" s="7" t="s">
        <v>58</v>
      </c>
      <c r="B656" s="2" t="s">
        <v>8645</v>
      </c>
      <c r="C656" s="2" t="s">
        <v>8646</v>
      </c>
      <c r="D656" s="2" t="s">
        <v>8647</v>
      </c>
      <c r="F656" s="3" t="s">
        <v>58</v>
      </c>
      <c r="G656" s="3" t="s">
        <v>59</v>
      </c>
      <c r="H656" s="3" t="s">
        <v>58</v>
      </c>
      <c r="I656" s="3" t="s">
        <v>58</v>
      </c>
      <c r="J656" s="3" t="s">
        <v>60</v>
      </c>
      <c r="K656" s="2" t="s">
        <v>8648</v>
      </c>
      <c r="L656" s="2" t="s">
        <v>8649</v>
      </c>
      <c r="M656" s="3" t="s">
        <v>371</v>
      </c>
      <c r="O656" s="3" t="s">
        <v>64</v>
      </c>
      <c r="P656" s="3" t="s">
        <v>115</v>
      </c>
      <c r="Q656" s="2" t="s">
        <v>6278</v>
      </c>
      <c r="R656" s="3" t="s">
        <v>67</v>
      </c>
      <c r="S656" s="4">
        <v>1</v>
      </c>
      <c r="T656" s="4">
        <v>1</v>
      </c>
      <c r="U656" s="5" t="s">
        <v>8008</v>
      </c>
      <c r="V656" s="5" t="s">
        <v>8008</v>
      </c>
      <c r="W656" s="5" t="s">
        <v>4730</v>
      </c>
      <c r="X656" s="5" t="s">
        <v>4730</v>
      </c>
      <c r="Y656" s="4">
        <v>453</v>
      </c>
      <c r="Z656" s="4">
        <v>393</v>
      </c>
      <c r="AA656" s="4">
        <v>397</v>
      </c>
      <c r="AB656" s="4">
        <v>1</v>
      </c>
      <c r="AC656" s="4">
        <v>1</v>
      </c>
      <c r="AD656" s="4">
        <v>16</v>
      </c>
      <c r="AE656" s="4">
        <v>16</v>
      </c>
      <c r="AF656" s="4">
        <v>3</v>
      </c>
      <c r="AG656" s="4">
        <v>3</v>
      </c>
      <c r="AH656" s="4">
        <v>6</v>
      </c>
      <c r="AI656" s="4">
        <v>6</v>
      </c>
      <c r="AJ656" s="4">
        <v>12</v>
      </c>
      <c r="AK656" s="4">
        <v>12</v>
      </c>
      <c r="AL656" s="4">
        <v>0</v>
      </c>
      <c r="AM656" s="4">
        <v>0</v>
      </c>
      <c r="AN656" s="4">
        <v>0</v>
      </c>
      <c r="AO656" s="4">
        <v>0</v>
      </c>
      <c r="AP656" s="3" t="s">
        <v>58</v>
      </c>
      <c r="AQ656" s="3" t="s">
        <v>86</v>
      </c>
      <c r="AR656" s="6" t="str">
        <f>HYPERLINK("http://catalog.hathitrust.org/Record/000427287","HathiTrust Record")</f>
        <v>HathiTrust Record</v>
      </c>
      <c r="AS656" s="6" t="str">
        <f>HYPERLINK("https://creighton-primo.hosted.exlibrisgroup.com/primo-explore/search?tab=default_tab&amp;search_scope=EVERYTHING&amp;vid=01CRU&amp;lang=en_US&amp;offset=0&amp;query=any,contains,991000653649702656","Catalog Record")</f>
        <v>Catalog Record</v>
      </c>
      <c r="AT656" s="6" t="str">
        <f>HYPERLINK("http://www.worldcat.org/oclc/12189592","WorldCat Record")</f>
        <v>WorldCat Record</v>
      </c>
      <c r="AU656" s="3" t="s">
        <v>8650</v>
      </c>
      <c r="AV656" s="3" t="s">
        <v>8651</v>
      </c>
      <c r="AW656" s="3" t="s">
        <v>8652</v>
      </c>
      <c r="AX656" s="3" t="s">
        <v>8652</v>
      </c>
      <c r="AY656" s="3" t="s">
        <v>8653</v>
      </c>
      <c r="AZ656" s="3" t="s">
        <v>74</v>
      </c>
      <c r="BB656" s="3" t="s">
        <v>8654</v>
      </c>
      <c r="BC656" s="3" t="s">
        <v>8655</v>
      </c>
      <c r="BD656" s="3" t="s">
        <v>8656</v>
      </c>
    </row>
    <row r="657" spans="1:56" ht="42.75" customHeight="1" x14ac:dyDescent="0.25">
      <c r="A657" s="7" t="s">
        <v>58</v>
      </c>
      <c r="B657" s="2" t="s">
        <v>8657</v>
      </c>
      <c r="C657" s="2" t="s">
        <v>8658</v>
      </c>
      <c r="D657" s="2" t="s">
        <v>8659</v>
      </c>
      <c r="F657" s="3" t="s">
        <v>58</v>
      </c>
      <c r="G657" s="3" t="s">
        <v>59</v>
      </c>
      <c r="H657" s="3" t="s">
        <v>58</v>
      </c>
      <c r="I657" s="3" t="s">
        <v>58</v>
      </c>
      <c r="J657" s="3" t="s">
        <v>60</v>
      </c>
      <c r="K657" s="2" t="s">
        <v>8660</v>
      </c>
      <c r="L657" s="2" t="s">
        <v>8661</v>
      </c>
      <c r="M657" s="3" t="s">
        <v>996</v>
      </c>
      <c r="N657" s="2" t="s">
        <v>1844</v>
      </c>
      <c r="O657" s="3" t="s">
        <v>64</v>
      </c>
      <c r="P657" s="3" t="s">
        <v>8171</v>
      </c>
      <c r="R657" s="3" t="s">
        <v>67</v>
      </c>
      <c r="S657" s="4">
        <v>5</v>
      </c>
      <c r="T657" s="4">
        <v>5</v>
      </c>
      <c r="U657" s="5" t="s">
        <v>8483</v>
      </c>
      <c r="V657" s="5" t="s">
        <v>8483</v>
      </c>
      <c r="W657" s="5" t="s">
        <v>8662</v>
      </c>
      <c r="X657" s="5" t="s">
        <v>8662</v>
      </c>
      <c r="Y657" s="4">
        <v>140</v>
      </c>
      <c r="Z657" s="4">
        <v>100</v>
      </c>
      <c r="AA657" s="4">
        <v>378</v>
      </c>
      <c r="AB657" s="4">
        <v>2</v>
      </c>
      <c r="AC657" s="4">
        <v>3</v>
      </c>
      <c r="AD657" s="4">
        <v>6</v>
      </c>
      <c r="AE657" s="4">
        <v>16</v>
      </c>
      <c r="AF657" s="4">
        <v>3</v>
      </c>
      <c r="AG657" s="4">
        <v>7</v>
      </c>
      <c r="AH657" s="4">
        <v>0</v>
      </c>
      <c r="AI657" s="4">
        <v>2</v>
      </c>
      <c r="AJ657" s="4">
        <v>4</v>
      </c>
      <c r="AK657" s="4">
        <v>8</v>
      </c>
      <c r="AL657" s="4">
        <v>1</v>
      </c>
      <c r="AM657" s="4">
        <v>2</v>
      </c>
      <c r="AN657" s="4">
        <v>0</v>
      </c>
      <c r="AO657" s="4">
        <v>0</v>
      </c>
      <c r="AP657" s="3" t="s">
        <v>58</v>
      </c>
      <c r="AQ657" s="3" t="s">
        <v>58</v>
      </c>
      <c r="AS657" s="6" t="str">
        <f>HYPERLINK("https://creighton-primo.hosted.exlibrisgroup.com/primo-explore/search?tab=default_tab&amp;search_scope=EVERYTHING&amp;vid=01CRU&amp;lang=en_US&amp;offset=0&amp;query=any,contains,991003289459702656","Catalog Record")</f>
        <v>Catalog Record</v>
      </c>
      <c r="AT657" s="6" t="str">
        <f>HYPERLINK("http://www.worldcat.org/oclc/41355631","WorldCat Record")</f>
        <v>WorldCat Record</v>
      </c>
      <c r="AU657" s="3" t="s">
        <v>8663</v>
      </c>
      <c r="AV657" s="3" t="s">
        <v>8664</v>
      </c>
      <c r="AW657" s="3" t="s">
        <v>8665</v>
      </c>
      <c r="AX657" s="3" t="s">
        <v>8665</v>
      </c>
      <c r="AY657" s="3" t="s">
        <v>8666</v>
      </c>
      <c r="AZ657" s="3" t="s">
        <v>74</v>
      </c>
      <c r="BB657" s="3" t="s">
        <v>8667</v>
      </c>
      <c r="BC657" s="3" t="s">
        <v>8668</v>
      </c>
      <c r="BD657" s="3" t="s">
        <v>8669</v>
      </c>
    </row>
    <row r="658" spans="1:56" ht="42.75" customHeight="1" x14ac:dyDescent="0.25">
      <c r="A658" s="7" t="s">
        <v>58</v>
      </c>
      <c r="B658" s="2" t="s">
        <v>8670</v>
      </c>
      <c r="C658" s="2" t="s">
        <v>8671</v>
      </c>
      <c r="D658" s="2" t="s">
        <v>8672</v>
      </c>
      <c r="F658" s="3" t="s">
        <v>58</v>
      </c>
      <c r="G658" s="3" t="s">
        <v>59</v>
      </c>
      <c r="H658" s="3" t="s">
        <v>58</v>
      </c>
      <c r="I658" s="3" t="s">
        <v>58</v>
      </c>
      <c r="J658" s="3" t="s">
        <v>60</v>
      </c>
      <c r="L658" s="2" t="s">
        <v>8673</v>
      </c>
      <c r="M658" s="3" t="s">
        <v>3914</v>
      </c>
      <c r="O658" s="3" t="s">
        <v>64</v>
      </c>
      <c r="P658" s="3" t="s">
        <v>115</v>
      </c>
      <c r="R658" s="3" t="s">
        <v>67</v>
      </c>
      <c r="S658" s="4">
        <v>1</v>
      </c>
      <c r="T658" s="4">
        <v>1</v>
      </c>
      <c r="U658" s="5" t="s">
        <v>8674</v>
      </c>
      <c r="V658" s="5" t="s">
        <v>8674</v>
      </c>
      <c r="W658" s="5" t="s">
        <v>3917</v>
      </c>
      <c r="X658" s="5" t="s">
        <v>3917</v>
      </c>
      <c r="Y658" s="4">
        <v>606</v>
      </c>
      <c r="Z658" s="4">
        <v>520</v>
      </c>
      <c r="AA658" s="4">
        <v>665</v>
      </c>
      <c r="AB658" s="4">
        <v>5</v>
      </c>
      <c r="AC658" s="4">
        <v>6</v>
      </c>
      <c r="AD658" s="4">
        <v>19</v>
      </c>
      <c r="AE658" s="4">
        <v>24</v>
      </c>
      <c r="AF658" s="4">
        <v>7</v>
      </c>
      <c r="AG658" s="4">
        <v>9</v>
      </c>
      <c r="AH658" s="4">
        <v>5</v>
      </c>
      <c r="AI658" s="4">
        <v>5</v>
      </c>
      <c r="AJ658" s="4">
        <v>11</v>
      </c>
      <c r="AK658" s="4">
        <v>13</v>
      </c>
      <c r="AL658" s="4">
        <v>3</v>
      </c>
      <c r="AM658" s="4">
        <v>4</v>
      </c>
      <c r="AN658" s="4">
        <v>0</v>
      </c>
      <c r="AO658" s="4">
        <v>0</v>
      </c>
      <c r="AP658" s="3" t="s">
        <v>58</v>
      </c>
      <c r="AQ658" s="3" t="s">
        <v>86</v>
      </c>
      <c r="AR658" s="6" t="str">
        <f>HYPERLINK("http://catalog.hathitrust.org/Record/000691082","HathiTrust Record")</f>
        <v>HathiTrust Record</v>
      </c>
      <c r="AS658" s="6" t="str">
        <f>HYPERLINK("https://creighton-primo.hosted.exlibrisgroup.com/primo-explore/search?tab=default_tab&amp;search_scope=EVERYTHING&amp;vid=01CRU&amp;lang=en_US&amp;offset=0&amp;query=any,contains,991003967149702656","Catalog Record")</f>
        <v>Catalog Record</v>
      </c>
      <c r="AT658" s="6" t="str">
        <f>HYPERLINK("http://www.worldcat.org/oclc/1987232","WorldCat Record")</f>
        <v>WorldCat Record</v>
      </c>
      <c r="AU658" s="3" t="s">
        <v>8675</v>
      </c>
      <c r="AV658" s="3" t="s">
        <v>8676</v>
      </c>
      <c r="AW658" s="3" t="s">
        <v>8677</v>
      </c>
      <c r="AX658" s="3" t="s">
        <v>8677</v>
      </c>
      <c r="AY658" s="3" t="s">
        <v>8678</v>
      </c>
      <c r="AZ658" s="3" t="s">
        <v>74</v>
      </c>
      <c r="BB658" s="3" t="s">
        <v>8679</v>
      </c>
      <c r="BC658" s="3" t="s">
        <v>8680</v>
      </c>
      <c r="BD658" s="3" t="s">
        <v>8681</v>
      </c>
    </row>
    <row r="659" spans="1:56" ht="42.75" customHeight="1" x14ac:dyDescent="0.25">
      <c r="A659" s="7" t="s">
        <v>58</v>
      </c>
      <c r="B659" s="2" t="s">
        <v>8682</v>
      </c>
      <c r="C659" s="2" t="s">
        <v>8683</v>
      </c>
      <c r="D659" s="2" t="s">
        <v>8684</v>
      </c>
      <c r="F659" s="3" t="s">
        <v>58</v>
      </c>
      <c r="G659" s="3" t="s">
        <v>59</v>
      </c>
      <c r="H659" s="3" t="s">
        <v>58</v>
      </c>
      <c r="I659" s="3" t="s">
        <v>58</v>
      </c>
      <c r="J659" s="3" t="s">
        <v>60</v>
      </c>
      <c r="K659" s="2" t="s">
        <v>5649</v>
      </c>
      <c r="L659" s="2" t="s">
        <v>8685</v>
      </c>
      <c r="M659" s="3" t="s">
        <v>5200</v>
      </c>
      <c r="N659" s="2" t="s">
        <v>3823</v>
      </c>
      <c r="O659" s="3" t="s">
        <v>64</v>
      </c>
      <c r="P659" s="3" t="s">
        <v>115</v>
      </c>
      <c r="R659" s="3" t="s">
        <v>67</v>
      </c>
      <c r="S659" s="4">
        <v>2</v>
      </c>
      <c r="T659" s="4">
        <v>2</v>
      </c>
      <c r="U659" s="5" t="s">
        <v>8686</v>
      </c>
      <c r="V659" s="5" t="s">
        <v>8686</v>
      </c>
      <c r="W659" s="5" t="s">
        <v>3917</v>
      </c>
      <c r="X659" s="5" t="s">
        <v>3917</v>
      </c>
      <c r="Y659" s="4">
        <v>351</v>
      </c>
      <c r="Z659" s="4">
        <v>310</v>
      </c>
      <c r="AA659" s="4">
        <v>381</v>
      </c>
      <c r="AB659" s="4">
        <v>3</v>
      </c>
      <c r="AC659" s="4">
        <v>3</v>
      </c>
      <c r="AD659" s="4">
        <v>8</v>
      </c>
      <c r="AE659" s="4">
        <v>8</v>
      </c>
      <c r="AF659" s="4">
        <v>1</v>
      </c>
      <c r="AG659" s="4">
        <v>1</v>
      </c>
      <c r="AH659" s="4">
        <v>3</v>
      </c>
      <c r="AI659" s="4">
        <v>3</v>
      </c>
      <c r="AJ659" s="4">
        <v>6</v>
      </c>
      <c r="AK659" s="4">
        <v>6</v>
      </c>
      <c r="AL659" s="4">
        <v>1</v>
      </c>
      <c r="AM659" s="4">
        <v>1</v>
      </c>
      <c r="AN659" s="4">
        <v>0</v>
      </c>
      <c r="AO659" s="4">
        <v>0</v>
      </c>
      <c r="AP659" s="3" t="s">
        <v>58</v>
      </c>
      <c r="AQ659" s="3" t="s">
        <v>86</v>
      </c>
      <c r="AR659" s="6" t="str">
        <f>HYPERLINK("http://catalog.hathitrust.org/Record/000005850","HathiTrust Record")</f>
        <v>HathiTrust Record</v>
      </c>
      <c r="AS659" s="6" t="str">
        <f>HYPERLINK("https://creighton-primo.hosted.exlibrisgroup.com/primo-explore/search?tab=default_tab&amp;search_scope=EVERYTHING&amp;vid=01CRU&amp;lang=en_US&amp;offset=0&amp;query=any,contains,991005319179702656","Catalog Record")</f>
        <v>Catalog Record</v>
      </c>
      <c r="AT659" s="6" t="str">
        <f>HYPERLINK("http://www.worldcat.org/oclc/417939","WorldCat Record")</f>
        <v>WorldCat Record</v>
      </c>
      <c r="AU659" s="3" t="s">
        <v>8687</v>
      </c>
      <c r="AV659" s="3" t="s">
        <v>8688</v>
      </c>
      <c r="AW659" s="3" t="s">
        <v>8689</v>
      </c>
      <c r="AX659" s="3" t="s">
        <v>8689</v>
      </c>
      <c r="AY659" s="3" t="s">
        <v>8690</v>
      </c>
      <c r="AZ659" s="3" t="s">
        <v>74</v>
      </c>
      <c r="BB659" s="3" t="s">
        <v>8691</v>
      </c>
      <c r="BC659" s="3" t="s">
        <v>8692</v>
      </c>
      <c r="BD659" s="3" t="s">
        <v>8693</v>
      </c>
    </row>
    <row r="660" spans="1:56" ht="42.75" customHeight="1" x14ac:dyDescent="0.25">
      <c r="A660" s="7" t="s">
        <v>58</v>
      </c>
      <c r="B660" s="2" t="s">
        <v>8694</v>
      </c>
      <c r="C660" s="2" t="s">
        <v>8695</v>
      </c>
      <c r="D660" s="2" t="s">
        <v>8696</v>
      </c>
      <c r="F660" s="3" t="s">
        <v>58</v>
      </c>
      <c r="G660" s="3" t="s">
        <v>59</v>
      </c>
      <c r="H660" s="3" t="s">
        <v>58</v>
      </c>
      <c r="I660" s="3" t="s">
        <v>58</v>
      </c>
      <c r="J660" s="3" t="s">
        <v>60</v>
      </c>
      <c r="K660" s="2" t="s">
        <v>8697</v>
      </c>
      <c r="L660" s="2" t="s">
        <v>6567</v>
      </c>
      <c r="M660" s="3" t="s">
        <v>4296</v>
      </c>
      <c r="O660" s="3" t="s">
        <v>64</v>
      </c>
      <c r="P660" s="3" t="s">
        <v>115</v>
      </c>
      <c r="Q660" s="2" t="s">
        <v>6278</v>
      </c>
      <c r="R660" s="3" t="s">
        <v>67</v>
      </c>
      <c r="S660" s="4">
        <v>1</v>
      </c>
      <c r="T660" s="4">
        <v>1</v>
      </c>
      <c r="U660" s="5" t="s">
        <v>8698</v>
      </c>
      <c r="V660" s="5" t="s">
        <v>8698</v>
      </c>
      <c r="W660" s="5" t="s">
        <v>3917</v>
      </c>
      <c r="X660" s="5" t="s">
        <v>3917</v>
      </c>
      <c r="Y660" s="4">
        <v>418</v>
      </c>
      <c r="Z660" s="4">
        <v>323</v>
      </c>
      <c r="AA660" s="4">
        <v>525</v>
      </c>
      <c r="AB660" s="4">
        <v>4</v>
      </c>
      <c r="AC660" s="4">
        <v>5</v>
      </c>
      <c r="AD660" s="4">
        <v>11</v>
      </c>
      <c r="AE660" s="4">
        <v>22</v>
      </c>
      <c r="AF660" s="4">
        <v>1</v>
      </c>
      <c r="AG660" s="4">
        <v>7</v>
      </c>
      <c r="AH660" s="4">
        <v>3</v>
      </c>
      <c r="AI660" s="4">
        <v>5</v>
      </c>
      <c r="AJ660" s="4">
        <v>8</v>
      </c>
      <c r="AK660" s="4">
        <v>15</v>
      </c>
      <c r="AL660" s="4">
        <v>2</v>
      </c>
      <c r="AM660" s="4">
        <v>3</v>
      </c>
      <c r="AN660" s="4">
        <v>0</v>
      </c>
      <c r="AO660" s="4">
        <v>0</v>
      </c>
      <c r="AP660" s="3" t="s">
        <v>58</v>
      </c>
      <c r="AQ660" s="3" t="s">
        <v>86</v>
      </c>
      <c r="AR660" s="6" t="str">
        <f>HYPERLINK("http://catalog.hathitrust.org/Record/000032533","HathiTrust Record")</f>
        <v>HathiTrust Record</v>
      </c>
      <c r="AS660" s="6" t="str">
        <f>HYPERLINK("https://creighton-primo.hosted.exlibrisgroup.com/primo-explore/search?tab=default_tab&amp;search_scope=EVERYTHING&amp;vid=01CRU&amp;lang=en_US&amp;offset=0&amp;query=any,contains,991003538069702656","Catalog Record")</f>
        <v>Catalog Record</v>
      </c>
      <c r="AT660" s="6" t="str">
        <f>HYPERLINK("http://www.worldcat.org/oclc/1103191","WorldCat Record")</f>
        <v>WorldCat Record</v>
      </c>
      <c r="AU660" s="3" t="s">
        <v>8699</v>
      </c>
      <c r="AV660" s="3" t="s">
        <v>8700</v>
      </c>
      <c r="AW660" s="3" t="s">
        <v>8701</v>
      </c>
      <c r="AX660" s="3" t="s">
        <v>8701</v>
      </c>
      <c r="AY660" s="3" t="s">
        <v>8702</v>
      </c>
      <c r="AZ660" s="3" t="s">
        <v>74</v>
      </c>
      <c r="BB660" s="3" t="s">
        <v>8703</v>
      </c>
      <c r="BC660" s="3" t="s">
        <v>8704</v>
      </c>
      <c r="BD660" s="3" t="s">
        <v>8705</v>
      </c>
    </row>
    <row r="661" spans="1:56" ht="42.75" customHeight="1" x14ac:dyDescent="0.25">
      <c r="A661" s="7" t="s">
        <v>58</v>
      </c>
      <c r="B661" s="2" t="s">
        <v>8706</v>
      </c>
      <c r="C661" s="2" t="s">
        <v>8707</v>
      </c>
      <c r="D661" s="2" t="s">
        <v>8708</v>
      </c>
      <c r="F661" s="3" t="s">
        <v>58</v>
      </c>
      <c r="G661" s="3" t="s">
        <v>59</v>
      </c>
      <c r="H661" s="3" t="s">
        <v>58</v>
      </c>
      <c r="I661" s="3" t="s">
        <v>86</v>
      </c>
      <c r="J661" s="3" t="s">
        <v>60</v>
      </c>
      <c r="K661" s="2" t="s">
        <v>5571</v>
      </c>
      <c r="L661" s="2" t="s">
        <v>8709</v>
      </c>
      <c r="M661" s="3" t="s">
        <v>2386</v>
      </c>
      <c r="N661" s="2" t="s">
        <v>4027</v>
      </c>
      <c r="O661" s="3" t="s">
        <v>64</v>
      </c>
      <c r="P661" s="3" t="s">
        <v>2609</v>
      </c>
      <c r="R661" s="3" t="s">
        <v>67</v>
      </c>
      <c r="S661" s="4">
        <v>2</v>
      </c>
      <c r="T661" s="4">
        <v>2</v>
      </c>
      <c r="U661" s="5" t="s">
        <v>6879</v>
      </c>
      <c r="V661" s="5" t="s">
        <v>6879</v>
      </c>
      <c r="W661" s="5" t="s">
        <v>3043</v>
      </c>
      <c r="X661" s="5" t="s">
        <v>3043</v>
      </c>
      <c r="Y661" s="4">
        <v>375</v>
      </c>
      <c r="Z661" s="4">
        <v>310</v>
      </c>
      <c r="AA661" s="4">
        <v>1469</v>
      </c>
      <c r="AB661" s="4">
        <v>4</v>
      </c>
      <c r="AC661" s="4">
        <v>10</v>
      </c>
      <c r="AD661" s="4">
        <v>12</v>
      </c>
      <c r="AE661" s="4">
        <v>48</v>
      </c>
      <c r="AF661" s="4">
        <v>3</v>
      </c>
      <c r="AG661" s="4">
        <v>21</v>
      </c>
      <c r="AH661" s="4">
        <v>2</v>
      </c>
      <c r="AI661" s="4">
        <v>9</v>
      </c>
      <c r="AJ661" s="4">
        <v>5</v>
      </c>
      <c r="AK661" s="4">
        <v>22</v>
      </c>
      <c r="AL661" s="4">
        <v>3</v>
      </c>
      <c r="AM661" s="4">
        <v>6</v>
      </c>
      <c r="AN661" s="4">
        <v>0</v>
      </c>
      <c r="AO661" s="4">
        <v>0</v>
      </c>
      <c r="AP661" s="3" t="s">
        <v>58</v>
      </c>
      <c r="AQ661" s="3" t="s">
        <v>86</v>
      </c>
      <c r="AR661" s="6" t="str">
        <f>HYPERLINK("http://catalog.hathitrust.org/Record/001564587","HathiTrust Record")</f>
        <v>HathiTrust Record</v>
      </c>
      <c r="AS661" s="6" t="str">
        <f>HYPERLINK("https://creighton-primo.hosted.exlibrisgroup.com/primo-explore/search?tab=default_tab&amp;search_scope=EVERYTHING&amp;vid=01CRU&amp;lang=en_US&amp;offset=0&amp;query=any,contains,991003360219702656","Catalog Record")</f>
        <v>Catalog Record</v>
      </c>
      <c r="AT661" s="6" t="str">
        <f>HYPERLINK("http://www.worldcat.org/oclc/896498","WorldCat Record")</f>
        <v>WorldCat Record</v>
      </c>
      <c r="AU661" s="3" t="s">
        <v>8710</v>
      </c>
      <c r="AV661" s="3" t="s">
        <v>8711</v>
      </c>
      <c r="AW661" s="3" t="s">
        <v>8712</v>
      </c>
      <c r="AX661" s="3" t="s">
        <v>8712</v>
      </c>
      <c r="AY661" s="3" t="s">
        <v>8713</v>
      </c>
      <c r="AZ661" s="3" t="s">
        <v>74</v>
      </c>
      <c r="BB661" s="3" t="s">
        <v>8714</v>
      </c>
      <c r="BC661" s="3" t="s">
        <v>8715</v>
      </c>
      <c r="BD661" s="3" t="s">
        <v>8716</v>
      </c>
    </row>
    <row r="662" spans="1:56" ht="42.75" customHeight="1" x14ac:dyDescent="0.25">
      <c r="A662" s="7" t="s">
        <v>58</v>
      </c>
      <c r="B662" s="2" t="s">
        <v>8717</v>
      </c>
      <c r="C662" s="2" t="s">
        <v>8718</v>
      </c>
      <c r="D662" s="2" t="s">
        <v>8719</v>
      </c>
      <c r="F662" s="3" t="s">
        <v>58</v>
      </c>
      <c r="G662" s="3" t="s">
        <v>59</v>
      </c>
      <c r="H662" s="3" t="s">
        <v>58</v>
      </c>
      <c r="I662" s="3" t="s">
        <v>58</v>
      </c>
      <c r="J662" s="3" t="s">
        <v>60</v>
      </c>
      <c r="K662" s="2" t="s">
        <v>8720</v>
      </c>
      <c r="L662" s="2" t="s">
        <v>8721</v>
      </c>
      <c r="M662" s="3" t="s">
        <v>177</v>
      </c>
      <c r="O662" s="3" t="s">
        <v>64</v>
      </c>
      <c r="P662" s="3" t="s">
        <v>83</v>
      </c>
      <c r="R662" s="3" t="s">
        <v>67</v>
      </c>
      <c r="S662" s="4">
        <v>2</v>
      </c>
      <c r="T662" s="4">
        <v>2</v>
      </c>
      <c r="U662" s="5" t="s">
        <v>8722</v>
      </c>
      <c r="V662" s="5" t="s">
        <v>8722</v>
      </c>
      <c r="W662" s="5" t="s">
        <v>5704</v>
      </c>
      <c r="X662" s="5" t="s">
        <v>5704</v>
      </c>
      <c r="Y662" s="4">
        <v>392</v>
      </c>
      <c r="Z662" s="4">
        <v>337</v>
      </c>
      <c r="AA662" s="4">
        <v>358</v>
      </c>
      <c r="AB662" s="4">
        <v>4</v>
      </c>
      <c r="AC662" s="4">
        <v>4</v>
      </c>
      <c r="AD662" s="4">
        <v>13</v>
      </c>
      <c r="AE662" s="4">
        <v>13</v>
      </c>
      <c r="AF662" s="4">
        <v>7</v>
      </c>
      <c r="AG662" s="4">
        <v>7</v>
      </c>
      <c r="AH662" s="4">
        <v>2</v>
      </c>
      <c r="AI662" s="4">
        <v>2</v>
      </c>
      <c r="AJ662" s="4">
        <v>5</v>
      </c>
      <c r="AK662" s="4">
        <v>5</v>
      </c>
      <c r="AL662" s="4">
        <v>2</v>
      </c>
      <c r="AM662" s="4">
        <v>2</v>
      </c>
      <c r="AN662" s="4">
        <v>0</v>
      </c>
      <c r="AO662" s="4">
        <v>0</v>
      </c>
      <c r="AP662" s="3" t="s">
        <v>58</v>
      </c>
      <c r="AQ662" s="3" t="s">
        <v>86</v>
      </c>
      <c r="AR662" s="6" t="str">
        <f>HYPERLINK("http://catalog.hathitrust.org/Record/000011839","HathiTrust Record")</f>
        <v>HathiTrust Record</v>
      </c>
      <c r="AS662" s="6" t="str">
        <f>HYPERLINK("https://creighton-primo.hosted.exlibrisgroup.com/primo-explore/search?tab=default_tab&amp;search_scope=EVERYTHING&amp;vid=01CRU&amp;lang=en_US&amp;offset=0&amp;query=any,contains,991003273399702656","Catalog Record")</f>
        <v>Catalog Record</v>
      </c>
      <c r="AT662" s="6" t="str">
        <f>HYPERLINK("http://www.worldcat.org/oclc/798315","WorldCat Record")</f>
        <v>WorldCat Record</v>
      </c>
      <c r="AU662" s="3" t="s">
        <v>8723</v>
      </c>
      <c r="AV662" s="3" t="s">
        <v>8724</v>
      </c>
      <c r="AW662" s="3" t="s">
        <v>8725</v>
      </c>
      <c r="AX662" s="3" t="s">
        <v>8725</v>
      </c>
      <c r="AY662" s="3" t="s">
        <v>8726</v>
      </c>
      <c r="AZ662" s="3" t="s">
        <v>74</v>
      </c>
      <c r="BB662" s="3" t="s">
        <v>8727</v>
      </c>
      <c r="BC662" s="3" t="s">
        <v>8728</v>
      </c>
      <c r="BD662" s="3" t="s">
        <v>8729</v>
      </c>
    </row>
    <row r="663" spans="1:56" ht="42.75" customHeight="1" x14ac:dyDescent="0.25">
      <c r="A663" s="7" t="s">
        <v>58</v>
      </c>
      <c r="B663" s="2" t="s">
        <v>8730</v>
      </c>
      <c r="C663" s="2" t="s">
        <v>8731</v>
      </c>
      <c r="D663" s="2" t="s">
        <v>8732</v>
      </c>
      <c r="F663" s="3" t="s">
        <v>58</v>
      </c>
      <c r="G663" s="3" t="s">
        <v>59</v>
      </c>
      <c r="H663" s="3" t="s">
        <v>58</v>
      </c>
      <c r="I663" s="3" t="s">
        <v>58</v>
      </c>
      <c r="J663" s="3" t="s">
        <v>60</v>
      </c>
      <c r="K663" s="2" t="s">
        <v>8733</v>
      </c>
      <c r="L663" s="2" t="s">
        <v>8734</v>
      </c>
      <c r="M663" s="3" t="s">
        <v>5200</v>
      </c>
      <c r="O663" s="3" t="s">
        <v>64</v>
      </c>
      <c r="P663" s="3" t="s">
        <v>115</v>
      </c>
      <c r="R663" s="3" t="s">
        <v>67</v>
      </c>
      <c r="S663" s="4">
        <v>1</v>
      </c>
      <c r="T663" s="4">
        <v>1</v>
      </c>
      <c r="U663" s="5" t="s">
        <v>5533</v>
      </c>
      <c r="V663" s="5" t="s">
        <v>5533</v>
      </c>
      <c r="W663" s="5" t="s">
        <v>3917</v>
      </c>
      <c r="X663" s="5" t="s">
        <v>3917</v>
      </c>
      <c r="Y663" s="4">
        <v>350</v>
      </c>
      <c r="Z663" s="4">
        <v>315</v>
      </c>
      <c r="AA663" s="4">
        <v>317</v>
      </c>
      <c r="AB663" s="4">
        <v>3</v>
      </c>
      <c r="AC663" s="4">
        <v>3</v>
      </c>
      <c r="AD663" s="4">
        <v>17</v>
      </c>
      <c r="AE663" s="4">
        <v>17</v>
      </c>
      <c r="AF663" s="4">
        <v>4</v>
      </c>
      <c r="AG663" s="4">
        <v>4</v>
      </c>
      <c r="AH663" s="4">
        <v>4</v>
      </c>
      <c r="AI663" s="4">
        <v>4</v>
      </c>
      <c r="AJ663" s="4">
        <v>8</v>
      </c>
      <c r="AK663" s="4">
        <v>8</v>
      </c>
      <c r="AL663" s="4">
        <v>2</v>
      </c>
      <c r="AM663" s="4">
        <v>2</v>
      </c>
      <c r="AN663" s="4">
        <v>1</v>
      </c>
      <c r="AO663" s="4">
        <v>1</v>
      </c>
      <c r="AP663" s="3" t="s">
        <v>58</v>
      </c>
      <c r="AQ663" s="3" t="s">
        <v>86</v>
      </c>
      <c r="AR663" s="6" t="str">
        <f>HYPERLINK("http://catalog.hathitrust.org/Record/001564508","HathiTrust Record")</f>
        <v>HathiTrust Record</v>
      </c>
      <c r="AS663" s="6" t="str">
        <f>HYPERLINK("https://creighton-primo.hosted.exlibrisgroup.com/primo-explore/search?tab=default_tab&amp;search_scope=EVERYTHING&amp;vid=01CRU&amp;lang=en_US&amp;offset=0&amp;query=any,contains,991002342119702656","Catalog Record")</f>
        <v>Catalog Record</v>
      </c>
      <c r="AT663" s="6" t="str">
        <f>HYPERLINK("http://www.worldcat.org/oclc/323721","WorldCat Record")</f>
        <v>WorldCat Record</v>
      </c>
      <c r="AU663" s="3" t="s">
        <v>8735</v>
      </c>
      <c r="AV663" s="3" t="s">
        <v>8736</v>
      </c>
      <c r="AW663" s="3" t="s">
        <v>8737</v>
      </c>
      <c r="AX663" s="3" t="s">
        <v>8737</v>
      </c>
      <c r="AY663" s="3" t="s">
        <v>8738</v>
      </c>
      <c r="AZ663" s="3" t="s">
        <v>74</v>
      </c>
      <c r="BB663" s="3" t="s">
        <v>8739</v>
      </c>
      <c r="BC663" s="3" t="s">
        <v>8740</v>
      </c>
      <c r="BD663" s="3" t="s">
        <v>8741</v>
      </c>
    </row>
    <row r="664" spans="1:56" ht="42.75" customHeight="1" x14ac:dyDescent="0.25">
      <c r="A664" s="7" t="s">
        <v>58</v>
      </c>
      <c r="B664" s="2" t="s">
        <v>8742</v>
      </c>
      <c r="C664" s="2" t="s">
        <v>8743</v>
      </c>
      <c r="D664" s="2" t="s">
        <v>8744</v>
      </c>
      <c r="F664" s="3" t="s">
        <v>58</v>
      </c>
      <c r="G664" s="3" t="s">
        <v>59</v>
      </c>
      <c r="H664" s="3" t="s">
        <v>58</v>
      </c>
      <c r="I664" s="3" t="s">
        <v>58</v>
      </c>
      <c r="J664" s="3" t="s">
        <v>60</v>
      </c>
      <c r="K664" s="2" t="s">
        <v>8745</v>
      </c>
      <c r="L664" s="2" t="s">
        <v>8746</v>
      </c>
      <c r="M664" s="3" t="s">
        <v>238</v>
      </c>
      <c r="O664" s="3" t="s">
        <v>64</v>
      </c>
      <c r="P664" s="3" t="s">
        <v>2854</v>
      </c>
      <c r="R664" s="3" t="s">
        <v>67</v>
      </c>
      <c r="S664" s="4">
        <v>2</v>
      </c>
      <c r="T664" s="4">
        <v>2</v>
      </c>
      <c r="U664" s="5" t="s">
        <v>8747</v>
      </c>
      <c r="V664" s="5" t="s">
        <v>8747</v>
      </c>
      <c r="W664" s="5" t="s">
        <v>4730</v>
      </c>
      <c r="X664" s="5" t="s">
        <v>4730</v>
      </c>
      <c r="Y664" s="4">
        <v>202</v>
      </c>
      <c r="Z664" s="4">
        <v>100</v>
      </c>
      <c r="AA664" s="4">
        <v>606</v>
      </c>
      <c r="AB664" s="4">
        <v>1</v>
      </c>
      <c r="AC664" s="4">
        <v>6</v>
      </c>
      <c r="AD664" s="4">
        <v>4</v>
      </c>
      <c r="AE664" s="4">
        <v>28</v>
      </c>
      <c r="AF664" s="4">
        <v>1</v>
      </c>
      <c r="AG664" s="4">
        <v>10</v>
      </c>
      <c r="AH664" s="4">
        <v>3</v>
      </c>
      <c r="AI664" s="4">
        <v>7</v>
      </c>
      <c r="AJ664" s="4">
        <v>2</v>
      </c>
      <c r="AK664" s="4">
        <v>11</v>
      </c>
      <c r="AL664" s="4">
        <v>0</v>
      </c>
      <c r="AM664" s="4">
        <v>5</v>
      </c>
      <c r="AN664" s="4">
        <v>0</v>
      </c>
      <c r="AO664" s="4">
        <v>1</v>
      </c>
      <c r="AP664" s="3" t="s">
        <v>58</v>
      </c>
      <c r="AQ664" s="3" t="s">
        <v>86</v>
      </c>
      <c r="AR664" s="6" t="str">
        <f>HYPERLINK("http://catalog.hathitrust.org/Record/000094974","HathiTrust Record")</f>
        <v>HathiTrust Record</v>
      </c>
      <c r="AS664" s="6" t="str">
        <f>HYPERLINK("https://creighton-primo.hosted.exlibrisgroup.com/primo-explore/search?tab=default_tab&amp;search_scope=EVERYTHING&amp;vid=01CRU&amp;lang=en_US&amp;offset=0&amp;query=any,contains,991004897969702656","Catalog Record")</f>
        <v>Catalog Record</v>
      </c>
      <c r="AT664" s="6" t="str">
        <f>HYPERLINK("http://www.worldcat.org/oclc/5900901","WorldCat Record")</f>
        <v>WorldCat Record</v>
      </c>
      <c r="AU664" s="3" t="s">
        <v>8748</v>
      </c>
      <c r="AV664" s="3" t="s">
        <v>8749</v>
      </c>
      <c r="AW664" s="3" t="s">
        <v>8750</v>
      </c>
      <c r="AX664" s="3" t="s">
        <v>8750</v>
      </c>
      <c r="AY664" s="3" t="s">
        <v>8751</v>
      </c>
      <c r="AZ664" s="3" t="s">
        <v>74</v>
      </c>
      <c r="BB664" s="3" t="s">
        <v>8752</v>
      </c>
      <c r="BC664" s="3" t="s">
        <v>8753</v>
      </c>
      <c r="BD664" s="3" t="s">
        <v>8754</v>
      </c>
    </row>
    <row r="665" spans="1:56" ht="42.75" customHeight="1" x14ac:dyDescent="0.25">
      <c r="A665" s="7" t="s">
        <v>58</v>
      </c>
      <c r="B665" s="2" t="s">
        <v>8755</v>
      </c>
      <c r="C665" s="2" t="s">
        <v>8756</v>
      </c>
      <c r="D665" s="2" t="s">
        <v>8757</v>
      </c>
      <c r="F665" s="3" t="s">
        <v>58</v>
      </c>
      <c r="G665" s="3" t="s">
        <v>59</v>
      </c>
      <c r="H665" s="3" t="s">
        <v>58</v>
      </c>
      <c r="I665" s="3" t="s">
        <v>58</v>
      </c>
      <c r="J665" s="3" t="s">
        <v>60</v>
      </c>
      <c r="K665" s="2" t="s">
        <v>8758</v>
      </c>
      <c r="L665" s="2" t="s">
        <v>8759</v>
      </c>
      <c r="M665" s="3" t="s">
        <v>2386</v>
      </c>
      <c r="O665" s="3" t="s">
        <v>64</v>
      </c>
      <c r="P665" s="3" t="s">
        <v>208</v>
      </c>
      <c r="R665" s="3" t="s">
        <v>67</v>
      </c>
      <c r="S665" s="4">
        <v>1</v>
      </c>
      <c r="T665" s="4">
        <v>1</v>
      </c>
      <c r="U665" s="5" t="s">
        <v>8698</v>
      </c>
      <c r="V665" s="5" t="s">
        <v>8698</v>
      </c>
      <c r="W665" s="5" t="s">
        <v>4124</v>
      </c>
      <c r="X665" s="5" t="s">
        <v>4124</v>
      </c>
      <c r="Y665" s="4">
        <v>682</v>
      </c>
      <c r="Z665" s="4">
        <v>581</v>
      </c>
      <c r="AA665" s="4">
        <v>590</v>
      </c>
      <c r="AB665" s="4">
        <v>3</v>
      </c>
      <c r="AC665" s="4">
        <v>3</v>
      </c>
      <c r="AD665" s="4">
        <v>22</v>
      </c>
      <c r="AE665" s="4">
        <v>22</v>
      </c>
      <c r="AF665" s="4">
        <v>6</v>
      </c>
      <c r="AG665" s="4">
        <v>6</v>
      </c>
      <c r="AH665" s="4">
        <v>6</v>
      </c>
      <c r="AI665" s="4">
        <v>6</v>
      </c>
      <c r="AJ665" s="4">
        <v>13</v>
      </c>
      <c r="AK665" s="4">
        <v>13</v>
      </c>
      <c r="AL665" s="4">
        <v>2</v>
      </c>
      <c r="AM665" s="4">
        <v>2</v>
      </c>
      <c r="AN665" s="4">
        <v>1</v>
      </c>
      <c r="AO665" s="4">
        <v>1</v>
      </c>
      <c r="AP665" s="3" t="s">
        <v>58</v>
      </c>
      <c r="AQ665" s="3" t="s">
        <v>86</v>
      </c>
      <c r="AR665" s="6" t="str">
        <f>HYPERLINK("http://catalog.hathitrust.org/Record/000023697","HathiTrust Record")</f>
        <v>HathiTrust Record</v>
      </c>
      <c r="AS665" s="6" t="str">
        <f>HYPERLINK("https://creighton-primo.hosted.exlibrisgroup.com/primo-explore/search?tab=default_tab&amp;search_scope=EVERYTHING&amp;vid=01CRU&amp;lang=en_US&amp;offset=0&amp;query=any,contains,991005245599702656","Catalog Record")</f>
        <v>Catalog Record</v>
      </c>
      <c r="AT665" s="6" t="str">
        <f>HYPERLINK("http://www.worldcat.org/oclc/1239862","WorldCat Record")</f>
        <v>WorldCat Record</v>
      </c>
      <c r="AU665" s="3" t="s">
        <v>8760</v>
      </c>
      <c r="AV665" s="3" t="s">
        <v>8761</v>
      </c>
      <c r="AW665" s="3" t="s">
        <v>8762</v>
      </c>
      <c r="AX665" s="3" t="s">
        <v>8762</v>
      </c>
      <c r="AY665" s="3" t="s">
        <v>8763</v>
      </c>
      <c r="AZ665" s="3" t="s">
        <v>74</v>
      </c>
      <c r="BB665" s="3" t="s">
        <v>8764</v>
      </c>
      <c r="BC665" s="3" t="s">
        <v>8765</v>
      </c>
      <c r="BD665" s="3" t="s">
        <v>8766</v>
      </c>
    </row>
    <row r="666" spans="1:56" ht="42.75" customHeight="1" x14ac:dyDescent="0.25">
      <c r="A666" s="7" t="s">
        <v>58</v>
      </c>
      <c r="B666" s="2" t="s">
        <v>8767</v>
      </c>
      <c r="C666" s="2" t="s">
        <v>8768</v>
      </c>
      <c r="D666" s="2" t="s">
        <v>8769</v>
      </c>
      <c r="F666" s="3" t="s">
        <v>58</v>
      </c>
      <c r="G666" s="3" t="s">
        <v>59</v>
      </c>
      <c r="H666" s="3" t="s">
        <v>58</v>
      </c>
      <c r="I666" s="3" t="s">
        <v>58</v>
      </c>
      <c r="J666" s="3" t="s">
        <v>60</v>
      </c>
      <c r="K666" s="2" t="s">
        <v>8403</v>
      </c>
      <c r="L666" s="2" t="s">
        <v>8770</v>
      </c>
      <c r="M666" s="3" t="s">
        <v>3069</v>
      </c>
      <c r="O666" s="3" t="s">
        <v>64</v>
      </c>
      <c r="P666" s="3" t="s">
        <v>115</v>
      </c>
      <c r="R666" s="3" t="s">
        <v>67</v>
      </c>
      <c r="S666" s="4">
        <v>4</v>
      </c>
      <c r="T666" s="4">
        <v>4</v>
      </c>
      <c r="U666" s="5" t="s">
        <v>8771</v>
      </c>
      <c r="V666" s="5" t="s">
        <v>8771</v>
      </c>
      <c r="W666" s="5" t="s">
        <v>3917</v>
      </c>
      <c r="X666" s="5" t="s">
        <v>3917</v>
      </c>
      <c r="Y666" s="4">
        <v>630</v>
      </c>
      <c r="Z666" s="4">
        <v>533</v>
      </c>
      <c r="AA666" s="4">
        <v>586</v>
      </c>
      <c r="AB666" s="4">
        <v>2</v>
      </c>
      <c r="AC666" s="4">
        <v>2</v>
      </c>
      <c r="AD666" s="4">
        <v>25</v>
      </c>
      <c r="AE666" s="4">
        <v>30</v>
      </c>
      <c r="AF666" s="4">
        <v>11</v>
      </c>
      <c r="AG666" s="4">
        <v>13</v>
      </c>
      <c r="AH666" s="4">
        <v>6</v>
      </c>
      <c r="AI666" s="4">
        <v>8</v>
      </c>
      <c r="AJ666" s="4">
        <v>15</v>
      </c>
      <c r="AK666" s="4">
        <v>17</v>
      </c>
      <c r="AL666" s="4">
        <v>1</v>
      </c>
      <c r="AM666" s="4">
        <v>1</v>
      </c>
      <c r="AN666" s="4">
        <v>0</v>
      </c>
      <c r="AO666" s="4">
        <v>0</v>
      </c>
      <c r="AP666" s="3" t="s">
        <v>58</v>
      </c>
      <c r="AQ666" s="3" t="s">
        <v>86</v>
      </c>
      <c r="AR666" s="6" t="str">
        <f>HYPERLINK("http://catalog.hathitrust.org/Record/001564511","HathiTrust Record")</f>
        <v>HathiTrust Record</v>
      </c>
      <c r="AS666" s="6" t="str">
        <f>HYPERLINK("https://creighton-primo.hosted.exlibrisgroup.com/primo-explore/search?tab=default_tab&amp;search_scope=EVERYTHING&amp;vid=01CRU&amp;lang=en_US&amp;offset=0&amp;query=any,contains,991003429949702656","Catalog Record")</f>
        <v>Catalog Record</v>
      </c>
      <c r="AT666" s="6" t="str">
        <f>HYPERLINK("http://www.worldcat.org/oclc/965351","WorldCat Record")</f>
        <v>WorldCat Record</v>
      </c>
      <c r="AU666" s="3" t="s">
        <v>8772</v>
      </c>
      <c r="AV666" s="3" t="s">
        <v>8773</v>
      </c>
      <c r="AW666" s="3" t="s">
        <v>8774</v>
      </c>
      <c r="AX666" s="3" t="s">
        <v>8774</v>
      </c>
      <c r="AY666" s="3" t="s">
        <v>8775</v>
      </c>
      <c r="AZ666" s="3" t="s">
        <v>74</v>
      </c>
      <c r="BC666" s="3" t="s">
        <v>8776</v>
      </c>
      <c r="BD666" s="3" t="s">
        <v>8777</v>
      </c>
    </row>
    <row r="667" spans="1:56" ht="42.75" customHeight="1" x14ac:dyDescent="0.25">
      <c r="A667" s="7" t="s">
        <v>58</v>
      </c>
      <c r="B667" s="2" t="s">
        <v>8778</v>
      </c>
      <c r="C667" s="2" t="s">
        <v>8779</v>
      </c>
      <c r="D667" s="2" t="s">
        <v>8780</v>
      </c>
      <c r="F667" s="3" t="s">
        <v>58</v>
      </c>
      <c r="G667" s="3" t="s">
        <v>59</v>
      </c>
      <c r="H667" s="3" t="s">
        <v>58</v>
      </c>
      <c r="I667" s="3" t="s">
        <v>58</v>
      </c>
      <c r="J667" s="3" t="s">
        <v>60</v>
      </c>
      <c r="K667" s="2" t="s">
        <v>8781</v>
      </c>
      <c r="L667" s="2" t="s">
        <v>8782</v>
      </c>
      <c r="M667" s="3" t="s">
        <v>3914</v>
      </c>
      <c r="N667" s="2" t="s">
        <v>1736</v>
      </c>
      <c r="O667" s="3" t="s">
        <v>64</v>
      </c>
      <c r="P667" s="3" t="s">
        <v>99</v>
      </c>
      <c r="R667" s="3" t="s">
        <v>67</v>
      </c>
      <c r="S667" s="4">
        <v>3</v>
      </c>
      <c r="T667" s="4">
        <v>3</v>
      </c>
      <c r="U667" s="5" t="s">
        <v>8783</v>
      </c>
      <c r="V667" s="5" t="s">
        <v>8783</v>
      </c>
      <c r="W667" s="5" t="s">
        <v>8784</v>
      </c>
      <c r="X667" s="5" t="s">
        <v>8784</v>
      </c>
      <c r="Y667" s="4">
        <v>283</v>
      </c>
      <c r="Z667" s="4">
        <v>274</v>
      </c>
      <c r="AA667" s="4">
        <v>293</v>
      </c>
      <c r="AB667" s="4">
        <v>4</v>
      </c>
      <c r="AC667" s="4">
        <v>4</v>
      </c>
      <c r="AD667" s="4">
        <v>9</v>
      </c>
      <c r="AE667" s="4">
        <v>11</v>
      </c>
      <c r="AF667" s="4">
        <v>2</v>
      </c>
      <c r="AG667" s="4">
        <v>3</v>
      </c>
      <c r="AH667" s="4">
        <v>3</v>
      </c>
      <c r="AI667" s="4">
        <v>4</v>
      </c>
      <c r="AJ667" s="4">
        <v>4</v>
      </c>
      <c r="AK667" s="4">
        <v>4</v>
      </c>
      <c r="AL667" s="4">
        <v>3</v>
      </c>
      <c r="AM667" s="4">
        <v>3</v>
      </c>
      <c r="AN667" s="4">
        <v>0</v>
      </c>
      <c r="AO667" s="4">
        <v>0</v>
      </c>
      <c r="AP667" s="3" t="s">
        <v>58</v>
      </c>
      <c r="AQ667" s="3" t="s">
        <v>86</v>
      </c>
      <c r="AR667" s="6" t="str">
        <f>HYPERLINK("http://catalog.hathitrust.org/Record/000210975","HathiTrust Record")</f>
        <v>HathiTrust Record</v>
      </c>
      <c r="AS667" s="6" t="str">
        <f>HYPERLINK("https://creighton-primo.hosted.exlibrisgroup.com/primo-explore/search?tab=default_tab&amp;search_scope=EVERYTHING&amp;vid=01CRU&amp;lang=en_US&amp;offset=0&amp;query=any,contains,991004256539702656","Catalog Record")</f>
        <v>Catalog Record</v>
      </c>
      <c r="AT667" s="6" t="str">
        <f>HYPERLINK("http://www.worldcat.org/oclc/2827250","WorldCat Record")</f>
        <v>WorldCat Record</v>
      </c>
      <c r="AU667" s="3" t="s">
        <v>8785</v>
      </c>
      <c r="AV667" s="3" t="s">
        <v>8786</v>
      </c>
      <c r="AW667" s="3" t="s">
        <v>8787</v>
      </c>
      <c r="AX667" s="3" t="s">
        <v>8787</v>
      </c>
      <c r="AY667" s="3" t="s">
        <v>8788</v>
      </c>
      <c r="AZ667" s="3" t="s">
        <v>74</v>
      </c>
      <c r="BB667" s="3" t="s">
        <v>8789</v>
      </c>
      <c r="BC667" s="3" t="s">
        <v>8790</v>
      </c>
      <c r="BD667" s="3" t="s">
        <v>8791</v>
      </c>
    </row>
    <row r="668" spans="1:56" ht="42.75" customHeight="1" x14ac:dyDescent="0.25">
      <c r="A668" s="7" t="s">
        <v>58</v>
      </c>
      <c r="B668" s="2" t="s">
        <v>8792</v>
      </c>
      <c r="C668" s="2" t="s">
        <v>8793</v>
      </c>
      <c r="D668" s="2" t="s">
        <v>8794</v>
      </c>
      <c r="F668" s="3" t="s">
        <v>58</v>
      </c>
      <c r="G668" s="3" t="s">
        <v>59</v>
      </c>
      <c r="H668" s="3" t="s">
        <v>58</v>
      </c>
      <c r="I668" s="3" t="s">
        <v>58</v>
      </c>
      <c r="J668" s="3" t="s">
        <v>60</v>
      </c>
      <c r="L668" s="2" t="s">
        <v>5288</v>
      </c>
      <c r="M668" s="3" t="s">
        <v>177</v>
      </c>
      <c r="O668" s="3" t="s">
        <v>64</v>
      </c>
      <c r="P668" s="3" t="s">
        <v>83</v>
      </c>
      <c r="R668" s="3" t="s">
        <v>67</v>
      </c>
      <c r="S668" s="4">
        <v>1</v>
      </c>
      <c r="T668" s="4">
        <v>1</v>
      </c>
      <c r="U668" s="5" t="s">
        <v>8795</v>
      </c>
      <c r="V668" s="5" t="s">
        <v>8795</v>
      </c>
      <c r="W668" s="5" t="s">
        <v>3917</v>
      </c>
      <c r="X668" s="5" t="s">
        <v>3917</v>
      </c>
      <c r="Y668" s="4">
        <v>435</v>
      </c>
      <c r="Z668" s="4">
        <v>359</v>
      </c>
      <c r="AA668" s="4">
        <v>412</v>
      </c>
      <c r="AB668" s="4">
        <v>4</v>
      </c>
      <c r="AC668" s="4">
        <v>5</v>
      </c>
      <c r="AD668" s="4">
        <v>17</v>
      </c>
      <c r="AE668" s="4">
        <v>19</v>
      </c>
      <c r="AF668" s="4">
        <v>6</v>
      </c>
      <c r="AG668" s="4">
        <v>6</v>
      </c>
      <c r="AH668" s="4">
        <v>3</v>
      </c>
      <c r="AI668" s="4">
        <v>3</v>
      </c>
      <c r="AJ668" s="4">
        <v>9</v>
      </c>
      <c r="AK668" s="4">
        <v>10</v>
      </c>
      <c r="AL668" s="4">
        <v>3</v>
      </c>
      <c r="AM668" s="4">
        <v>4</v>
      </c>
      <c r="AN668" s="4">
        <v>1</v>
      </c>
      <c r="AO668" s="4">
        <v>1</v>
      </c>
      <c r="AP668" s="3" t="s">
        <v>58</v>
      </c>
      <c r="AQ668" s="3" t="s">
        <v>86</v>
      </c>
      <c r="AR668" s="6" t="str">
        <f>HYPERLINK("http://catalog.hathitrust.org/Record/001564517","HathiTrust Record")</f>
        <v>HathiTrust Record</v>
      </c>
      <c r="AS668" s="6" t="str">
        <f>HYPERLINK("https://creighton-primo.hosted.exlibrisgroup.com/primo-explore/search?tab=default_tab&amp;search_scope=EVERYTHING&amp;vid=01CRU&amp;lang=en_US&amp;offset=0&amp;query=any,contains,991003197949702656","Catalog Record")</f>
        <v>Catalog Record</v>
      </c>
      <c r="AT668" s="6" t="str">
        <f>HYPERLINK("http://www.worldcat.org/oclc/722849","WorldCat Record")</f>
        <v>WorldCat Record</v>
      </c>
      <c r="AU668" s="3" t="s">
        <v>8796</v>
      </c>
      <c r="AV668" s="3" t="s">
        <v>8797</v>
      </c>
      <c r="AW668" s="3" t="s">
        <v>8798</v>
      </c>
      <c r="AX668" s="3" t="s">
        <v>8798</v>
      </c>
      <c r="AY668" s="3" t="s">
        <v>8799</v>
      </c>
      <c r="AZ668" s="3" t="s">
        <v>74</v>
      </c>
      <c r="BB668" s="3" t="s">
        <v>8800</v>
      </c>
      <c r="BC668" s="3" t="s">
        <v>8801</v>
      </c>
      <c r="BD668" s="3" t="s">
        <v>8802</v>
      </c>
    </row>
    <row r="669" spans="1:56" ht="42.75" customHeight="1" x14ac:dyDescent="0.25">
      <c r="A669" s="7" t="s">
        <v>58</v>
      </c>
      <c r="B669" s="2" t="s">
        <v>8803</v>
      </c>
      <c r="C669" s="2" t="s">
        <v>8804</v>
      </c>
      <c r="D669" s="2" t="s">
        <v>8805</v>
      </c>
      <c r="F669" s="3" t="s">
        <v>58</v>
      </c>
      <c r="G669" s="3" t="s">
        <v>59</v>
      </c>
      <c r="H669" s="3" t="s">
        <v>58</v>
      </c>
      <c r="I669" s="3" t="s">
        <v>58</v>
      </c>
      <c r="J669" s="3" t="s">
        <v>60</v>
      </c>
      <c r="K669" s="2" t="s">
        <v>8806</v>
      </c>
      <c r="L669" s="2" t="s">
        <v>8807</v>
      </c>
      <c r="M669" s="3" t="s">
        <v>737</v>
      </c>
      <c r="O669" s="3" t="s">
        <v>64</v>
      </c>
      <c r="P669" s="3" t="s">
        <v>115</v>
      </c>
      <c r="R669" s="3" t="s">
        <v>67</v>
      </c>
      <c r="S669" s="4">
        <v>6</v>
      </c>
      <c r="T669" s="4">
        <v>6</v>
      </c>
      <c r="U669" s="5" t="s">
        <v>8808</v>
      </c>
      <c r="V669" s="5" t="s">
        <v>8808</v>
      </c>
      <c r="W669" s="5" t="s">
        <v>8809</v>
      </c>
      <c r="X669" s="5" t="s">
        <v>8809</v>
      </c>
      <c r="Y669" s="4">
        <v>984</v>
      </c>
      <c r="Z669" s="4">
        <v>867</v>
      </c>
      <c r="AA669" s="4">
        <v>966</v>
      </c>
      <c r="AB669" s="4">
        <v>6</v>
      </c>
      <c r="AC669" s="4">
        <v>7</v>
      </c>
      <c r="AD669" s="4">
        <v>33</v>
      </c>
      <c r="AE669" s="4">
        <v>36</v>
      </c>
      <c r="AF669" s="4">
        <v>12</v>
      </c>
      <c r="AG669" s="4">
        <v>14</v>
      </c>
      <c r="AH669" s="4">
        <v>7</v>
      </c>
      <c r="AI669" s="4">
        <v>7</v>
      </c>
      <c r="AJ669" s="4">
        <v>17</v>
      </c>
      <c r="AK669" s="4">
        <v>17</v>
      </c>
      <c r="AL669" s="4">
        <v>5</v>
      </c>
      <c r="AM669" s="4">
        <v>6</v>
      </c>
      <c r="AN669" s="4">
        <v>1</v>
      </c>
      <c r="AO669" s="4">
        <v>1</v>
      </c>
      <c r="AP669" s="3" t="s">
        <v>58</v>
      </c>
      <c r="AQ669" s="3" t="s">
        <v>86</v>
      </c>
      <c r="AR669" s="6" t="str">
        <f>HYPERLINK("http://catalog.hathitrust.org/Record/002806367","HathiTrust Record")</f>
        <v>HathiTrust Record</v>
      </c>
      <c r="AS669" s="6" t="str">
        <f>HYPERLINK("https://creighton-primo.hosted.exlibrisgroup.com/primo-explore/search?tab=default_tab&amp;search_scope=EVERYTHING&amp;vid=01CRU&amp;lang=en_US&amp;offset=0&amp;query=any,contains,991002225859702656","Catalog Record")</f>
        <v>Catalog Record</v>
      </c>
      <c r="AT669" s="6" t="str">
        <f>HYPERLINK("http://www.worldcat.org/oclc/28675086","WorldCat Record")</f>
        <v>WorldCat Record</v>
      </c>
      <c r="AU669" s="3" t="s">
        <v>8810</v>
      </c>
      <c r="AV669" s="3" t="s">
        <v>8811</v>
      </c>
      <c r="AW669" s="3" t="s">
        <v>8812</v>
      </c>
      <c r="AX669" s="3" t="s">
        <v>8812</v>
      </c>
      <c r="AY669" s="3" t="s">
        <v>8813</v>
      </c>
      <c r="AZ669" s="3" t="s">
        <v>74</v>
      </c>
      <c r="BB669" s="3" t="s">
        <v>8814</v>
      </c>
      <c r="BC669" s="3" t="s">
        <v>8815</v>
      </c>
      <c r="BD669" s="3" t="s">
        <v>8816</v>
      </c>
    </row>
    <row r="670" spans="1:56" ht="42.75" customHeight="1" x14ac:dyDescent="0.25">
      <c r="A670" s="7" t="s">
        <v>58</v>
      </c>
      <c r="B670" s="2" t="s">
        <v>8817</v>
      </c>
      <c r="C670" s="2" t="s">
        <v>8818</v>
      </c>
      <c r="D670" s="2" t="s">
        <v>8819</v>
      </c>
      <c r="F670" s="3" t="s">
        <v>58</v>
      </c>
      <c r="G670" s="3" t="s">
        <v>59</v>
      </c>
      <c r="H670" s="3" t="s">
        <v>58</v>
      </c>
      <c r="I670" s="3" t="s">
        <v>58</v>
      </c>
      <c r="J670" s="3" t="s">
        <v>60</v>
      </c>
      <c r="L670" s="2" t="s">
        <v>8820</v>
      </c>
      <c r="M670" s="3" t="s">
        <v>114</v>
      </c>
      <c r="O670" s="3" t="s">
        <v>64</v>
      </c>
      <c r="P670" s="3" t="s">
        <v>83</v>
      </c>
      <c r="R670" s="3" t="s">
        <v>67</v>
      </c>
      <c r="S670" s="4">
        <v>7</v>
      </c>
      <c r="T670" s="4">
        <v>7</v>
      </c>
      <c r="U670" s="5" t="s">
        <v>8821</v>
      </c>
      <c r="V670" s="5" t="s">
        <v>8821</v>
      </c>
      <c r="W670" s="5" t="s">
        <v>4730</v>
      </c>
      <c r="X670" s="5" t="s">
        <v>4730</v>
      </c>
      <c r="Y670" s="4">
        <v>128</v>
      </c>
      <c r="Z670" s="4">
        <v>108</v>
      </c>
      <c r="AA670" s="4">
        <v>110</v>
      </c>
      <c r="AB670" s="4">
        <v>3</v>
      </c>
      <c r="AC670" s="4">
        <v>3</v>
      </c>
      <c r="AD670" s="4">
        <v>6</v>
      </c>
      <c r="AE670" s="4">
        <v>6</v>
      </c>
      <c r="AF670" s="4">
        <v>0</v>
      </c>
      <c r="AG670" s="4">
        <v>0</v>
      </c>
      <c r="AH670" s="4">
        <v>1</v>
      </c>
      <c r="AI670" s="4">
        <v>1</v>
      </c>
      <c r="AJ670" s="4">
        <v>4</v>
      </c>
      <c r="AK670" s="4">
        <v>4</v>
      </c>
      <c r="AL670" s="4">
        <v>2</v>
      </c>
      <c r="AM670" s="4">
        <v>2</v>
      </c>
      <c r="AN670" s="4">
        <v>0</v>
      </c>
      <c r="AO670" s="4">
        <v>0</v>
      </c>
      <c r="AP670" s="3" t="s">
        <v>58</v>
      </c>
      <c r="AQ670" s="3" t="s">
        <v>86</v>
      </c>
      <c r="AR670" s="6" t="str">
        <f>HYPERLINK("http://catalog.hathitrust.org/Record/000461447","HathiTrust Record")</f>
        <v>HathiTrust Record</v>
      </c>
      <c r="AS670" s="6" t="str">
        <f>HYPERLINK("https://creighton-primo.hosted.exlibrisgroup.com/primo-explore/search?tab=default_tab&amp;search_scope=EVERYTHING&amp;vid=01CRU&amp;lang=en_US&amp;offset=0&amp;query=any,contains,991000372189702656","Catalog Record")</f>
        <v>Catalog Record</v>
      </c>
      <c r="AT670" s="6" t="str">
        <f>HYPERLINK("http://www.worldcat.org/oclc/10432474","WorldCat Record")</f>
        <v>WorldCat Record</v>
      </c>
      <c r="AU670" s="3" t="s">
        <v>8822</v>
      </c>
      <c r="AV670" s="3" t="s">
        <v>8823</v>
      </c>
      <c r="AW670" s="3" t="s">
        <v>8824</v>
      </c>
      <c r="AX670" s="3" t="s">
        <v>8824</v>
      </c>
      <c r="AY670" s="3" t="s">
        <v>8825</v>
      </c>
      <c r="AZ670" s="3" t="s">
        <v>74</v>
      </c>
      <c r="BB670" s="3" t="s">
        <v>8826</v>
      </c>
      <c r="BC670" s="3" t="s">
        <v>8827</v>
      </c>
      <c r="BD670" s="3" t="s">
        <v>8828</v>
      </c>
    </row>
    <row r="671" spans="1:56" ht="42.75" customHeight="1" x14ac:dyDescent="0.25">
      <c r="A671" s="7" t="s">
        <v>58</v>
      </c>
      <c r="B671" s="2" t="s">
        <v>8829</v>
      </c>
      <c r="C671" s="2" t="s">
        <v>8830</v>
      </c>
      <c r="D671" s="2" t="s">
        <v>8831</v>
      </c>
      <c r="F671" s="3" t="s">
        <v>58</v>
      </c>
      <c r="G671" s="3" t="s">
        <v>59</v>
      </c>
      <c r="H671" s="3" t="s">
        <v>58</v>
      </c>
      <c r="I671" s="3" t="s">
        <v>58</v>
      </c>
      <c r="J671" s="3" t="s">
        <v>60</v>
      </c>
      <c r="K671" s="2" t="s">
        <v>8832</v>
      </c>
      <c r="L671" s="2" t="s">
        <v>8833</v>
      </c>
      <c r="M671" s="3" t="s">
        <v>8834</v>
      </c>
      <c r="O671" s="3" t="s">
        <v>64</v>
      </c>
      <c r="P671" s="3" t="s">
        <v>115</v>
      </c>
      <c r="R671" s="3" t="s">
        <v>67</v>
      </c>
      <c r="S671" s="4">
        <v>1</v>
      </c>
      <c r="T671" s="4">
        <v>1</v>
      </c>
      <c r="U671" s="5" t="s">
        <v>8835</v>
      </c>
      <c r="V671" s="5" t="s">
        <v>8835</v>
      </c>
      <c r="W671" s="5" t="s">
        <v>3917</v>
      </c>
      <c r="X671" s="5" t="s">
        <v>3917</v>
      </c>
      <c r="Y671" s="4">
        <v>558</v>
      </c>
      <c r="Z671" s="4">
        <v>482</v>
      </c>
      <c r="AA671" s="4">
        <v>801</v>
      </c>
      <c r="AB671" s="4">
        <v>6</v>
      </c>
      <c r="AC671" s="4">
        <v>8</v>
      </c>
      <c r="AD671" s="4">
        <v>21</v>
      </c>
      <c r="AE671" s="4">
        <v>32</v>
      </c>
      <c r="AF671" s="4">
        <v>9</v>
      </c>
      <c r="AG671" s="4">
        <v>14</v>
      </c>
      <c r="AH671" s="4">
        <v>3</v>
      </c>
      <c r="AI671" s="4">
        <v>5</v>
      </c>
      <c r="AJ671" s="4">
        <v>10</v>
      </c>
      <c r="AK671" s="4">
        <v>16</v>
      </c>
      <c r="AL671" s="4">
        <v>4</v>
      </c>
      <c r="AM671" s="4">
        <v>6</v>
      </c>
      <c r="AN671" s="4">
        <v>0</v>
      </c>
      <c r="AO671" s="4">
        <v>0</v>
      </c>
      <c r="AP671" s="3" t="s">
        <v>58</v>
      </c>
      <c r="AQ671" s="3" t="s">
        <v>58</v>
      </c>
      <c r="AR671" s="6" t="str">
        <f>HYPERLINK("http://catalog.hathitrust.org/Record/006054613","HathiTrust Record")</f>
        <v>HathiTrust Record</v>
      </c>
      <c r="AS671" s="6" t="str">
        <f>HYPERLINK("https://creighton-primo.hosted.exlibrisgroup.com/primo-explore/search?tab=default_tab&amp;search_scope=EVERYTHING&amp;vid=01CRU&amp;lang=en_US&amp;offset=0&amp;query=any,contains,991001189369702656","Catalog Record")</f>
        <v>Catalog Record</v>
      </c>
      <c r="AT671" s="6" t="str">
        <f>HYPERLINK("http://www.worldcat.org/oclc/191004","WorldCat Record")</f>
        <v>WorldCat Record</v>
      </c>
      <c r="AU671" s="3" t="s">
        <v>8836</v>
      </c>
      <c r="AV671" s="3" t="s">
        <v>8837</v>
      </c>
      <c r="AW671" s="3" t="s">
        <v>8838</v>
      </c>
      <c r="AX671" s="3" t="s">
        <v>8838</v>
      </c>
      <c r="AY671" s="3" t="s">
        <v>8839</v>
      </c>
      <c r="AZ671" s="3" t="s">
        <v>74</v>
      </c>
      <c r="BC671" s="3" t="s">
        <v>8840</v>
      </c>
      <c r="BD671" s="3" t="s">
        <v>8841</v>
      </c>
    </row>
    <row r="672" spans="1:56" ht="42.75" customHeight="1" x14ac:dyDescent="0.25">
      <c r="A672" s="7" t="s">
        <v>58</v>
      </c>
      <c r="B672" s="2" t="s">
        <v>8842</v>
      </c>
      <c r="C672" s="2" t="s">
        <v>8843</v>
      </c>
      <c r="D672" s="2" t="s">
        <v>8844</v>
      </c>
      <c r="F672" s="3" t="s">
        <v>58</v>
      </c>
      <c r="G672" s="3" t="s">
        <v>59</v>
      </c>
      <c r="H672" s="3" t="s">
        <v>58</v>
      </c>
      <c r="I672" s="3" t="s">
        <v>58</v>
      </c>
      <c r="J672" s="3" t="s">
        <v>60</v>
      </c>
      <c r="K672" s="2" t="s">
        <v>8845</v>
      </c>
      <c r="L672" s="2" t="s">
        <v>8846</v>
      </c>
      <c r="M672" s="3" t="s">
        <v>314</v>
      </c>
      <c r="O672" s="3" t="s">
        <v>64</v>
      </c>
      <c r="P672" s="3" t="s">
        <v>208</v>
      </c>
      <c r="R672" s="3" t="s">
        <v>67</v>
      </c>
      <c r="S672" s="4">
        <v>3</v>
      </c>
      <c r="T672" s="4">
        <v>3</v>
      </c>
      <c r="U672" s="5" t="s">
        <v>8847</v>
      </c>
      <c r="V672" s="5" t="s">
        <v>8847</v>
      </c>
      <c r="W672" s="5" t="s">
        <v>3917</v>
      </c>
      <c r="X672" s="5" t="s">
        <v>3917</v>
      </c>
      <c r="Y672" s="4">
        <v>467</v>
      </c>
      <c r="Z672" s="4">
        <v>434</v>
      </c>
      <c r="AA672" s="4">
        <v>468</v>
      </c>
      <c r="AB672" s="4">
        <v>2</v>
      </c>
      <c r="AC672" s="4">
        <v>2</v>
      </c>
      <c r="AD672" s="4">
        <v>17</v>
      </c>
      <c r="AE672" s="4">
        <v>18</v>
      </c>
      <c r="AF672" s="4">
        <v>10</v>
      </c>
      <c r="AG672" s="4">
        <v>11</v>
      </c>
      <c r="AH672" s="4">
        <v>2</v>
      </c>
      <c r="AI672" s="4">
        <v>2</v>
      </c>
      <c r="AJ672" s="4">
        <v>7</v>
      </c>
      <c r="AK672" s="4">
        <v>7</v>
      </c>
      <c r="AL672" s="4">
        <v>1</v>
      </c>
      <c r="AM672" s="4">
        <v>1</v>
      </c>
      <c r="AN672" s="4">
        <v>0</v>
      </c>
      <c r="AO672" s="4">
        <v>0</v>
      </c>
      <c r="AP672" s="3" t="s">
        <v>58</v>
      </c>
      <c r="AQ672" s="3" t="s">
        <v>58</v>
      </c>
      <c r="AS672" s="6" t="str">
        <f>HYPERLINK("https://creighton-primo.hosted.exlibrisgroup.com/primo-explore/search?tab=default_tab&amp;search_scope=EVERYTHING&amp;vid=01CRU&amp;lang=en_US&amp;offset=0&amp;query=any,contains,991002257309702656","Catalog Record")</f>
        <v>Catalog Record</v>
      </c>
      <c r="AT672" s="6" t="str">
        <f>HYPERLINK("http://www.worldcat.org/oclc/302258","WorldCat Record")</f>
        <v>WorldCat Record</v>
      </c>
      <c r="AU672" s="3" t="s">
        <v>8848</v>
      </c>
      <c r="AV672" s="3" t="s">
        <v>8849</v>
      </c>
      <c r="AW672" s="3" t="s">
        <v>8850</v>
      </c>
      <c r="AX672" s="3" t="s">
        <v>8850</v>
      </c>
      <c r="AY672" s="3" t="s">
        <v>8851</v>
      </c>
      <c r="AZ672" s="3" t="s">
        <v>74</v>
      </c>
      <c r="BC672" s="3" t="s">
        <v>8852</v>
      </c>
      <c r="BD672" s="3" t="s">
        <v>8853</v>
      </c>
    </row>
    <row r="673" spans="1:56" ht="42.75" customHeight="1" x14ac:dyDescent="0.25">
      <c r="A673" s="7" t="s">
        <v>58</v>
      </c>
      <c r="B673" s="2" t="s">
        <v>8854</v>
      </c>
      <c r="C673" s="2" t="s">
        <v>8855</v>
      </c>
      <c r="D673" s="2" t="s">
        <v>8856</v>
      </c>
      <c r="F673" s="3" t="s">
        <v>58</v>
      </c>
      <c r="G673" s="3" t="s">
        <v>59</v>
      </c>
      <c r="H673" s="3" t="s">
        <v>58</v>
      </c>
      <c r="I673" s="3" t="s">
        <v>58</v>
      </c>
      <c r="J673" s="3" t="s">
        <v>60</v>
      </c>
      <c r="K673" s="2" t="s">
        <v>8857</v>
      </c>
      <c r="L673" s="2" t="s">
        <v>7233</v>
      </c>
      <c r="M673" s="3" t="s">
        <v>1235</v>
      </c>
      <c r="N673" s="2" t="s">
        <v>1736</v>
      </c>
      <c r="O673" s="3" t="s">
        <v>64</v>
      </c>
      <c r="P673" s="3" t="s">
        <v>145</v>
      </c>
      <c r="R673" s="3" t="s">
        <v>67</v>
      </c>
      <c r="S673" s="4">
        <v>1</v>
      </c>
      <c r="T673" s="4">
        <v>1</v>
      </c>
      <c r="U673" s="5" t="s">
        <v>8858</v>
      </c>
      <c r="V673" s="5" t="s">
        <v>8858</v>
      </c>
      <c r="W673" s="5" t="s">
        <v>8858</v>
      </c>
      <c r="X673" s="5" t="s">
        <v>8858</v>
      </c>
      <c r="Y673" s="4">
        <v>206</v>
      </c>
      <c r="Z673" s="4">
        <v>168</v>
      </c>
      <c r="AA673" s="4">
        <v>257</v>
      </c>
      <c r="AB673" s="4">
        <v>2</v>
      </c>
      <c r="AC673" s="4">
        <v>3</v>
      </c>
      <c r="AD673" s="4">
        <v>5</v>
      </c>
      <c r="AE673" s="4">
        <v>13</v>
      </c>
      <c r="AF673" s="4">
        <v>2</v>
      </c>
      <c r="AG673" s="4">
        <v>5</v>
      </c>
      <c r="AH673" s="4">
        <v>1</v>
      </c>
      <c r="AI673" s="4">
        <v>1</v>
      </c>
      <c r="AJ673" s="4">
        <v>3</v>
      </c>
      <c r="AK673" s="4">
        <v>8</v>
      </c>
      <c r="AL673" s="4">
        <v>1</v>
      </c>
      <c r="AM673" s="4">
        <v>2</v>
      </c>
      <c r="AN673" s="4">
        <v>0</v>
      </c>
      <c r="AO673" s="4">
        <v>0</v>
      </c>
      <c r="AP673" s="3" t="s">
        <v>58</v>
      </c>
      <c r="AQ673" s="3" t="s">
        <v>58</v>
      </c>
      <c r="AS673" s="6" t="str">
        <f>HYPERLINK("https://creighton-primo.hosted.exlibrisgroup.com/primo-explore/search?tab=default_tab&amp;search_scope=EVERYTHING&amp;vid=01CRU&amp;lang=en_US&amp;offset=0&amp;query=any,contains,991005052819702656","Catalog Record")</f>
        <v>Catalog Record</v>
      </c>
      <c r="AT673" s="6" t="str">
        <f>HYPERLINK("http://www.worldcat.org/oclc/57123773","WorldCat Record")</f>
        <v>WorldCat Record</v>
      </c>
      <c r="AU673" s="3" t="s">
        <v>8859</v>
      </c>
      <c r="AV673" s="3" t="s">
        <v>8860</v>
      </c>
      <c r="AW673" s="3" t="s">
        <v>8861</v>
      </c>
      <c r="AX673" s="3" t="s">
        <v>8861</v>
      </c>
      <c r="AY673" s="3" t="s">
        <v>8862</v>
      </c>
      <c r="AZ673" s="3" t="s">
        <v>74</v>
      </c>
      <c r="BB673" s="3" t="s">
        <v>8863</v>
      </c>
      <c r="BC673" s="3" t="s">
        <v>8864</v>
      </c>
      <c r="BD673" s="3" t="s">
        <v>8865</v>
      </c>
    </row>
    <row r="674" spans="1:56" ht="42.75" customHeight="1" x14ac:dyDescent="0.25">
      <c r="A674" s="7" t="s">
        <v>58</v>
      </c>
      <c r="B674" s="2" t="s">
        <v>8866</v>
      </c>
      <c r="C674" s="2" t="s">
        <v>8867</v>
      </c>
      <c r="D674" s="2" t="s">
        <v>8868</v>
      </c>
      <c r="F674" s="3" t="s">
        <v>58</v>
      </c>
      <c r="G674" s="3" t="s">
        <v>59</v>
      </c>
      <c r="H674" s="3" t="s">
        <v>58</v>
      </c>
      <c r="I674" s="3" t="s">
        <v>58</v>
      </c>
      <c r="J674" s="3" t="s">
        <v>60</v>
      </c>
      <c r="K674" s="2" t="s">
        <v>8869</v>
      </c>
      <c r="L674" s="2" t="s">
        <v>8870</v>
      </c>
      <c r="M674" s="3" t="s">
        <v>3914</v>
      </c>
      <c r="O674" s="3" t="s">
        <v>64</v>
      </c>
      <c r="P674" s="3" t="s">
        <v>115</v>
      </c>
      <c r="Q674" s="2" t="s">
        <v>8871</v>
      </c>
      <c r="R674" s="3" t="s">
        <v>67</v>
      </c>
      <c r="S674" s="4">
        <v>1</v>
      </c>
      <c r="T674" s="4">
        <v>1</v>
      </c>
      <c r="U674" s="5" t="s">
        <v>8446</v>
      </c>
      <c r="V674" s="5" t="s">
        <v>8446</v>
      </c>
      <c r="W674" s="5" t="s">
        <v>3917</v>
      </c>
      <c r="X674" s="5" t="s">
        <v>3917</v>
      </c>
      <c r="Y674" s="4">
        <v>381</v>
      </c>
      <c r="Z674" s="4">
        <v>315</v>
      </c>
      <c r="AA674" s="4">
        <v>320</v>
      </c>
      <c r="AB674" s="4">
        <v>4</v>
      </c>
      <c r="AC674" s="4">
        <v>4</v>
      </c>
      <c r="AD674" s="4">
        <v>15</v>
      </c>
      <c r="AE674" s="4">
        <v>15</v>
      </c>
      <c r="AF674" s="4">
        <v>4</v>
      </c>
      <c r="AG674" s="4">
        <v>4</v>
      </c>
      <c r="AH674" s="4">
        <v>5</v>
      </c>
      <c r="AI674" s="4">
        <v>5</v>
      </c>
      <c r="AJ674" s="4">
        <v>9</v>
      </c>
      <c r="AK674" s="4">
        <v>9</v>
      </c>
      <c r="AL674" s="4">
        <v>3</v>
      </c>
      <c r="AM674" s="4">
        <v>3</v>
      </c>
      <c r="AN674" s="4">
        <v>0</v>
      </c>
      <c r="AO674" s="4">
        <v>0</v>
      </c>
      <c r="AP674" s="3" t="s">
        <v>58</v>
      </c>
      <c r="AQ674" s="3" t="s">
        <v>86</v>
      </c>
      <c r="AR674" s="6" t="str">
        <f>HYPERLINK("http://catalog.hathitrust.org/Record/000707732","HathiTrust Record")</f>
        <v>HathiTrust Record</v>
      </c>
      <c r="AS674" s="6" t="str">
        <f>HYPERLINK("https://creighton-primo.hosted.exlibrisgroup.com/primo-explore/search?tab=default_tab&amp;search_scope=EVERYTHING&amp;vid=01CRU&amp;lang=en_US&amp;offset=0&amp;query=any,contains,991003950669702656","Catalog Record")</f>
        <v>Catalog Record</v>
      </c>
      <c r="AT674" s="6" t="str">
        <f>HYPERLINK("http://www.worldcat.org/oclc/1957977","WorldCat Record")</f>
        <v>WorldCat Record</v>
      </c>
      <c r="AU674" s="3" t="s">
        <v>8872</v>
      </c>
      <c r="AV674" s="3" t="s">
        <v>8873</v>
      </c>
      <c r="AW674" s="3" t="s">
        <v>8874</v>
      </c>
      <c r="AX674" s="3" t="s">
        <v>8874</v>
      </c>
      <c r="AY674" s="3" t="s">
        <v>8875</v>
      </c>
      <c r="AZ674" s="3" t="s">
        <v>74</v>
      </c>
      <c r="BB674" s="3" t="s">
        <v>8876</v>
      </c>
      <c r="BC674" s="3" t="s">
        <v>8877</v>
      </c>
      <c r="BD674" s="3" t="s">
        <v>8878</v>
      </c>
    </row>
    <row r="675" spans="1:56" ht="42.75" customHeight="1" x14ac:dyDescent="0.25">
      <c r="A675" s="7" t="s">
        <v>58</v>
      </c>
      <c r="B675" s="2" t="s">
        <v>8879</v>
      </c>
      <c r="C675" s="2" t="s">
        <v>8880</v>
      </c>
      <c r="D675" s="2" t="s">
        <v>8881</v>
      </c>
      <c r="F675" s="3" t="s">
        <v>58</v>
      </c>
      <c r="G675" s="3" t="s">
        <v>59</v>
      </c>
      <c r="H675" s="3" t="s">
        <v>58</v>
      </c>
      <c r="I675" s="3" t="s">
        <v>58</v>
      </c>
      <c r="J675" s="3" t="s">
        <v>60</v>
      </c>
      <c r="K675" s="2" t="s">
        <v>8882</v>
      </c>
      <c r="L675" s="2" t="s">
        <v>8883</v>
      </c>
      <c r="M675" s="3" t="s">
        <v>3069</v>
      </c>
      <c r="N675" s="2" t="s">
        <v>8884</v>
      </c>
      <c r="O675" s="3" t="s">
        <v>64</v>
      </c>
      <c r="P675" s="3" t="s">
        <v>115</v>
      </c>
      <c r="R675" s="3" t="s">
        <v>67</v>
      </c>
      <c r="S675" s="4">
        <v>6</v>
      </c>
      <c r="T675" s="4">
        <v>6</v>
      </c>
      <c r="U675" s="5" t="s">
        <v>8885</v>
      </c>
      <c r="V675" s="5" t="s">
        <v>8885</v>
      </c>
      <c r="W675" s="5" t="s">
        <v>8886</v>
      </c>
      <c r="X675" s="5" t="s">
        <v>8886</v>
      </c>
      <c r="Y675" s="4">
        <v>469</v>
      </c>
      <c r="Z675" s="4">
        <v>425</v>
      </c>
      <c r="AA675" s="4">
        <v>1288</v>
      </c>
      <c r="AB675" s="4">
        <v>7</v>
      </c>
      <c r="AC675" s="4">
        <v>13</v>
      </c>
      <c r="AD675" s="4">
        <v>18</v>
      </c>
      <c r="AE675" s="4">
        <v>50</v>
      </c>
      <c r="AF675" s="4">
        <v>3</v>
      </c>
      <c r="AG675" s="4">
        <v>17</v>
      </c>
      <c r="AH675" s="4">
        <v>2</v>
      </c>
      <c r="AI675" s="4">
        <v>9</v>
      </c>
      <c r="AJ675" s="4">
        <v>9</v>
      </c>
      <c r="AK675" s="4">
        <v>26</v>
      </c>
      <c r="AL675" s="4">
        <v>5</v>
      </c>
      <c r="AM675" s="4">
        <v>9</v>
      </c>
      <c r="AN675" s="4">
        <v>0</v>
      </c>
      <c r="AO675" s="4">
        <v>0</v>
      </c>
      <c r="AP675" s="3" t="s">
        <v>58</v>
      </c>
      <c r="AQ675" s="3" t="s">
        <v>86</v>
      </c>
      <c r="AR675" s="6" t="str">
        <f>HYPERLINK("http://catalog.hathitrust.org/Record/000401787","HathiTrust Record")</f>
        <v>HathiTrust Record</v>
      </c>
      <c r="AS675" s="6" t="str">
        <f>HYPERLINK("https://creighton-primo.hosted.exlibrisgroup.com/primo-explore/search?tab=default_tab&amp;search_scope=EVERYTHING&amp;vid=01CRU&amp;lang=en_US&amp;offset=0&amp;query=any,contains,991005318039702656","Catalog Record")</f>
        <v>Catalog Record</v>
      </c>
      <c r="AT675" s="6" t="str">
        <f>HYPERLINK("http://www.worldcat.org/oclc/2632039","WorldCat Record")</f>
        <v>WorldCat Record</v>
      </c>
      <c r="AU675" s="3" t="s">
        <v>8887</v>
      </c>
      <c r="AV675" s="3" t="s">
        <v>8888</v>
      </c>
      <c r="AW675" s="3" t="s">
        <v>8889</v>
      </c>
      <c r="AX675" s="3" t="s">
        <v>8889</v>
      </c>
      <c r="AY675" s="3" t="s">
        <v>8890</v>
      </c>
      <c r="AZ675" s="3" t="s">
        <v>74</v>
      </c>
      <c r="BC675" s="3" t="s">
        <v>8891</v>
      </c>
      <c r="BD675" s="3" t="s">
        <v>8892</v>
      </c>
    </row>
    <row r="676" spans="1:56" ht="42.75" customHeight="1" x14ac:dyDescent="0.25">
      <c r="A676" s="7" t="s">
        <v>58</v>
      </c>
      <c r="B676" s="2" t="s">
        <v>8893</v>
      </c>
      <c r="C676" s="2" t="s">
        <v>8894</v>
      </c>
      <c r="D676" s="2" t="s">
        <v>8895</v>
      </c>
      <c r="F676" s="3" t="s">
        <v>58</v>
      </c>
      <c r="G676" s="3" t="s">
        <v>59</v>
      </c>
      <c r="H676" s="3" t="s">
        <v>58</v>
      </c>
      <c r="I676" s="3" t="s">
        <v>58</v>
      </c>
      <c r="J676" s="3" t="s">
        <v>60</v>
      </c>
      <c r="K676" s="2" t="s">
        <v>8882</v>
      </c>
      <c r="L676" s="2" t="s">
        <v>8896</v>
      </c>
      <c r="M676" s="3" t="s">
        <v>329</v>
      </c>
      <c r="O676" s="3" t="s">
        <v>64</v>
      </c>
      <c r="P676" s="3" t="s">
        <v>2854</v>
      </c>
      <c r="R676" s="3" t="s">
        <v>67</v>
      </c>
      <c r="S676" s="4">
        <v>6</v>
      </c>
      <c r="T676" s="4">
        <v>6</v>
      </c>
      <c r="U676" s="5" t="s">
        <v>8897</v>
      </c>
      <c r="V676" s="5" t="s">
        <v>8897</v>
      </c>
      <c r="W676" s="5" t="s">
        <v>6813</v>
      </c>
      <c r="X676" s="5" t="s">
        <v>6813</v>
      </c>
      <c r="Y676" s="4">
        <v>216</v>
      </c>
      <c r="Z676" s="4">
        <v>193</v>
      </c>
      <c r="AA676" s="4">
        <v>903</v>
      </c>
      <c r="AB676" s="4">
        <v>1</v>
      </c>
      <c r="AC676" s="4">
        <v>7</v>
      </c>
      <c r="AD676" s="4">
        <v>13</v>
      </c>
      <c r="AE676" s="4">
        <v>44</v>
      </c>
      <c r="AF676" s="4">
        <v>6</v>
      </c>
      <c r="AG676" s="4">
        <v>20</v>
      </c>
      <c r="AH676" s="4">
        <v>2</v>
      </c>
      <c r="AI676" s="4">
        <v>8</v>
      </c>
      <c r="AJ676" s="4">
        <v>8</v>
      </c>
      <c r="AK676" s="4">
        <v>22</v>
      </c>
      <c r="AL676" s="4">
        <v>0</v>
      </c>
      <c r="AM676" s="4">
        <v>4</v>
      </c>
      <c r="AN676" s="4">
        <v>0</v>
      </c>
      <c r="AO676" s="4">
        <v>0</v>
      </c>
      <c r="AP676" s="3" t="s">
        <v>58</v>
      </c>
      <c r="AQ676" s="3" t="s">
        <v>86</v>
      </c>
      <c r="AR676" s="6" t="str">
        <f>HYPERLINK("http://catalog.hathitrust.org/Record/000013269","HathiTrust Record")</f>
        <v>HathiTrust Record</v>
      </c>
      <c r="AS676" s="6" t="str">
        <f>HYPERLINK("https://creighton-primo.hosted.exlibrisgroup.com/primo-explore/search?tab=default_tab&amp;search_scope=EVERYTHING&amp;vid=01CRU&amp;lang=en_US&amp;offset=0&amp;query=any,contains,991003330239702656","Catalog Record")</f>
        <v>Catalog Record</v>
      </c>
      <c r="AT676" s="6" t="str">
        <f>HYPERLINK("http://www.worldcat.org/oclc/860501","WorldCat Record")</f>
        <v>WorldCat Record</v>
      </c>
      <c r="AU676" s="3" t="s">
        <v>8898</v>
      </c>
      <c r="AV676" s="3" t="s">
        <v>8899</v>
      </c>
      <c r="AW676" s="3" t="s">
        <v>8900</v>
      </c>
      <c r="AX676" s="3" t="s">
        <v>8900</v>
      </c>
      <c r="AY676" s="3" t="s">
        <v>8901</v>
      </c>
      <c r="AZ676" s="3" t="s">
        <v>74</v>
      </c>
      <c r="BC676" s="3" t="s">
        <v>8902</v>
      </c>
      <c r="BD676" s="3" t="s">
        <v>8903</v>
      </c>
    </row>
    <row r="677" spans="1:56" ht="42.75" customHeight="1" x14ac:dyDescent="0.25">
      <c r="A677" s="7" t="s">
        <v>58</v>
      </c>
      <c r="B677" s="2" t="s">
        <v>8904</v>
      </c>
      <c r="C677" s="2" t="s">
        <v>8905</v>
      </c>
      <c r="D677" s="2" t="s">
        <v>8906</v>
      </c>
      <c r="F677" s="3" t="s">
        <v>58</v>
      </c>
      <c r="G677" s="3" t="s">
        <v>59</v>
      </c>
      <c r="H677" s="3" t="s">
        <v>58</v>
      </c>
      <c r="I677" s="3" t="s">
        <v>58</v>
      </c>
      <c r="J677" s="3" t="s">
        <v>60</v>
      </c>
      <c r="K677" s="2" t="s">
        <v>8882</v>
      </c>
      <c r="L677" s="2" t="s">
        <v>8907</v>
      </c>
      <c r="M677" s="3" t="s">
        <v>269</v>
      </c>
      <c r="O677" s="3" t="s">
        <v>64</v>
      </c>
      <c r="P677" s="3" t="s">
        <v>115</v>
      </c>
      <c r="R677" s="3" t="s">
        <v>67</v>
      </c>
      <c r="S677" s="4">
        <v>8</v>
      </c>
      <c r="T677" s="4">
        <v>8</v>
      </c>
      <c r="U677" s="5" t="s">
        <v>8908</v>
      </c>
      <c r="V677" s="5" t="s">
        <v>8908</v>
      </c>
      <c r="W677" s="5" t="s">
        <v>8909</v>
      </c>
      <c r="X677" s="5" t="s">
        <v>8909</v>
      </c>
      <c r="Y677" s="4">
        <v>276</v>
      </c>
      <c r="Z677" s="4">
        <v>235</v>
      </c>
      <c r="AA677" s="4">
        <v>969</v>
      </c>
      <c r="AB677" s="4">
        <v>2</v>
      </c>
      <c r="AC677" s="4">
        <v>6</v>
      </c>
      <c r="AD677" s="4">
        <v>15</v>
      </c>
      <c r="AE677" s="4">
        <v>40</v>
      </c>
      <c r="AF677" s="4">
        <v>7</v>
      </c>
      <c r="AG677" s="4">
        <v>17</v>
      </c>
      <c r="AH677" s="4">
        <v>4</v>
      </c>
      <c r="AI677" s="4">
        <v>8</v>
      </c>
      <c r="AJ677" s="4">
        <v>6</v>
      </c>
      <c r="AK677" s="4">
        <v>20</v>
      </c>
      <c r="AL677" s="4">
        <v>1</v>
      </c>
      <c r="AM677" s="4">
        <v>4</v>
      </c>
      <c r="AN677" s="4">
        <v>0</v>
      </c>
      <c r="AO677" s="4">
        <v>0</v>
      </c>
      <c r="AP677" s="3" t="s">
        <v>58</v>
      </c>
      <c r="AQ677" s="3" t="s">
        <v>86</v>
      </c>
      <c r="AR677" s="6" t="str">
        <f>HYPERLINK("http://catalog.hathitrust.org/Record/000018469","HathiTrust Record")</f>
        <v>HathiTrust Record</v>
      </c>
      <c r="AS677" s="6" t="str">
        <f>HYPERLINK("https://creighton-primo.hosted.exlibrisgroup.com/primo-explore/search?tab=default_tab&amp;search_scope=EVERYTHING&amp;vid=01CRU&amp;lang=en_US&amp;offset=0&amp;query=any,contains,991001446629702656","Catalog Record")</f>
        <v>Catalog Record</v>
      </c>
      <c r="AT677" s="6" t="str">
        <f>HYPERLINK("http://www.worldcat.org/oclc/1037976","WorldCat Record")</f>
        <v>WorldCat Record</v>
      </c>
      <c r="AU677" s="3" t="s">
        <v>8910</v>
      </c>
      <c r="AV677" s="3" t="s">
        <v>8911</v>
      </c>
      <c r="AW677" s="3" t="s">
        <v>8912</v>
      </c>
      <c r="AX677" s="3" t="s">
        <v>8912</v>
      </c>
      <c r="AY677" s="3" t="s">
        <v>8913</v>
      </c>
      <c r="AZ677" s="3" t="s">
        <v>74</v>
      </c>
      <c r="BC677" s="3" t="s">
        <v>8914</v>
      </c>
      <c r="BD677" s="3" t="s">
        <v>8915</v>
      </c>
    </row>
    <row r="678" spans="1:56" ht="42.75" customHeight="1" x14ac:dyDescent="0.25">
      <c r="A678" s="7" t="s">
        <v>58</v>
      </c>
      <c r="B678" s="2" t="s">
        <v>8916</v>
      </c>
      <c r="C678" s="2" t="s">
        <v>8917</v>
      </c>
      <c r="D678" s="2" t="s">
        <v>8918</v>
      </c>
      <c r="F678" s="3" t="s">
        <v>58</v>
      </c>
      <c r="G678" s="3" t="s">
        <v>59</v>
      </c>
      <c r="H678" s="3" t="s">
        <v>58</v>
      </c>
      <c r="I678" s="3" t="s">
        <v>58</v>
      </c>
      <c r="J678" s="3" t="s">
        <v>60</v>
      </c>
      <c r="K678" s="2" t="s">
        <v>8919</v>
      </c>
      <c r="L678" s="2" t="s">
        <v>5915</v>
      </c>
      <c r="M678" s="3" t="s">
        <v>344</v>
      </c>
      <c r="O678" s="3" t="s">
        <v>64</v>
      </c>
      <c r="P678" s="3" t="s">
        <v>115</v>
      </c>
      <c r="R678" s="3" t="s">
        <v>67</v>
      </c>
      <c r="S678" s="4">
        <v>5</v>
      </c>
      <c r="T678" s="4">
        <v>5</v>
      </c>
      <c r="U678" s="5" t="s">
        <v>8920</v>
      </c>
      <c r="V678" s="5" t="s">
        <v>8920</v>
      </c>
      <c r="W678" s="5" t="s">
        <v>4730</v>
      </c>
      <c r="X678" s="5" t="s">
        <v>4730</v>
      </c>
      <c r="Y678" s="4">
        <v>231</v>
      </c>
      <c r="Z678" s="4">
        <v>179</v>
      </c>
      <c r="AA678" s="4">
        <v>202</v>
      </c>
      <c r="AB678" s="4">
        <v>2</v>
      </c>
      <c r="AC678" s="4">
        <v>2</v>
      </c>
      <c r="AD678" s="4">
        <v>6</v>
      </c>
      <c r="AE678" s="4">
        <v>6</v>
      </c>
      <c r="AF678" s="4">
        <v>3</v>
      </c>
      <c r="AG678" s="4">
        <v>3</v>
      </c>
      <c r="AH678" s="4">
        <v>2</v>
      </c>
      <c r="AI678" s="4">
        <v>2</v>
      </c>
      <c r="AJ678" s="4">
        <v>3</v>
      </c>
      <c r="AK678" s="4">
        <v>3</v>
      </c>
      <c r="AL678" s="4">
        <v>1</v>
      </c>
      <c r="AM678" s="4">
        <v>1</v>
      </c>
      <c r="AN678" s="4">
        <v>0</v>
      </c>
      <c r="AO678" s="4">
        <v>0</v>
      </c>
      <c r="AP678" s="3" t="s">
        <v>58</v>
      </c>
      <c r="AQ678" s="3" t="s">
        <v>58</v>
      </c>
      <c r="AS678" s="6" t="str">
        <f>HYPERLINK("https://creighton-primo.hosted.exlibrisgroup.com/primo-explore/search?tab=default_tab&amp;search_scope=EVERYTHING&amp;vid=01CRU&amp;lang=en_US&amp;offset=0&amp;query=any,contains,991004873689702656","Catalog Record")</f>
        <v>Catalog Record</v>
      </c>
      <c r="AT678" s="6" t="str">
        <f>HYPERLINK("http://www.worldcat.org/oclc/5777071","WorldCat Record")</f>
        <v>WorldCat Record</v>
      </c>
      <c r="AU678" s="3" t="s">
        <v>8921</v>
      </c>
      <c r="AV678" s="3" t="s">
        <v>8922</v>
      </c>
      <c r="AW678" s="3" t="s">
        <v>8923</v>
      </c>
      <c r="AX678" s="3" t="s">
        <v>8923</v>
      </c>
      <c r="AY678" s="3" t="s">
        <v>8924</v>
      </c>
      <c r="AZ678" s="3" t="s">
        <v>74</v>
      </c>
      <c r="BB678" s="3" t="s">
        <v>8925</v>
      </c>
      <c r="BC678" s="3" t="s">
        <v>8926</v>
      </c>
      <c r="BD678" s="3" t="s">
        <v>8927</v>
      </c>
    </row>
    <row r="679" spans="1:56" ht="42.75" customHeight="1" x14ac:dyDescent="0.25">
      <c r="A679" s="7" t="s">
        <v>58</v>
      </c>
      <c r="B679" s="2" t="s">
        <v>8928</v>
      </c>
      <c r="C679" s="2" t="s">
        <v>8929</v>
      </c>
      <c r="D679" s="2" t="s">
        <v>8930</v>
      </c>
      <c r="F679" s="3" t="s">
        <v>58</v>
      </c>
      <c r="G679" s="3" t="s">
        <v>59</v>
      </c>
      <c r="H679" s="3" t="s">
        <v>58</v>
      </c>
      <c r="I679" s="3" t="s">
        <v>58</v>
      </c>
      <c r="J679" s="3" t="s">
        <v>60</v>
      </c>
      <c r="K679" s="2" t="s">
        <v>8931</v>
      </c>
      <c r="L679" s="2" t="s">
        <v>8932</v>
      </c>
      <c r="M679" s="3" t="s">
        <v>2386</v>
      </c>
      <c r="O679" s="3" t="s">
        <v>64</v>
      </c>
      <c r="P679" s="3" t="s">
        <v>115</v>
      </c>
      <c r="Q679" s="2" t="s">
        <v>8933</v>
      </c>
      <c r="R679" s="3" t="s">
        <v>67</v>
      </c>
      <c r="S679" s="4">
        <v>5</v>
      </c>
      <c r="T679" s="4">
        <v>5</v>
      </c>
      <c r="U679" s="5" t="s">
        <v>8698</v>
      </c>
      <c r="V679" s="5" t="s">
        <v>8698</v>
      </c>
      <c r="W679" s="5" t="s">
        <v>8934</v>
      </c>
      <c r="X679" s="5" t="s">
        <v>8934</v>
      </c>
      <c r="Y679" s="4">
        <v>380</v>
      </c>
      <c r="Z679" s="4">
        <v>303</v>
      </c>
      <c r="AA679" s="4">
        <v>319</v>
      </c>
      <c r="AB679" s="4">
        <v>4</v>
      </c>
      <c r="AC679" s="4">
        <v>4</v>
      </c>
      <c r="AD679" s="4">
        <v>16</v>
      </c>
      <c r="AE679" s="4">
        <v>18</v>
      </c>
      <c r="AF679" s="4">
        <v>6</v>
      </c>
      <c r="AG679" s="4">
        <v>7</v>
      </c>
      <c r="AH679" s="4">
        <v>3</v>
      </c>
      <c r="AI679" s="4">
        <v>4</v>
      </c>
      <c r="AJ679" s="4">
        <v>9</v>
      </c>
      <c r="AK679" s="4">
        <v>9</v>
      </c>
      <c r="AL679" s="4">
        <v>2</v>
      </c>
      <c r="AM679" s="4">
        <v>2</v>
      </c>
      <c r="AN679" s="4">
        <v>0</v>
      </c>
      <c r="AO679" s="4">
        <v>0</v>
      </c>
      <c r="AP679" s="3" t="s">
        <v>58</v>
      </c>
      <c r="AQ679" s="3" t="s">
        <v>86</v>
      </c>
      <c r="AR679" s="6" t="str">
        <f>HYPERLINK("http://catalog.hathitrust.org/Record/000010067","HathiTrust Record")</f>
        <v>HathiTrust Record</v>
      </c>
      <c r="AS679" s="6" t="str">
        <f>HYPERLINK("https://creighton-primo.hosted.exlibrisgroup.com/primo-explore/search?tab=default_tab&amp;search_scope=EVERYTHING&amp;vid=01CRU&amp;lang=en_US&amp;offset=0&amp;query=any,contains,991003168019702656","Catalog Record")</f>
        <v>Catalog Record</v>
      </c>
      <c r="AT679" s="6" t="str">
        <f>HYPERLINK("http://www.worldcat.org/oclc/704990","WorldCat Record")</f>
        <v>WorldCat Record</v>
      </c>
      <c r="AU679" s="3" t="s">
        <v>8935</v>
      </c>
      <c r="AV679" s="3" t="s">
        <v>8936</v>
      </c>
      <c r="AW679" s="3" t="s">
        <v>8937</v>
      </c>
      <c r="AX679" s="3" t="s">
        <v>8937</v>
      </c>
      <c r="AY679" s="3" t="s">
        <v>8938</v>
      </c>
      <c r="AZ679" s="3" t="s">
        <v>74</v>
      </c>
      <c r="BB679" s="3" t="s">
        <v>8939</v>
      </c>
      <c r="BC679" s="3" t="s">
        <v>8940</v>
      </c>
      <c r="BD679" s="3" t="s">
        <v>8941</v>
      </c>
    </row>
    <row r="680" spans="1:56" ht="42.75" customHeight="1" x14ac:dyDescent="0.25">
      <c r="A680" s="7" t="s">
        <v>58</v>
      </c>
      <c r="B680" s="2" t="s">
        <v>8942</v>
      </c>
      <c r="C680" s="2" t="s">
        <v>8943</v>
      </c>
      <c r="D680" s="2" t="s">
        <v>8944</v>
      </c>
      <c r="F680" s="3" t="s">
        <v>58</v>
      </c>
      <c r="G680" s="3" t="s">
        <v>59</v>
      </c>
      <c r="H680" s="3" t="s">
        <v>58</v>
      </c>
      <c r="I680" s="3" t="s">
        <v>58</v>
      </c>
      <c r="J680" s="3" t="s">
        <v>60</v>
      </c>
      <c r="K680" s="2" t="s">
        <v>8507</v>
      </c>
      <c r="L680" s="2" t="s">
        <v>8945</v>
      </c>
      <c r="M680" s="3" t="s">
        <v>2853</v>
      </c>
      <c r="O680" s="3" t="s">
        <v>64</v>
      </c>
      <c r="P680" s="3" t="s">
        <v>115</v>
      </c>
      <c r="R680" s="3" t="s">
        <v>67</v>
      </c>
      <c r="S680" s="4">
        <v>1</v>
      </c>
      <c r="T680" s="4">
        <v>1</v>
      </c>
      <c r="U680" s="5" t="s">
        <v>8946</v>
      </c>
      <c r="V680" s="5" t="s">
        <v>8946</v>
      </c>
      <c r="W680" s="5" t="s">
        <v>3917</v>
      </c>
      <c r="X680" s="5" t="s">
        <v>3917</v>
      </c>
      <c r="Y680" s="4">
        <v>632</v>
      </c>
      <c r="Z680" s="4">
        <v>502</v>
      </c>
      <c r="AA680" s="4">
        <v>643</v>
      </c>
      <c r="AB680" s="4">
        <v>4</v>
      </c>
      <c r="AC680" s="4">
        <v>5</v>
      </c>
      <c r="AD680" s="4">
        <v>25</v>
      </c>
      <c r="AE680" s="4">
        <v>30</v>
      </c>
      <c r="AF680" s="4">
        <v>9</v>
      </c>
      <c r="AG680" s="4">
        <v>11</v>
      </c>
      <c r="AH680" s="4">
        <v>6</v>
      </c>
      <c r="AI680" s="4">
        <v>6</v>
      </c>
      <c r="AJ680" s="4">
        <v>15</v>
      </c>
      <c r="AK680" s="4">
        <v>18</v>
      </c>
      <c r="AL680" s="4">
        <v>2</v>
      </c>
      <c r="AM680" s="4">
        <v>3</v>
      </c>
      <c r="AN680" s="4">
        <v>0</v>
      </c>
      <c r="AO680" s="4">
        <v>0</v>
      </c>
      <c r="AP680" s="3" t="s">
        <v>58</v>
      </c>
      <c r="AQ680" s="3" t="s">
        <v>86</v>
      </c>
      <c r="AR680" s="6" t="str">
        <f>HYPERLINK("http://catalog.hathitrust.org/Record/000005377","HathiTrust Record")</f>
        <v>HathiTrust Record</v>
      </c>
      <c r="AS680" s="6" t="str">
        <f>HYPERLINK("https://creighton-primo.hosted.exlibrisgroup.com/primo-explore/search?tab=default_tab&amp;search_scope=EVERYTHING&amp;vid=01CRU&amp;lang=en_US&amp;offset=0&amp;query=any,contains,991005318029702656","Catalog Record")</f>
        <v>Catalog Record</v>
      </c>
      <c r="AT680" s="6" t="str">
        <f>HYPERLINK("http://www.worldcat.org/oclc/381451","WorldCat Record")</f>
        <v>WorldCat Record</v>
      </c>
      <c r="AU680" s="3" t="s">
        <v>8947</v>
      </c>
      <c r="AV680" s="3" t="s">
        <v>8948</v>
      </c>
      <c r="AW680" s="3" t="s">
        <v>8949</v>
      </c>
      <c r="AX680" s="3" t="s">
        <v>8949</v>
      </c>
      <c r="AY680" s="3" t="s">
        <v>8950</v>
      </c>
      <c r="AZ680" s="3" t="s">
        <v>74</v>
      </c>
      <c r="BB680" s="3" t="s">
        <v>8951</v>
      </c>
      <c r="BC680" s="3" t="s">
        <v>8952</v>
      </c>
      <c r="BD680" s="3" t="s">
        <v>8953</v>
      </c>
    </row>
    <row r="681" spans="1:56" ht="42.75" customHeight="1" x14ac:dyDescent="0.25">
      <c r="A681" s="7" t="s">
        <v>58</v>
      </c>
      <c r="B681" s="2" t="s">
        <v>8954</v>
      </c>
      <c r="C681" s="2" t="s">
        <v>8955</v>
      </c>
      <c r="D681" s="2" t="s">
        <v>8956</v>
      </c>
      <c r="F681" s="3" t="s">
        <v>58</v>
      </c>
      <c r="G681" s="3" t="s">
        <v>59</v>
      </c>
      <c r="H681" s="3" t="s">
        <v>58</v>
      </c>
      <c r="I681" s="3" t="s">
        <v>58</v>
      </c>
      <c r="J681" s="3" t="s">
        <v>60</v>
      </c>
      <c r="K681" s="2" t="s">
        <v>8957</v>
      </c>
      <c r="L681" s="2" t="s">
        <v>8958</v>
      </c>
      <c r="M681" s="3" t="s">
        <v>765</v>
      </c>
      <c r="O681" s="3" t="s">
        <v>64</v>
      </c>
      <c r="P681" s="3" t="s">
        <v>115</v>
      </c>
      <c r="R681" s="3" t="s">
        <v>67</v>
      </c>
      <c r="S681" s="4">
        <v>4</v>
      </c>
      <c r="T681" s="4">
        <v>4</v>
      </c>
      <c r="U681" s="5" t="s">
        <v>8771</v>
      </c>
      <c r="V681" s="5" t="s">
        <v>8771</v>
      </c>
      <c r="W681" s="5" t="s">
        <v>5448</v>
      </c>
      <c r="X681" s="5" t="s">
        <v>5448</v>
      </c>
      <c r="Y681" s="4">
        <v>242</v>
      </c>
      <c r="Z681" s="4">
        <v>172</v>
      </c>
      <c r="AA681" s="4">
        <v>172</v>
      </c>
      <c r="AB681" s="4">
        <v>2</v>
      </c>
      <c r="AC681" s="4">
        <v>2</v>
      </c>
      <c r="AD681" s="4">
        <v>14</v>
      </c>
      <c r="AE681" s="4">
        <v>14</v>
      </c>
      <c r="AF681" s="4">
        <v>5</v>
      </c>
      <c r="AG681" s="4">
        <v>5</v>
      </c>
      <c r="AH681" s="4">
        <v>3</v>
      </c>
      <c r="AI681" s="4">
        <v>3</v>
      </c>
      <c r="AJ681" s="4">
        <v>9</v>
      </c>
      <c r="AK681" s="4">
        <v>9</v>
      </c>
      <c r="AL681" s="4">
        <v>1</v>
      </c>
      <c r="AM681" s="4">
        <v>1</v>
      </c>
      <c r="AN681" s="4">
        <v>0</v>
      </c>
      <c r="AO681" s="4">
        <v>0</v>
      </c>
      <c r="AP681" s="3" t="s">
        <v>58</v>
      </c>
      <c r="AQ681" s="3" t="s">
        <v>58</v>
      </c>
      <c r="AS681" s="6" t="str">
        <f>HYPERLINK("https://creighton-primo.hosted.exlibrisgroup.com/primo-explore/search?tab=default_tab&amp;search_scope=EVERYTHING&amp;vid=01CRU&amp;lang=en_US&amp;offset=0&amp;query=any,contains,991002474149702656","Catalog Record")</f>
        <v>Catalog Record</v>
      </c>
      <c r="AT681" s="6" t="str">
        <f>HYPERLINK("http://www.worldcat.org/oclc/32205638","WorldCat Record")</f>
        <v>WorldCat Record</v>
      </c>
      <c r="AU681" s="3" t="s">
        <v>8959</v>
      </c>
      <c r="AV681" s="3" t="s">
        <v>8960</v>
      </c>
      <c r="AW681" s="3" t="s">
        <v>8961</v>
      </c>
      <c r="AX681" s="3" t="s">
        <v>8961</v>
      </c>
      <c r="AY681" s="3" t="s">
        <v>8962</v>
      </c>
      <c r="AZ681" s="3" t="s">
        <v>74</v>
      </c>
      <c r="BB681" s="3" t="s">
        <v>8963</v>
      </c>
      <c r="BC681" s="3" t="s">
        <v>8964</v>
      </c>
      <c r="BD681" s="3" t="s">
        <v>8965</v>
      </c>
    </row>
    <row r="682" spans="1:56" ht="42.75" customHeight="1" x14ac:dyDescent="0.25">
      <c r="A682" s="7" t="s">
        <v>58</v>
      </c>
      <c r="B682" s="2" t="s">
        <v>8966</v>
      </c>
      <c r="C682" s="2" t="s">
        <v>8967</v>
      </c>
      <c r="D682" s="2" t="s">
        <v>8968</v>
      </c>
      <c r="F682" s="3" t="s">
        <v>58</v>
      </c>
      <c r="G682" s="3" t="s">
        <v>59</v>
      </c>
      <c r="H682" s="3" t="s">
        <v>58</v>
      </c>
      <c r="I682" s="3" t="s">
        <v>58</v>
      </c>
      <c r="J682" s="3" t="s">
        <v>60</v>
      </c>
      <c r="L682" s="2" t="s">
        <v>8969</v>
      </c>
      <c r="M682" s="3" t="s">
        <v>3914</v>
      </c>
      <c r="O682" s="3" t="s">
        <v>64</v>
      </c>
      <c r="P682" s="3" t="s">
        <v>115</v>
      </c>
      <c r="R682" s="3" t="s">
        <v>67</v>
      </c>
      <c r="S682" s="4">
        <v>4</v>
      </c>
      <c r="T682" s="4">
        <v>4</v>
      </c>
      <c r="U682" s="5" t="s">
        <v>8366</v>
      </c>
      <c r="V682" s="5" t="s">
        <v>8366</v>
      </c>
      <c r="W682" s="5" t="s">
        <v>5422</v>
      </c>
      <c r="X682" s="5" t="s">
        <v>5422</v>
      </c>
      <c r="Y682" s="4">
        <v>583</v>
      </c>
      <c r="Z682" s="4">
        <v>513</v>
      </c>
      <c r="AA682" s="4">
        <v>534</v>
      </c>
      <c r="AB682" s="4">
        <v>7</v>
      </c>
      <c r="AC682" s="4">
        <v>7</v>
      </c>
      <c r="AD682" s="4">
        <v>19</v>
      </c>
      <c r="AE682" s="4">
        <v>22</v>
      </c>
      <c r="AF682" s="4">
        <v>5</v>
      </c>
      <c r="AG682" s="4">
        <v>6</v>
      </c>
      <c r="AH682" s="4">
        <v>3</v>
      </c>
      <c r="AI682" s="4">
        <v>5</v>
      </c>
      <c r="AJ682" s="4">
        <v>7</v>
      </c>
      <c r="AK682" s="4">
        <v>8</v>
      </c>
      <c r="AL682" s="4">
        <v>5</v>
      </c>
      <c r="AM682" s="4">
        <v>5</v>
      </c>
      <c r="AN682" s="4">
        <v>0</v>
      </c>
      <c r="AO682" s="4">
        <v>0</v>
      </c>
      <c r="AP682" s="3" t="s">
        <v>58</v>
      </c>
      <c r="AQ682" s="3" t="s">
        <v>86</v>
      </c>
      <c r="AR682" s="6" t="str">
        <f>HYPERLINK("http://catalog.hathitrust.org/Record/000725707","HathiTrust Record")</f>
        <v>HathiTrust Record</v>
      </c>
      <c r="AS682" s="6" t="str">
        <f>HYPERLINK("https://creighton-primo.hosted.exlibrisgroup.com/primo-explore/search?tab=default_tab&amp;search_scope=EVERYTHING&amp;vid=01CRU&amp;lang=en_US&amp;offset=0&amp;query=any,contains,991005050039702656","Catalog Record")</f>
        <v>Catalog Record</v>
      </c>
      <c r="AT682" s="6" t="str">
        <f>HYPERLINK("http://www.worldcat.org/oclc/6864086","WorldCat Record")</f>
        <v>WorldCat Record</v>
      </c>
      <c r="AU682" s="3" t="s">
        <v>8970</v>
      </c>
      <c r="AV682" s="3" t="s">
        <v>8971</v>
      </c>
      <c r="AW682" s="3" t="s">
        <v>8972</v>
      </c>
      <c r="AX682" s="3" t="s">
        <v>8972</v>
      </c>
      <c r="AY682" s="3" t="s">
        <v>8973</v>
      </c>
      <c r="AZ682" s="3" t="s">
        <v>74</v>
      </c>
      <c r="BB682" s="3" t="s">
        <v>8974</v>
      </c>
      <c r="BC682" s="3" t="s">
        <v>8975</v>
      </c>
      <c r="BD682" s="3" t="s">
        <v>8976</v>
      </c>
    </row>
    <row r="683" spans="1:56" ht="42.75" customHeight="1" x14ac:dyDescent="0.25">
      <c r="A683" s="7" t="s">
        <v>58</v>
      </c>
      <c r="B683" s="2" t="s">
        <v>8977</v>
      </c>
      <c r="C683" s="2" t="s">
        <v>8978</v>
      </c>
      <c r="D683" s="2" t="s">
        <v>8979</v>
      </c>
      <c r="F683" s="3" t="s">
        <v>58</v>
      </c>
      <c r="G683" s="3" t="s">
        <v>59</v>
      </c>
      <c r="H683" s="3" t="s">
        <v>58</v>
      </c>
      <c r="I683" s="3" t="s">
        <v>58</v>
      </c>
      <c r="J683" s="3" t="s">
        <v>60</v>
      </c>
      <c r="K683" s="2" t="s">
        <v>8980</v>
      </c>
      <c r="L683" s="2" t="s">
        <v>8981</v>
      </c>
      <c r="M683" s="3" t="s">
        <v>82</v>
      </c>
      <c r="N683" s="2" t="s">
        <v>1736</v>
      </c>
      <c r="O683" s="3" t="s">
        <v>64</v>
      </c>
      <c r="P683" s="3" t="s">
        <v>99</v>
      </c>
      <c r="Q683" s="2" t="s">
        <v>7599</v>
      </c>
      <c r="R683" s="3" t="s">
        <v>67</v>
      </c>
      <c r="S683" s="4">
        <v>5</v>
      </c>
      <c r="T683" s="4">
        <v>5</v>
      </c>
      <c r="U683" s="5" t="s">
        <v>8982</v>
      </c>
      <c r="V683" s="5" t="s">
        <v>8982</v>
      </c>
      <c r="W683" s="5" t="s">
        <v>8983</v>
      </c>
      <c r="X683" s="5" t="s">
        <v>8983</v>
      </c>
      <c r="Y683" s="4">
        <v>358</v>
      </c>
      <c r="Z683" s="4">
        <v>289</v>
      </c>
      <c r="AA683" s="4">
        <v>291</v>
      </c>
      <c r="AB683" s="4">
        <v>3</v>
      </c>
      <c r="AC683" s="4">
        <v>3</v>
      </c>
      <c r="AD683" s="4">
        <v>12</v>
      </c>
      <c r="AE683" s="4">
        <v>12</v>
      </c>
      <c r="AF683" s="4">
        <v>3</v>
      </c>
      <c r="AG683" s="4">
        <v>3</v>
      </c>
      <c r="AH683" s="4">
        <v>2</v>
      </c>
      <c r="AI683" s="4">
        <v>2</v>
      </c>
      <c r="AJ683" s="4">
        <v>8</v>
      </c>
      <c r="AK683" s="4">
        <v>8</v>
      </c>
      <c r="AL683" s="4">
        <v>2</v>
      </c>
      <c r="AM683" s="4">
        <v>2</v>
      </c>
      <c r="AN683" s="4">
        <v>0</v>
      </c>
      <c r="AO683" s="4">
        <v>0</v>
      </c>
      <c r="AP683" s="3" t="s">
        <v>58</v>
      </c>
      <c r="AQ683" s="3" t="s">
        <v>86</v>
      </c>
      <c r="AR683" s="6" t="str">
        <f>HYPERLINK("http://catalog.hathitrust.org/Record/000829392","HathiTrust Record")</f>
        <v>HathiTrust Record</v>
      </c>
      <c r="AS683" s="6" t="str">
        <f>HYPERLINK("https://creighton-primo.hosted.exlibrisgroup.com/primo-explore/search?tab=default_tab&amp;search_scope=EVERYTHING&amp;vid=01CRU&amp;lang=en_US&amp;offset=0&amp;query=any,contains,991000991109702656","Catalog Record")</f>
        <v>Catalog Record</v>
      </c>
      <c r="AT683" s="6" t="str">
        <f>HYPERLINK("http://www.worldcat.org/oclc/15107969","WorldCat Record")</f>
        <v>WorldCat Record</v>
      </c>
      <c r="AU683" s="3" t="s">
        <v>8984</v>
      </c>
      <c r="AV683" s="3" t="s">
        <v>8985</v>
      </c>
      <c r="AW683" s="3" t="s">
        <v>8986</v>
      </c>
      <c r="AX683" s="3" t="s">
        <v>8986</v>
      </c>
      <c r="AY683" s="3" t="s">
        <v>8987</v>
      </c>
      <c r="AZ683" s="3" t="s">
        <v>74</v>
      </c>
      <c r="BB683" s="3" t="s">
        <v>8988</v>
      </c>
      <c r="BC683" s="3" t="s">
        <v>8989</v>
      </c>
      <c r="BD683" s="3" t="s">
        <v>8990</v>
      </c>
    </row>
    <row r="684" spans="1:56" ht="42.75" customHeight="1" x14ac:dyDescent="0.25">
      <c r="A684" s="7" t="s">
        <v>58</v>
      </c>
      <c r="B684" s="2" t="s">
        <v>8991</v>
      </c>
      <c r="C684" s="2" t="s">
        <v>8992</v>
      </c>
      <c r="D684" s="2" t="s">
        <v>8993</v>
      </c>
      <c r="F684" s="3" t="s">
        <v>58</v>
      </c>
      <c r="G684" s="3" t="s">
        <v>59</v>
      </c>
      <c r="H684" s="3" t="s">
        <v>58</v>
      </c>
      <c r="I684" s="3" t="s">
        <v>58</v>
      </c>
      <c r="J684" s="3" t="s">
        <v>60</v>
      </c>
      <c r="K684" s="2" t="s">
        <v>8994</v>
      </c>
      <c r="L684" s="2" t="s">
        <v>8995</v>
      </c>
      <c r="M684" s="3" t="s">
        <v>223</v>
      </c>
      <c r="O684" s="3" t="s">
        <v>64</v>
      </c>
      <c r="P684" s="3" t="s">
        <v>99</v>
      </c>
      <c r="R684" s="3" t="s">
        <v>67</v>
      </c>
      <c r="S684" s="4">
        <v>16</v>
      </c>
      <c r="T684" s="4">
        <v>16</v>
      </c>
      <c r="U684" s="5" t="s">
        <v>8996</v>
      </c>
      <c r="V684" s="5" t="s">
        <v>8996</v>
      </c>
      <c r="W684" s="5" t="s">
        <v>8997</v>
      </c>
      <c r="X684" s="5" t="s">
        <v>8997</v>
      </c>
      <c r="Y684" s="4">
        <v>86</v>
      </c>
      <c r="Z684" s="4">
        <v>82</v>
      </c>
      <c r="AA684" s="4">
        <v>2038</v>
      </c>
      <c r="AB684" s="4">
        <v>1</v>
      </c>
      <c r="AC684" s="4">
        <v>15</v>
      </c>
      <c r="AD684" s="4">
        <v>5</v>
      </c>
      <c r="AE684" s="4">
        <v>39</v>
      </c>
      <c r="AF684" s="4">
        <v>2</v>
      </c>
      <c r="AG684" s="4">
        <v>16</v>
      </c>
      <c r="AH684" s="4">
        <v>2</v>
      </c>
      <c r="AI684" s="4">
        <v>6</v>
      </c>
      <c r="AJ684" s="4">
        <v>3</v>
      </c>
      <c r="AK684" s="4">
        <v>15</v>
      </c>
      <c r="AL684" s="4">
        <v>0</v>
      </c>
      <c r="AM684" s="4">
        <v>8</v>
      </c>
      <c r="AN684" s="4">
        <v>0</v>
      </c>
      <c r="AO684" s="4">
        <v>1</v>
      </c>
      <c r="AP684" s="3" t="s">
        <v>58</v>
      </c>
      <c r="AQ684" s="3" t="s">
        <v>86</v>
      </c>
      <c r="AR684" s="6" t="str">
        <f>HYPERLINK("http://catalog.hathitrust.org/Record/009427706","HathiTrust Record")</f>
        <v>HathiTrust Record</v>
      </c>
      <c r="AS684" s="6" t="str">
        <f>HYPERLINK("https://creighton-primo.hosted.exlibrisgroup.com/primo-explore/search?tab=default_tab&amp;search_scope=EVERYTHING&amp;vid=01CRU&amp;lang=en_US&amp;offset=0&amp;query=any,contains,991004958719702656","Catalog Record")</f>
        <v>Catalog Record</v>
      </c>
      <c r="AT684" s="6" t="str">
        <f>HYPERLINK("http://www.worldcat.org/oclc/6296543","WorldCat Record")</f>
        <v>WorldCat Record</v>
      </c>
      <c r="AU684" s="3" t="s">
        <v>8998</v>
      </c>
      <c r="AV684" s="3" t="s">
        <v>8999</v>
      </c>
      <c r="AW684" s="3" t="s">
        <v>9000</v>
      </c>
      <c r="AX684" s="3" t="s">
        <v>9000</v>
      </c>
      <c r="AY684" s="3" t="s">
        <v>9001</v>
      </c>
      <c r="AZ684" s="3" t="s">
        <v>74</v>
      </c>
      <c r="BB684" s="3" t="s">
        <v>9002</v>
      </c>
      <c r="BC684" s="3" t="s">
        <v>9003</v>
      </c>
      <c r="BD684" s="3" t="s">
        <v>9004</v>
      </c>
    </row>
    <row r="685" spans="1:56" ht="42.75" customHeight="1" x14ac:dyDescent="0.25">
      <c r="A685" s="7" t="s">
        <v>58</v>
      </c>
      <c r="B685" s="2" t="s">
        <v>9005</v>
      </c>
      <c r="C685" s="2" t="s">
        <v>9006</v>
      </c>
      <c r="D685" s="2" t="s">
        <v>9007</v>
      </c>
      <c r="F685" s="3" t="s">
        <v>58</v>
      </c>
      <c r="G685" s="3" t="s">
        <v>59</v>
      </c>
      <c r="H685" s="3" t="s">
        <v>58</v>
      </c>
      <c r="I685" s="3" t="s">
        <v>58</v>
      </c>
      <c r="J685" s="3" t="s">
        <v>60</v>
      </c>
      <c r="K685" s="2" t="s">
        <v>9008</v>
      </c>
      <c r="L685" s="2" t="s">
        <v>9009</v>
      </c>
      <c r="M685" s="3" t="s">
        <v>82</v>
      </c>
      <c r="O685" s="3" t="s">
        <v>64</v>
      </c>
      <c r="P685" s="3" t="s">
        <v>2144</v>
      </c>
      <c r="R685" s="3" t="s">
        <v>67</v>
      </c>
      <c r="S685" s="4">
        <v>21</v>
      </c>
      <c r="T685" s="4">
        <v>21</v>
      </c>
      <c r="U685" s="5" t="s">
        <v>9010</v>
      </c>
      <c r="V685" s="5" t="s">
        <v>9010</v>
      </c>
      <c r="W685" s="5" t="s">
        <v>1576</v>
      </c>
      <c r="X685" s="5" t="s">
        <v>1576</v>
      </c>
      <c r="Y685" s="4">
        <v>87</v>
      </c>
      <c r="Z685" s="4">
        <v>78</v>
      </c>
      <c r="AA685" s="4">
        <v>80</v>
      </c>
      <c r="AB685" s="4">
        <v>3</v>
      </c>
      <c r="AC685" s="4">
        <v>3</v>
      </c>
      <c r="AD685" s="4">
        <v>4</v>
      </c>
      <c r="AE685" s="4">
        <v>4</v>
      </c>
      <c r="AF685" s="4">
        <v>1</v>
      </c>
      <c r="AG685" s="4">
        <v>1</v>
      </c>
      <c r="AH685" s="4">
        <v>0</v>
      </c>
      <c r="AI685" s="4">
        <v>0</v>
      </c>
      <c r="AJ685" s="4">
        <v>1</v>
      </c>
      <c r="AK685" s="4">
        <v>1</v>
      </c>
      <c r="AL685" s="4">
        <v>2</v>
      </c>
      <c r="AM685" s="4">
        <v>2</v>
      </c>
      <c r="AN685" s="4">
        <v>0</v>
      </c>
      <c r="AO685" s="4">
        <v>0</v>
      </c>
      <c r="AP685" s="3" t="s">
        <v>58</v>
      </c>
      <c r="AQ685" s="3" t="s">
        <v>58</v>
      </c>
      <c r="AS685" s="6" t="str">
        <f>HYPERLINK("https://creighton-primo.hosted.exlibrisgroup.com/primo-explore/search?tab=default_tab&amp;search_scope=EVERYTHING&amp;vid=01CRU&amp;lang=en_US&amp;offset=0&amp;query=any,contains,991001208409702656","Catalog Record")</f>
        <v>Catalog Record</v>
      </c>
      <c r="AT685" s="6" t="str">
        <f>HYPERLINK("http://www.worldcat.org/oclc/17369820","WorldCat Record")</f>
        <v>WorldCat Record</v>
      </c>
      <c r="AU685" s="3" t="s">
        <v>9011</v>
      </c>
      <c r="AV685" s="3" t="s">
        <v>9012</v>
      </c>
      <c r="AW685" s="3" t="s">
        <v>9013</v>
      </c>
      <c r="AX685" s="3" t="s">
        <v>9013</v>
      </c>
      <c r="AY685" s="3" t="s">
        <v>9014</v>
      </c>
      <c r="AZ685" s="3" t="s">
        <v>74</v>
      </c>
      <c r="BB685" s="3" t="s">
        <v>9015</v>
      </c>
      <c r="BC685" s="3" t="s">
        <v>9016</v>
      </c>
      <c r="BD685" s="3" t="s">
        <v>9017</v>
      </c>
    </row>
    <row r="686" spans="1:56" ht="42.75" customHeight="1" x14ac:dyDescent="0.25">
      <c r="A686" s="7" t="s">
        <v>58</v>
      </c>
      <c r="B686" s="2" t="s">
        <v>9018</v>
      </c>
      <c r="C686" s="2" t="s">
        <v>9019</v>
      </c>
      <c r="D686" s="2" t="s">
        <v>9020</v>
      </c>
      <c r="F686" s="3" t="s">
        <v>58</v>
      </c>
      <c r="G686" s="3" t="s">
        <v>59</v>
      </c>
      <c r="H686" s="3" t="s">
        <v>58</v>
      </c>
      <c r="I686" s="3" t="s">
        <v>58</v>
      </c>
      <c r="J686" s="3" t="s">
        <v>60</v>
      </c>
      <c r="K686" s="2" t="s">
        <v>9021</v>
      </c>
      <c r="L686" s="2" t="s">
        <v>9022</v>
      </c>
      <c r="M686" s="3" t="s">
        <v>4296</v>
      </c>
      <c r="O686" s="3" t="s">
        <v>64</v>
      </c>
      <c r="P686" s="3" t="s">
        <v>115</v>
      </c>
      <c r="R686" s="3" t="s">
        <v>67</v>
      </c>
      <c r="S686" s="4">
        <v>5</v>
      </c>
      <c r="T686" s="4">
        <v>5</v>
      </c>
      <c r="U686" s="5" t="s">
        <v>4513</v>
      </c>
      <c r="V686" s="5" t="s">
        <v>4513</v>
      </c>
      <c r="W686" s="5" t="s">
        <v>4999</v>
      </c>
      <c r="X686" s="5" t="s">
        <v>4999</v>
      </c>
      <c r="Y686" s="4">
        <v>448</v>
      </c>
      <c r="Z686" s="4">
        <v>388</v>
      </c>
      <c r="AA686" s="4">
        <v>404</v>
      </c>
      <c r="AB686" s="4">
        <v>2</v>
      </c>
      <c r="AC686" s="4">
        <v>2</v>
      </c>
      <c r="AD686" s="4">
        <v>17</v>
      </c>
      <c r="AE686" s="4">
        <v>19</v>
      </c>
      <c r="AF686" s="4">
        <v>6</v>
      </c>
      <c r="AG686" s="4">
        <v>7</v>
      </c>
      <c r="AH686" s="4">
        <v>4</v>
      </c>
      <c r="AI686" s="4">
        <v>5</v>
      </c>
      <c r="AJ686" s="4">
        <v>13</v>
      </c>
      <c r="AK686" s="4">
        <v>13</v>
      </c>
      <c r="AL686" s="4">
        <v>1</v>
      </c>
      <c r="AM686" s="4">
        <v>1</v>
      </c>
      <c r="AN686" s="4">
        <v>0</v>
      </c>
      <c r="AO686" s="4">
        <v>0</v>
      </c>
      <c r="AP686" s="3" t="s">
        <v>58</v>
      </c>
      <c r="AQ686" s="3" t="s">
        <v>86</v>
      </c>
      <c r="AR686" s="6" t="str">
        <f>HYPERLINK("http://catalog.hathitrust.org/Record/000034846","HathiTrust Record")</f>
        <v>HathiTrust Record</v>
      </c>
      <c r="AS686" s="6" t="str">
        <f>HYPERLINK("https://creighton-primo.hosted.exlibrisgroup.com/primo-explore/search?tab=default_tab&amp;search_scope=EVERYTHING&amp;vid=01CRU&amp;lang=en_US&amp;offset=0&amp;query=any,contains,991005319089702656","Catalog Record")</f>
        <v>Catalog Record</v>
      </c>
      <c r="AT686" s="6" t="str">
        <f>HYPERLINK("http://www.worldcat.org/oclc/1121310","WorldCat Record")</f>
        <v>WorldCat Record</v>
      </c>
      <c r="AU686" s="3" t="s">
        <v>9023</v>
      </c>
      <c r="AV686" s="3" t="s">
        <v>9024</v>
      </c>
      <c r="AW686" s="3" t="s">
        <v>9025</v>
      </c>
      <c r="AX686" s="3" t="s">
        <v>9025</v>
      </c>
      <c r="AY686" s="3" t="s">
        <v>9026</v>
      </c>
      <c r="AZ686" s="3" t="s">
        <v>74</v>
      </c>
      <c r="BB686" s="3" t="s">
        <v>9027</v>
      </c>
      <c r="BC686" s="3" t="s">
        <v>9028</v>
      </c>
      <c r="BD686" s="3" t="s">
        <v>9029</v>
      </c>
    </row>
    <row r="687" spans="1:56" ht="42.75" customHeight="1" x14ac:dyDescent="0.25">
      <c r="A687" s="7" t="s">
        <v>58</v>
      </c>
      <c r="B687" s="2" t="s">
        <v>9030</v>
      </c>
      <c r="C687" s="2" t="s">
        <v>9031</v>
      </c>
      <c r="D687" s="2" t="s">
        <v>9032</v>
      </c>
      <c r="F687" s="3" t="s">
        <v>58</v>
      </c>
      <c r="G687" s="3" t="s">
        <v>59</v>
      </c>
      <c r="H687" s="3" t="s">
        <v>58</v>
      </c>
      <c r="I687" s="3" t="s">
        <v>58</v>
      </c>
      <c r="J687" s="3" t="s">
        <v>60</v>
      </c>
      <c r="K687" s="2" t="s">
        <v>6486</v>
      </c>
      <c r="L687" s="2" t="s">
        <v>9033</v>
      </c>
      <c r="M687" s="3" t="s">
        <v>371</v>
      </c>
      <c r="N687" s="2" t="s">
        <v>1844</v>
      </c>
      <c r="O687" s="3" t="s">
        <v>64</v>
      </c>
      <c r="P687" s="3" t="s">
        <v>145</v>
      </c>
      <c r="Q687" s="2" t="s">
        <v>9034</v>
      </c>
      <c r="R687" s="3" t="s">
        <v>67</v>
      </c>
      <c r="S687" s="4">
        <v>9</v>
      </c>
      <c r="T687" s="4">
        <v>9</v>
      </c>
      <c r="U687" s="5" t="s">
        <v>5328</v>
      </c>
      <c r="V687" s="5" t="s">
        <v>5328</v>
      </c>
      <c r="W687" s="5" t="s">
        <v>9035</v>
      </c>
      <c r="X687" s="5" t="s">
        <v>9035</v>
      </c>
      <c r="Y687" s="4">
        <v>398</v>
      </c>
      <c r="Z687" s="4">
        <v>338</v>
      </c>
      <c r="AA687" s="4">
        <v>717</v>
      </c>
      <c r="AB687" s="4">
        <v>3</v>
      </c>
      <c r="AC687" s="4">
        <v>3</v>
      </c>
      <c r="AD687" s="4">
        <v>13</v>
      </c>
      <c r="AE687" s="4">
        <v>23</v>
      </c>
      <c r="AF687" s="4">
        <v>4</v>
      </c>
      <c r="AG687" s="4">
        <v>6</v>
      </c>
      <c r="AH687" s="4">
        <v>3</v>
      </c>
      <c r="AI687" s="4">
        <v>6</v>
      </c>
      <c r="AJ687" s="4">
        <v>7</v>
      </c>
      <c r="AK687" s="4">
        <v>15</v>
      </c>
      <c r="AL687" s="4">
        <v>1</v>
      </c>
      <c r="AM687" s="4">
        <v>1</v>
      </c>
      <c r="AN687" s="4">
        <v>0</v>
      </c>
      <c r="AO687" s="4">
        <v>0</v>
      </c>
      <c r="AP687" s="3" t="s">
        <v>58</v>
      </c>
      <c r="AQ687" s="3" t="s">
        <v>86</v>
      </c>
      <c r="AR687" s="6" t="str">
        <f>HYPERLINK("http://catalog.hathitrust.org/Record/000423409","HathiTrust Record")</f>
        <v>HathiTrust Record</v>
      </c>
      <c r="AS687" s="6" t="str">
        <f>HYPERLINK("https://creighton-primo.hosted.exlibrisgroup.com/primo-explore/search?tab=default_tab&amp;search_scope=EVERYTHING&amp;vid=01CRU&amp;lang=en_US&amp;offset=0&amp;query=any,contains,991000565549702656","Catalog Record")</f>
        <v>Catalog Record</v>
      </c>
      <c r="AT687" s="6" t="str">
        <f>HYPERLINK("http://www.worldcat.org/oclc/11621834","WorldCat Record")</f>
        <v>WorldCat Record</v>
      </c>
      <c r="AU687" s="3" t="s">
        <v>9036</v>
      </c>
      <c r="AV687" s="3" t="s">
        <v>9037</v>
      </c>
      <c r="AW687" s="3" t="s">
        <v>9038</v>
      </c>
      <c r="AX687" s="3" t="s">
        <v>9038</v>
      </c>
      <c r="AY687" s="3" t="s">
        <v>9039</v>
      </c>
      <c r="AZ687" s="3" t="s">
        <v>74</v>
      </c>
      <c r="BB687" s="3" t="s">
        <v>9040</v>
      </c>
      <c r="BC687" s="3" t="s">
        <v>9041</v>
      </c>
      <c r="BD687" s="3" t="s">
        <v>9042</v>
      </c>
    </row>
    <row r="688" spans="1:56" ht="42.75" customHeight="1" x14ac:dyDescent="0.25">
      <c r="A688" s="7" t="s">
        <v>58</v>
      </c>
      <c r="B688" s="2" t="s">
        <v>9043</v>
      </c>
      <c r="C688" s="2" t="s">
        <v>9044</v>
      </c>
      <c r="D688" s="2" t="s">
        <v>9045</v>
      </c>
      <c r="F688" s="3" t="s">
        <v>58</v>
      </c>
      <c r="G688" s="3" t="s">
        <v>59</v>
      </c>
      <c r="H688" s="3" t="s">
        <v>58</v>
      </c>
      <c r="I688" s="3" t="s">
        <v>58</v>
      </c>
      <c r="J688" s="3" t="s">
        <v>60</v>
      </c>
      <c r="K688" s="2" t="s">
        <v>9046</v>
      </c>
      <c r="L688" s="2" t="s">
        <v>9047</v>
      </c>
      <c r="M688" s="3" t="s">
        <v>177</v>
      </c>
      <c r="O688" s="3" t="s">
        <v>64</v>
      </c>
      <c r="P688" s="3" t="s">
        <v>359</v>
      </c>
      <c r="R688" s="3" t="s">
        <v>67</v>
      </c>
      <c r="S688" s="4">
        <v>1</v>
      </c>
      <c r="T688" s="4">
        <v>1</v>
      </c>
      <c r="U688" s="5" t="s">
        <v>8795</v>
      </c>
      <c r="V688" s="5" t="s">
        <v>8795</v>
      </c>
      <c r="W688" s="5" t="s">
        <v>4124</v>
      </c>
      <c r="X688" s="5" t="s">
        <v>4124</v>
      </c>
      <c r="Y688" s="4">
        <v>541</v>
      </c>
      <c r="Z688" s="4">
        <v>461</v>
      </c>
      <c r="AA688" s="4">
        <v>515</v>
      </c>
      <c r="AB688" s="4">
        <v>3</v>
      </c>
      <c r="AC688" s="4">
        <v>4</v>
      </c>
      <c r="AD688" s="4">
        <v>18</v>
      </c>
      <c r="AE688" s="4">
        <v>21</v>
      </c>
      <c r="AF688" s="4">
        <v>5</v>
      </c>
      <c r="AG688" s="4">
        <v>5</v>
      </c>
      <c r="AH688" s="4">
        <v>2</v>
      </c>
      <c r="AI688" s="4">
        <v>3</v>
      </c>
      <c r="AJ688" s="4">
        <v>10</v>
      </c>
      <c r="AK688" s="4">
        <v>12</v>
      </c>
      <c r="AL688" s="4">
        <v>2</v>
      </c>
      <c r="AM688" s="4">
        <v>3</v>
      </c>
      <c r="AN688" s="4">
        <v>1</v>
      </c>
      <c r="AO688" s="4">
        <v>1</v>
      </c>
      <c r="AP688" s="3" t="s">
        <v>58</v>
      </c>
      <c r="AQ688" s="3" t="s">
        <v>86</v>
      </c>
      <c r="AR688" s="6" t="str">
        <f>HYPERLINK("http://catalog.hathitrust.org/Record/000010562","HathiTrust Record")</f>
        <v>HathiTrust Record</v>
      </c>
      <c r="AS688" s="6" t="str">
        <f>HYPERLINK("https://creighton-primo.hosted.exlibrisgroup.com/primo-explore/search?tab=default_tab&amp;search_scope=EVERYTHING&amp;vid=01CRU&amp;lang=en_US&amp;offset=0&amp;query=any,contains,991003206089702656","Catalog Record")</f>
        <v>Catalog Record</v>
      </c>
      <c r="AT688" s="6" t="str">
        <f>HYPERLINK("http://www.worldcat.org/oclc/730813","WorldCat Record")</f>
        <v>WorldCat Record</v>
      </c>
      <c r="AU688" s="3" t="s">
        <v>9048</v>
      </c>
      <c r="AV688" s="3" t="s">
        <v>9049</v>
      </c>
      <c r="AW688" s="3" t="s">
        <v>9050</v>
      </c>
      <c r="AX688" s="3" t="s">
        <v>9050</v>
      </c>
      <c r="AY688" s="3" t="s">
        <v>9051</v>
      </c>
      <c r="AZ688" s="3" t="s">
        <v>74</v>
      </c>
      <c r="BB688" s="3" t="s">
        <v>9052</v>
      </c>
      <c r="BC688" s="3" t="s">
        <v>9053</v>
      </c>
      <c r="BD688" s="3" t="s">
        <v>9054</v>
      </c>
    </row>
    <row r="689" spans="1:56" ht="42.75" customHeight="1" x14ac:dyDescent="0.25">
      <c r="A689" s="7" t="s">
        <v>58</v>
      </c>
      <c r="B689" s="2" t="s">
        <v>9055</v>
      </c>
      <c r="C689" s="2" t="s">
        <v>9056</v>
      </c>
      <c r="D689" s="2" t="s">
        <v>9057</v>
      </c>
      <c r="F689" s="3" t="s">
        <v>58</v>
      </c>
      <c r="G689" s="3" t="s">
        <v>59</v>
      </c>
      <c r="H689" s="3" t="s">
        <v>58</v>
      </c>
      <c r="I689" s="3" t="s">
        <v>58</v>
      </c>
      <c r="J689" s="3" t="s">
        <v>60</v>
      </c>
      <c r="L689" s="2" t="s">
        <v>9058</v>
      </c>
      <c r="M689" s="3" t="s">
        <v>2227</v>
      </c>
      <c r="O689" s="3" t="s">
        <v>64</v>
      </c>
      <c r="P689" s="3" t="s">
        <v>115</v>
      </c>
      <c r="R689" s="3" t="s">
        <v>67</v>
      </c>
      <c r="S689" s="4">
        <v>2</v>
      </c>
      <c r="T689" s="4">
        <v>2</v>
      </c>
      <c r="U689" s="5" t="s">
        <v>9059</v>
      </c>
      <c r="V689" s="5" t="s">
        <v>9059</v>
      </c>
      <c r="W689" s="5" t="s">
        <v>4730</v>
      </c>
      <c r="X689" s="5" t="s">
        <v>4730</v>
      </c>
      <c r="Y689" s="4">
        <v>335</v>
      </c>
      <c r="Z689" s="4">
        <v>288</v>
      </c>
      <c r="AA689" s="4">
        <v>299</v>
      </c>
      <c r="AB689" s="4">
        <v>2</v>
      </c>
      <c r="AC689" s="4">
        <v>2</v>
      </c>
      <c r="AD689" s="4">
        <v>13</v>
      </c>
      <c r="AE689" s="4">
        <v>13</v>
      </c>
      <c r="AF689" s="4">
        <v>3</v>
      </c>
      <c r="AG689" s="4">
        <v>3</v>
      </c>
      <c r="AH689" s="4">
        <v>4</v>
      </c>
      <c r="AI689" s="4">
        <v>4</v>
      </c>
      <c r="AJ689" s="4">
        <v>8</v>
      </c>
      <c r="AK689" s="4">
        <v>8</v>
      </c>
      <c r="AL689" s="4">
        <v>1</v>
      </c>
      <c r="AM689" s="4">
        <v>1</v>
      </c>
      <c r="AN689" s="4">
        <v>0</v>
      </c>
      <c r="AO689" s="4">
        <v>0</v>
      </c>
      <c r="AP689" s="3" t="s">
        <v>58</v>
      </c>
      <c r="AQ689" s="3" t="s">
        <v>86</v>
      </c>
      <c r="AR689" s="6" t="str">
        <f>HYPERLINK("http://catalog.hathitrust.org/Record/000461090","HathiTrust Record")</f>
        <v>HathiTrust Record</v>
      </c>
      <c r="AS689" s="6" t="str">
        <f>HYPERLINK("https://creighton-primo.hosted.exlibrisgroup.com/primo-explore/search?tab=default_tab&amp;search_scope=EVERYTHING&amp;vid=01CRU&amp;lang=en_US&amp;offset=0&amp;query=any,contains,991000567739702656","Catalog Record")</f>
        <v>Catalog Record</v>
      </c>
      <c r="AT689" s="6" t="str">
        <f>HYPERLINK("http://www.worldcat.org/oclc/11623383","WorldCat Record")</f>
        <v>WorldCat Record</v>
      </c>
      <c r="AU689" s="3" t="s">
        <v>9060</v>
      </c>
      <c r="AV689" s="3" t="s">
        <v>9061</v>
      </c>
      <c r="AW689" s="3" t="s">
        <v>9062</v>
      </c>
      <c r="AX689" s="3" t="s">
        <v>9062</v>
      </c>
      <c r="AY689" s="3" t="s">
        <v>9063</v>
      </c>
      <c r="AZ689" s="3" t="s">
        <v>74</v>
      </c>
      <c r="BB689" s="3" t="s">
        <v>9064</v>
      </c>
      <c r="BC689" s="3" t="s">
        <v>9065</v>
      </c>
      <c r="BD689" s="3" t="s">
        <v>9066</v>
      </c>
    </row>
    <row r="690" spans="1:56" ht="42.75" customHeight="1" x14ac:dyDescent="0.25">
      <c r="A690" s="7" t="s">
        <v>58</v>
      </c>
      <c r="B690" s="2" t="s">
        <v>9067</v>
      </c>
      <c r="C690" s="2" t="s">
        <v>9068</v>
      </c>
      <c r="D690" s="2" t="s">
        <v>9069</v>
      </c>
      <c r="F690" s="3" t="s">
        <v>58</v>
      </c>
      <c r="G690" s="3" t="s">
        <v>59</v>
      </c>
      <c r="H690" s="3" t="s">
        <v>58</v>
      </c>
      <c r="I690" s="3" t="s">
        <v>58</v>
      </c>
      <c r="J690" s="3" t="s">
        <v>60</v>
      </c>
      <c r="K690" s="2" t="s">
        <v>9070</v>
      </c>
      <c r="L690" s="2" t="s">
        <v>9071</v>
      </c>
      <c r="M690" s="3" t="s">
        <v>2770</v>
      </c>
      <c r="O690" s="3" t="s">
        <v>64</v>
      </c>
      <c r="P690" s="3" t="s">
        <v>99</v>
      </c>
      <c r="R690" s="3" t="s">
        <v>67</v>
      </c>
      <c r="S690" s="4">
        <v>1</v>
      </c>
      <c r="T690" s="4">
        <v>1</v>
      </c>
      <c r="U690" s="5" t="s">
        <v>9072</v>
      </c>
      <c r="V690" s="5" t="s">
        <v>9072</v>
      </c>
      <c r="W690" s="5" t="s">
        <v>4730</v>
      </c>
      <c r="X690" s="5" t="s">
        <v>4730</v>
      </c>
      <c r="Y690" s="4">
        <v>346</v>
      </c>
      <c r="Z690" s="4">
        <v>308</v>
      </c>
      <c r="AA690" s="4">
        <v>337</v>
      </c>
      <c r="AB690" s="4">
        <v>2</v>
      </c>
      <c r="AC690" s="4">
        <v>2</v>
      </c>
      <c r="AD690" s="4">
        <v>22</v>
      </c>
      <c r="AE690" s="4">
        <v>23</v>
      </c>
      <c r="AF690" s="4">
        <v>5</v>
      </c>
      <c r="AG690" s="4">
        <v>5</v>
      </c>
      <c r="AH690" s="4">
        <v>6</v>
      </c>
      <c r="AI690" s="4">
        <v>6</v>
      </c>
      <c r="AJ690" s="4">
        <v>16</v>
      </c>
      <c r="AK690" s="4">
        <v>17</v>
      </c>
      <c r="AL690" s="4">
        <v>1</v>
      </c>
      <c r="AM690" s="4">
        <v>1</v>
      </c>
      <c r="AN690" s="4">
        <v>0</v>
      </c>
      <c r="AO690" s="4">
        <v>0</v>
      </c>
      <c r="AP690" s="3" t="s">
        <v>58</v>
      </c>
      <c r="AQ690" s="3" t="s">
        <v>58</v>
      </c>
      <c r="AS690" s="6" t="str">
        <f>HYPERLINK("https://creighton-primo.hosted.exlibrisgroup.com/primo-explore/search?tab=default_tab&amp;search_scope=EVERYTHING&amp;vid=01CRU&amp;lang=en_US&amp;offset=0&amp;query=any,contains,991004538349702656","Catalog Record")</f>
        <v>Catalog Record</v>
      </c>
      <c r="AT690" s="6" t="str">
        <f>HYPERLINK("http://www.worldcat.org/oclc/3882469","WorldCat Record")</f>
        <v>WorldCat Record</v>
      </c>
      <c r="AU690" s="3" t="s">
        <v>9073</v>
      </c>
      <c r="AV690" s="3" t="s">
        <v>9074</v>
      </c>
      <c r="AW690" s="3" t="s">
        <v>9075</v>
      </c>
      <c r="AX690" s="3" t="s">
        <v>9075</v>
      </c>
      <c r="AY690" s="3" t="s">
        <v>9076</v>
      </c>
      <c r="AZ690" s="3" t="s">
        <v>74</v>
      </c>
      <c r="BB690" s="3" t="s">
        <v>9077</v>
      </c>
      <c r="BC690" s="3" t="s">
        <v>9078</v>
      </c>
      <c r="BD690" s="3" t="s">
        <v>9079</v>
      </c>
    </row>
    <row r="691" spans="1:56" ht="42.75" customHeight="1" x14ac:dyDescent="0.25">
      <c r="A691" s="7" t="s">
        <v>58</v>
      </c>
      <c r="B691" s="2" t="s">
        <v>9080</v>
      </c>
      <c r="C691" s="2" t="s">
        <v>9081</v>
      </c>
      <c r="D691" s="2" t="s">
        <v>9082</v>
      </c>
      <c r="F691" s="3" t="s">
        <v>58</v>
      </c>
      <c r="G691" s="3" t="s">
        <v>59</v>
      </c>
      <c r="H691" s="3" t="s">
        <v>58</v>
      </c>
      <c r="I691" s="3" t="s">
        <v>58</v>
      </c>
      <c r="J691" s="3" t="s">
        <v>60</v>
      </c>
      <c r="K691" s="2" t="s">
        <v>9083</v>
      </c>
      <c r="L691" s="2" t="s">
        <v>9084</v>
      </c>
      <c r="M691" s="3" t="s">
        <v>695</v>
      </c>
      <c r="O691" s="3" t="s">
        <v>64</v>
      </c>
      <c r="P691" s="3" t="s">
        <v>115</v>
      </c>
      <c r="R691" s="3" t="s">
        <v>67</v>
      </c>
      <c r="S691" s="4">
        <v>4</v>
      </c>
      <c r="T691" s="4">
        <v>4</v>
      </c>
      <c r="U691" s="5" t="s">
        <v>9085</v>
      </c>
      <c r="V691" s="5" t="s">
        <v>9085</v>
      </c>
      <c r="W691" s="5" t="s">
        <v>9086</v>
      </c>
      <c r="X691" s="5" t="s">
        <v>9086</v>
      </c>
      <c r="Y691" s="4">
        <v>366</v>
      </c>
      <c r="Z691" s="4">
        <v>313</v>
      </c>
      <c r="AA691" s="4">
        <v>314</v>
      </c>
      <c r="AB691" s="4">
        <v>3</v>
      </c>
      <c r="AC691" s="4">
        <v>3</v>
      </c>
      <c r="AD691" s="4">
        <v>22</v>
      </c>
      <c r="AE691" s="4">
        <v>22</v>
      </c>
      <c r="AF691" s="4">
        <v>5</v>
      </c>
      <c r="AG691" s="4">
        <v>5</v>
      </c>
      <c r="AH691" s="4">
        <v>7</v>
      </c>
      <c r="AI691" s="4">
        <v>7</v>
      </c>
      <c r="AJ691" s="4">
        <v>16</v>
      </c>
      <c r="AK691" s="4">
        <v>16</v>
      </c>
      <c r="AL691" s="4">
        <v>2</v>
      </c>
      <c r="AM691" s="4">
        <v>2</v>
      </c>
      <c r="AN691" s="4">
        <v>0</v>
      </c>
      <c r="AO691" s="4">
        <v>0</v>
      </c>
      <c r="AP691" s="3" t="s">
        <v>58</v>
      </c>
      <c r="AQ691" s="3" t="s">
        <v>58</v>
      </c>
      <c r="AS691" s="6" t="str">
        <f>HYPERLINK("https://creighton-primo.hosted.exlibrisgroup.com/primo-explore/search?tab=default_tab&amp;search_scope=EVERYTHING&amp;vid=01CRU&amp;lang=en_US&amp;offset=0&amp;query=any,contains,991002203449702656","Catalog Record")</f>
        <v>Catalog Record</v>
      </c>
      <c r="AT691" s="6" t="str">
        <f>HYPERLINK("http://www.worldcat.org/oclc/28338620","WorldCat Record")</f>
        <v>WorldCat Record</v>
      </c>
      <c r="AU691" s="3" t="s">
        <v>9087</v>
      </c>
      <c r="AV691" s="3" t="s">
        <v>9088</v>
      </c>
      <c r="AW691" s="3" t="s">
        <v>9089</v>
      </c>
      <c r="AX691" s="3" t="s">
        <v>9089</v>
      </c>
      <c r="AY691" s="3" t="s">
        <v>9090</v>
      </c>
      <c r="AZ691" s="3" t="s">
        <v>74</v>
      </c>
      <c r="BB691" s="3" t="s">
        <v>9091</v>
      </c>
      <c r="BC691" s="3" t="s">
        <v>9092</v>
      </c>
      <c r="BD691" s="3" t="s">
        <v>9093</v>
      </c>
    </row>
    <row r="692" spans="1:56" ht="42.75" customHeight="1" x14ac:dyDescent="0.25">
      <c r="A692" s="7" t="s">
        <v>58</v>
      </c>
      <c r="B692" s="2" t="s">
        <v>9094</v>
      </c>
      <c r="C692" s="2" t="s">
        <v>9095</v>
      </c>
      <c r="D692" s="2" t="s">
        <v>9096</v>
      </c>
      <c r="F692" s="3" t="s">
        <v>58</v>
      </c>
      <c r="G692" s="3" t="s">
        <v>59</v>
      </c>
      <c r="H692" s="3" t="s">
        <v>58</v>
      </c>
      <c r="I692" s="3" t="s">
        <v>58</v>
      </c>
      <c r="J692" s="3" t="s">
        <v>60</v>
      </c>
      <c r="K692" s="2" t="s">
        <v>9097</v>
      </c>
      <c r="L692" s="2" t="s">
        <v>9098</v>
      </c>
      <c r="M692" s="3" t="s">
        <v>4296</v>
      </c>
      <c r="O692" s="3" t="s">
        <v>64</v>
      </c>
      <c r="P692" s="3" t="s">
        <v>115</v>
      </c>
      <c r="R692" s="3" t="s">
        <v>67</v>
      </c>
      <c r="S692" s="4">
        <v>20</v>
      </c>
      <c r="T692" s="4">
        <v>20</v>
      </c>
      <c r="U692" s="5" t="s">
        <v>9099</v>
      </c>
      <c r="V692" s="5" t="s">
        <v>9099</v>
      </c>
      <c r="W692" s="5" t="s">
        <v>1589</v>
      </c>
      <c r="X692" s="5" t="s">
        <v>1589</v>
      </c>
      <c r="Y692" s="4">
        <v>668</v>
      </c>
      <c r="Z692" s="4">
        <v>594</v>
      </c>
      <c r="AA692" s="4">
        <v>787</v>
      </c>
      <c r="AB692" s="4">
        <v>4</v>
      </c>
      <c r="AC692" s="4">
        <v>5</v>
      </c>
      <c r="AD692" s="4">
        <v>18</v>
      </c>
      <c r="AE692" s="4">
        <v>24</v>
      </c>
      <c r="AF692" s="4">
        <v>7</v>
      </c>
      <c r="AG692" s="4">
        <v>9</v>
      </c>
      <c r="AH692" s="4">
        <v>2</v>
      </c>
      <c r="AI692" s="4">
        <v>3</v>
      </c>
      <c r="AJ692" s="4">
        <v>13</v>
      </c>
      <c r="AK692" s="4">
        <v>16</v>
      </c>
      <c r="AL692" s="4">
        <v>1</v>
      </c>
      <c r="AM692" s="4">
        <v>2</v>
      </c>
      <c r="AN692" s="4">
        <v>0</v>
      </c>
      <c r="AO692" s="4">
        <v>0</v>
      </c>
      <c r="AP692" s="3" t="s">
        <v>58</v>
      </c>
      <c r="AQ692" s="3" t="s">
        <v>86</v>
      </c>
      <c r="AR692" s="6" t="str">
        <f>HYPERLINK("http://catalog.hathitrust.org/Record/000032169","HathiTrust Record")</f>
        <v>HathiTrust Record</v>
      </c>
      <c r="AS692" s="6" t="str">
        <f>HYPERLINK("https://creighton-primo.hosted.exlibrisgroup.com/primo-explore/search?tab=default_tab&amp;search_scope=EVERYTHING&amp;vid=01CRU&amp;lang=en_US&amp;offset=0&amp;query=any,contains,991003827459702656","Catalog Record")</f>
        <v>Catalog Record</v>
      </c>
      <c r="AT692" s="6" t="str">
        <f>HYPERLINK("http://www.worldcat.org/oclc/1580592","WorldCat Record")</f>
        <v>WorldCat Record</v>
      </c>
      <c r="AU692" s="3" t="s">
        <v>9100</v>
      </c>
      <c r="AV692" s="3" t="s">
        <v>9101</v>
      </c>
      <c r="AW692" s="3" t="s">
        <v>9102</v>
      </c>
      <c r="AX692" s="3" t="s">
        <v>9102</v>
      </c>
      <c r="AY692" s="3" t="s">
        <v>9103</v>
      </c>
      <c r="AZ692" s="3" t="s">
        <v>74</v>
      </c>
      <c r="BB692" s="3" t="s">
        <v>9104</v>
      </c>
      <c r="BC692" s="3" t="s">
        <v>9105</v>
      </c>
      <c r="BD692" s="3" t="s">
        <v>9106</v>
      </c>
    </row>
    <row r="693" spans="1:56" ht="42.75" customHeight="1" x14ac:dyDescent="0.25">
      <c r="A693" s="7" t="s">
        <v>58</v>
      </c>
      <c r="B693" s="2" t="s">
        <v>9107</v>
      </c>
      <c r="C693" s="2" t="s">
        <v>9108</v>
      </c>
      <c r="D693" s="2" t="s">
        <v>9109</v>
      </c>
      <c r="F693" s="3" t="s">
        <v>58</v>
      </c>
      <c r="G693" s="3" t="s">
        <v>59</v>
      </c>
      <c r="H693" s="3" t="s">
        <v>58</v>
      </c>
      <c r="I693" s="3" t="s">
        <v>58</v>
      </c>
      <c r="J693" s="3" t="s">
        <v>60</v>
      </c>
      <c r="L693" s="2" t="s">
        <v>9110</v>
      </c>
      <c r="M693" s="3" t="s">
        <v>344</v>
      </c>
      <c r="O693" s="3" t="s">
        <v>64</v>
      </c>
      <c r="P693" s="3" t="s">
        <v>115</v>
      </c>
      <c r="R693" s="3" t="s">
        <v>67</v>
      </c>
      <c r="S693" s="4">
        <v>7</v>
      </c>
      <c r="T693" s="4">
        <v>7</v>
      </c>
      <c r="U693" s="5" t="s">
        <v>8562</v>
      </c>
      <c r="V693" s="5" t="s">
        <v>8562</v>
      </c>
      <c r="W693" s="5" t="s">
        <v>4848</v>
      </c>
      <c r="X693" s="5" t="s">
        <v>4848</v>
      </c>
      <c r="Y693" s="4">
        <v>326</v>
      </c>
      <c r="Z693" s="4">
        <v>235</v>
      </c>
      <c r="AA693" s="4">
        <v>257</v>
      </c>
      <c r="AB693" s="4">
        <v>3</v>
      </c>
      <c r="AC693" s="4">
        <v>3</v>
      </c>
      <c r="AD693" s="4">
        <v>9</v>
      </c>
      <c r="AE693" s="4">
        <v>11</v>
      </c>
      <c r="AF693" s="4">
        <v>4</v>
      </c>
      <c r="AG693" s="4">
        <v>6</v>
      </c>
      <c r="AH693" s="4">
        <v>0</v>
      </c>
      <c r="AI693" s="4">
        <v>0</v>
      </c>
      <c r="AJ693" s="4">
        <v>4</v>
      </c>
      <c r="AK693" s="4">
        <v>5</v>
      </c>
      <c r="AL693" s="4">
        <v>2</v>
      </c>
      <c r="AM693" s="4">
        <v>2</v>
      </c>
      <c r="AN693" s="4">
        <v>0</v>
      </c>
      <c r="AO693" s="4">
        <v>0</v>
      </c>
      <c r="AP693" s="3" t="s">
        <v>58</v>
      </c>
      <c r="AQ693" s="3" t="s">
        <v>86</v>
      </c>
      <c r="AR693" s="6" t="str">
        <f>HYPERLINK("http://catalog.hathitrust.org/Record/000265007","HathiTrust Record")</f>
        <v>HathiTrust Record</v>
      </c>
      <c r="AS693" s="6" t="str">
        <f>HYPERLINK("https://creighton-primo.hosted.exlibrisgroup.com/primo-explore/search?tab=default_tab&amp;search_scope=EVERYTHING&amp;vid=01CRU&amp;lang=en_US&amp;offset=0&amp;query=any,contains,991004778739702656","Catalog Record")</f>
        <v>Catalog Record</v>
      </c>
      <c r="AT693" s="6" t="str">
        <f>HYPERLINK("http://www.worldcat.org/oclc/5101941","WorldCat Record")</f>
        <v>WorldCat Record</v>
      </c>
      <c r="AU693" s="3" t="s">
        <v>9111</v>
      </c>
      <c r="AV693" s="3" t="s">
        <v>9112</v>
      </c>
      <c r="AW693" s="3" t="s">
        <v>9113</v>
      </c>
      <c r="AX693" s="3" t="s">
        <v>9113</v>
      </c>
      <c r="AY693" s="3" t="s">
        <v>9114</v>
      </c>
      <c r="AZ693" s="3" t="s">
        <v>74</v>
      </c>
      <c r="BB693" s="3" t="s">
        <v>9115</v>
      </c>
      <c r="BC693" s="3" t="s">
        <v>9116</v>
      </c>
      <c r="BD693" s="3" t="s">
        <v>9117</v>
      </c>
    </row>
    <row r="694" spans="1:56" ht="42.75" customHeight="1" x14ac:dyDescent="0.25">
      <c r="A694" s="7" t="s">
        <v>58</v>
      </c>
      <c r="B694" s="2" t="s">
        <v>9118</v>
      </c>
      <c r="C694" s="2" t="s">
        <v>9119</v>
      </c>
      <c r="D694" s="2" t="s">
        <v>9120</v>
      </c>
      <c r="F694" s="3" t="s">
        <v>58</v>
      </c>
      <c r="G694" s="3" t="s">
        <v>59</v>
      </c>
      <c r="H694" s="3" t="s">
        <v>58</v>
      </c>
      <c r="I694" s="3" t="s">
        <v>58</v>
      </c>
      <c r="J694" s="3" t="s">
        <v>60</v>
      </c>
      <c r="K694" s="2" t="s">
        <v>9121</v>
      </c>
      <c r="L694" s="2" t="s">
        <v>9122</v>
      </c>
      <c r="M694" s="3" t="s">
        <v>344</v>
      </c>
      <c r="O694" s="3" t="s">
        <v>64</v>
      </c>
      <c r="P694" s="3" t="s">
        <v>9123</v>
      </c>
      <c r="R694" s="3" t="s">
        <v>67</v>
      </c>
      <c r="S694" s="4">
        <v>2</v>
      </c>
      <c r="T694" s="4">
        <v>2</v>
      </c>
      <c r="U694" s="5" t="s">
        <v>9124</v>
      </c>
      <c r="V694" s="5" t="s">
        <v>9124</v>
      </c>
      <c r="W694" s="5" t="s">
        <v>4730</v>
      </c>
      <c r="X694" s="5" t="s">
        <v>4730</v>
      </c>
      <c r="Y694" s="4">
        <v>658</v>
      </c>
      <c r="Z694" s="4">
        <v>575</v>
      </c>
      <c r="AA694" s="4">
        <v>875</v>
      </c>
      <c r="AB694" s="4">
        <v>4</v>
      </c>
      <c r="AC694" s="4">
        <v>5</v>
      </c>
      <c r="AD694" s="4">
        <v>25</v>
      </c>
      <c r="AE694" s="4">
        <v>28</v>
      </c>
      <c r="AF694" s="4">
        <v>12</v>
      </c>
      <c r="AG694" s="4">
        <v>13</v>
      </c>
      <c r="AH694" s="4">
        <v>3</v>
      </c>
      <c r="AI694" s="4">
        <v>3</v>
      </c>
      <c r="AJ694" s="4">
        <v>11</v>
      </c>
      <c r="AK694" s="4">
        <v>13</v>
      </c>
      <c r="AL694" s="4">
        <v>3</v>
      </c>
      <c r="AM694" s="4">
        <v>4</v>
      </c>
      <c r="AN694" s="4">
        <v>0</v>
      </c>
      <c r="AO694" s="4">
        <v>0</v>
      </c>
      <c r="AP694" s="3" t="s">
        <v>58</v>
      </c>
      <c r="AQ694" s="3" t="s">
        <v>86</v>
      </c>
      <c r="AR694" s="6" t="str">
        <f>HYPERLINK("http://catalog.hathitrust.org/Record/000224338","HathiTrust Record")</f>
        <v>HathiTrust Record</v>
      </c>
      <c r="AS694" s="6" t="str">
        <f>HYPERLINK("https://creighton-primo.hosted.exlibrisgroup.com/primo-explore/search?tab=default_tab&amp;search_scope=EVERYTHING&amp;vid=01CRU&amp;lang=en_US&amp;offset=0&amp;query=any,contains,991004984359702656","Catalog Record")</f>
        <v>Catalog Record</v>
      </c>
      <c r="AT694" s="6" t="str">
        <f>HYPERLINK("http://www.worldcat.org/oclc/6446708","WorldCat Record")</f>
        <v>WorldCat Record</v>
      </c>
      <c r="AU694" s="3" t="s">
        <v>9125</v>
      </c>
      <c r="AV694" s="3" t="s">
        <v>9126</v>
      </c>
      <c r="AW694" s="3" t="s">
        <v>9127</v>
      </c>
      <c r="AX694" s="3" t="s">
        <v>9127</v>
      </c>
      <c r="AY694" s="3" t="s">
        <v>9128</v>
      </c>
      <c r="AZ694" s="3" t="s">
        <v>74</v>
      </c>
      <c r="BB694" s="3" t="s">
        <v>9129</v>
      </c>
      <c r="BC694" s="3" t="s">
        <v>9130</v>
      </c>
      <c r="BD694" s="3" t="s">
        <v>9131</v>
      </c>
    </row>
    <row r="695" spans="1:56" ht="42.75" customHeight="1" x14ac:dyDescent="0.25">
      <c r="A695" s="7" t="s">
        <v>58</v>
      </c>
      <c r="B695" s="2" t="s">
        <v>9132</v>
      </c>
      <c r="C695" s="2" t="s">
        <v>9133</v>
      </c>
      <c r="D695" s="2" t="s">
        <v>9134</v>
      </c>
      <c r="F695" s="3" t="s">
        <v>58</v>
      </c>
      <c r="G695" s="3" t="s">
        <v>59</v>
      </c>
      <c r="H695" s="3" t="s">
        <v>58</v>
      </c>
      <c r="I695" s="3" t="s">
        <v>58</v>
      </c>
      <c r="J695" s="3" t="s">
        <v>60</v>
      </c>
      <c r="K695" s="2" t="s">
        <v>9135</v>
      </c>
      <c r="L695" s="2" t="s">
        <v>9136</v>
      </c>
      <c r="M695" s="3" t="s">
        <v>63</v>
      </c>
      <c r="O695" s="3" t="s">
        <v>64</v>
      </c>
      <c r="P695" s="3" t="s">
        <v>115</v>
      </c>
      <c r="Q695" s="2" t="s">
        <v>9137</v>
      </c>
      <c r="R695" s="3" t="s">
        <v>67</v>
      </c>
      <c r="S695" s="4">
        <v>3</v>
      </c>
      <c r="T695" s="4">
        <v>3</v>
      </c>
      <c r="U695" s="5" t="s">
        <v>9138</v>
      </c>
      <c r="V695" s="5" t="s">
        <v>9138</v>
      </c>
      <c r="W695" s="5" t="s">
        <v>3528</v>
      </c>
      <c r="X695" s="5" t="s">
        <v>3528</v>
      </c>
      <c r="Y695" s="4">
        <v>168</v>
      </c>
      <c r="Z695" s="4">
        <v>129</v>
      </c>
      <c r="AA695" s="4">
        <v>131</v>
      </c>
      <c r="AB695" s="4">
        <v>2</v>
      </c>
      <c r="AC695" s="4">
        <v>2</v>
      </c>
      <c r="AD695" s="4">
        <v>7</v>
      </c>
      <c r="AE695" s="4">
        <v>7</v>
      </c>
      <c r="AF695" s="4">
        <v>2</v>
      </c>
      <c r="AG695" s="4">
        <v>2</v>
      </c>
      <c r="AH695" s="4">
        <v>0</v>
      </c>
      <c r="AI695" s="4">
        <v>0</v>
      </c>
      <c r="AJ695" s="4">
        <v>5</v>
      </c>
      <c r="AK695" s="4">
        <v>5</v>
      </c>
      <c r="AL695" s="4">
        <v>1</v>
      </c>
      <c r="AM695" s="4">
        <v>1</v>
      </c>
      <c r="AN695" s="4">
        <v>0</v>
      </c>
      <c r="AO695" s="4">
        <v>0</v>
      </c>
      <c r="AP695" s="3" t="s">
        <v>58</v>
      </c>
      <c r="AQ695" s="3" t="s">
        <v>86</v>
      </c>
      <c r="AR695" s="6" t="str">
        <f>HYPERLINK("http://catalog.hathitrust.org/Record/000355366","HathiTrust Record")</f>
        <v>HathiTrust Record</v>
      </c>
      <c r="AS695" s="6" t="str">
        <f>HYPERLINK("https://creighton-primo.hosted.exlibrisgroup.com/primo-explore/search?tab=default_tab&amp;search_scope=EVERYTHING&amp;vid=01CRU&amp;lang=en_US&amp;offset=0&amp;query=any,contains,991000135749702656","Catalog Record")</f>
        <v>Catalog Record</v>
      </c>
      <c r="AT695" s="6" t="str">
        <f>HYPERLINK("http://www.worldcat.org/oclc/9132770","WorldCat Record")</f>
        <v>WorldCat Record</v>
      </c>
      <c r="AU695" s="3" t="s">
        <v>9139</v>
      </c>
      <c r="AV695" s="3" t="s">
        <v>9140</v>
      </c>
      <c r="AW695" s="3" t="s">
        <v>9141</v>
      </c>
      <c r="AX695" s="3" t="s">
        <v>9141</v>
      </c>
      <c r="AY695" s="3" t="s">
        <v>9142</v>
      </c>
      <c r="AZ695" s="3" t="s">
        <v>74</v>
      </c>
      <c r="BB695" s="3" t="s">
        <v>9143</v>
      </c>
      <c r="BC695" s="3" t="s">
        <v>9144</v>
      </c>
      <c r="BD695" s="3" t="s">
        <v>9145</v>
      </c>
    </row>
    <row r="696" spans="1:56" ht="42.75" customHeight="1" x14ac:dyDescent="0.25">
      <c r="A696" s="7" t="s">
        <v>58</v>
      </c>
      <c r="B696" s="2" t="s">
        <v>9146</v>
      </c>
      <c r="C696" s="2" t="s">
        <v>9147</v>
      </c>
      <c r="D696" s="2" t="s">
        <v>9148</v>
      </c>
      <c r="F696" s="3" t="s">
        <v>58</v>
      </c>
      <c r="G696" s="3" t="s">
        <v>59</v>
      </c>
      <c r="H696" s="3" t="s">
        <v>58</v>
      </c>
      <c r="I696" s="3" t="s">
        <v>58</v>
      </c>
      <c r="J696" s="3" t="s">
        <v>60</v>
      </c>
      <c r="K696" s="2" t="s">
        <v>9149</v>
      </c>
      <c r="L696" s="2" t="s">
        <v>5353</v>
      </c>
      <c r="M696" s="3" t="s">
        <v>4296</v>
      </c>
      <c r="O696" s="3" t="s">
        <v>64</v>
      </c>
      <c r="P696" s="3" t="s">
        <v>1898</v>
      </c>
      <c r="Q696" s="2" t="s">
        <v>9150</v>
      </c>
      <c r="R696" s="3" t="s">
        <v>67</v>
      </c>
      <c r="S696" s="4">
        <v>2</v>
      </c>
      <c r="T696" s="4">
        <v>2</v>
      </c>
      <c r="U696" s="5" t="s">
        <v>9151</v>
      </c>
      <c r="V696" s="5" t="s">
        <v>9151</v>
      </c>
      <c r="W696" s="5" t="s">
        <v>3917</v>
      </c>
      <c r="X696" s="5" t="s">
        <v>3917</v>
      </c>
      <c r="Y696" s="4">
        <v>146</v>
      </c>
      <c r="Z696" s="4">
        <v>112</v>
      </c>
      <c r="AA696" s="4">
        <v>114</v>
      </c>
      <c r="AB696" s="4">
        <v>2</v>
      </c>
      <c r="AC696" s="4">
        <v>2</v>
      </c>
      <c r="AD696" s="4">
        <v>5</v>
      </c>
      <c r="AE696" s="4">
        <v>5</v>
      </c>
      <c r="AF696" s="4">
        <v>1</v>
      </c>
      <c r="AG696" s="4">
        <v>1</v>
      </c>
      <c r="AH696" s="4">
        <v>1</v>
      </c>
      <c r="AI696" s="4">
        <v>1</v>
      </c>
      <c r="AJ696" s="4">
        <v>3</v>
      </c>
      <c r="AK696" s="4">
        <v>3</v>
      </c>
      <c r="AL696" s="4">
        <v>1</v>
      </c>
      <c r="AM696" s="4">
        <v>1</v>
      </c>
      <c r="AN696" s="4">
        <v>0</v>
      </c>
      <c r="AO696" s="4">
        <v>0</v>
      </c>
      <c r="AP696" s="3" t="s">
        <v>58</v>
      </c>
      <c r="AQ696" s="3" t="s">
        <v>86</v>
      </c>
      <c r="AR696" s="6" t="str">
        <f>HYPERLINK("http://catalog.hathitrust.org/Record/000023466","HathiTrust Record")</f>
        <v>HathiTrust Record</v>
      </c>
      <c r="AS696" s="6" t="str">
        <f>HYPERLINK("https://creighton-primo.hosted.exlibrisgroup.com/primo-explore/search?tab=default_tab&amp;search_scope=EVERYTHING&amp;vid=01CRU&amp;lang=en_US&amp;offset=0&amp;query=any,contains,991004346809702656","Catalog Record")</f>
        <v>Catalog Record</v>
      </c>
      <c r="AT696" s="6" t="str">
        <f>HYPERLINK("http://www.worldcat.org/oclc/3103737","WorldCat Record")</f>
        <v>WorldCat Record</v>
      </c>
      <c r="AU696" s="3" t="s">
        <v>9152</v>
      </c>
      <c r="AV696" s="3" t="s">
        <v>9153</v>
      </c>
      <c r="AW696" s="3" t="s">
        <v>9154</v>
      </c>
      <c r="AX696" s="3" t="s">
        <v>9154</v>
      </c>
      <c r="AY696" s="3" t="s">
        <v>9155</v>
      </c>
      <c r="AZ696" s="3" t="s">
        <v>74</v>
      </c>
      <c r="BB696" s="3" t="s">
        <v>9156</v>
      </c>
      <c r="BC696" s="3" t="s">
        <v>9157</v>
      </c>
      <c r="BD696" s="3" t="s">
        <v>9158</v>
      </c>
    </row>
    <row r="697" spans="1:56" ht="42.75" customHeight="1" x14ac:dyDescent="0.25">
      <c r="A697" s="7" t="s">
        <v>58</v>
      </c>
      <c r="B697" s="2" t="s">
        <v>9159</v>
      </c>
      <c r="C697" s="2" t="s">
        <v>9160</v>
      </c>
      <c r="D697" s="2" t="s">
        <v>9161</v>
      </c>
      <c r="F697" s="3" t="s">
        <v>58</v>
      </c>
      <c r="G697" s="3" t="s">
        <v>59</v>
      </c>
      <c r="H697" s="3" t="s">
        <v>58</v>
      </c>
      <c r="I697" s="3" t="s">
        <v>58</v>
      </c>
      <c r="J697" s="3" t="s">
        <v>60</v>
      </c>
      <c r="K697" s="2" t="s">
        <v>9162</v>
      </c>
      <c r="L697" s="2" t="s">
        <v>9163</v>
      </c>
      <c r="M697" s="3" t="s">
        <v>3914</v>
      </c>
      <c r="O697" s="3" t="s">
        <v>64</v>
      </c>
      <c r="P697" s="3" t="s">
        <v>99</v>
      </c>
      <c r="R697" s="3" t="s">
        <v>67</v>
      </c>
      <c r="S697" s="4">
        <v>3</v>
      </c>
      <c r="T697" s="4">
        <v>3</v>
      </c>
      <c r="U697" s="5" t="s">
        <v>9164</v>
      </c>
      <c r="V697" s="5" t="s">
        <v>9164</v>
      </c>
      <c r="W697" s="5" t="s">
        <v>4822</v>
      </c>
      <c r="X697" s="5" t="s">
        <v>4822</v>
      </c>
      <c r="Y697" s="4">
        <v>452</v>
      </c>
      <c r="Z697" s="4">
        <v>412</v>
      </c>
      <c r="AA697" s="4">
        <v>418</v>
      </c>
      <c r="AB697" s="4">
        <v>6</v>
      </c>
      <c r="AC697" s="4">
        <v>6</v>
      </c>
      <c r="AD697" s="4">
        <v>23</v>
      </c>
      <c r="AE697" s="4">
        <v>23</v>
      </c>
      <c r="AF697" s="4">
        <v>7</v>
      </c>
      <c r="AG697" s="4">
        <v>7</v>
      </c>
      <c r="AH697" s="4">
        <v>3</v>
      </c>
      <c r="AI697" s="4">
        <v>3</v>
      </c>
      <c r="AJ697" s="4">
        <v>14</v>
      </c>
      <c r="AK697" s="4">
        <v>14</v>
      </c>
      <c r="AL697" s="4">
        <v>5</v>
      </c>
      <c r="AM697" s="4">
        <v>5</v>
      </c>
      <c r="AN697" s="4">
        <v>0</v>
      </c>
      <c r="AO697" s="4">
        <v>0</v>
      </c>
      <c r="AP697" s="3" t="s">
        <v>58</v>
      </c>
      <c r="AQ697" s="3" t="s">
        <v>86</v>
      </c>
      <c r="AR697" s="6" t="str">
        <f>HYPERLINK("http://catalog.hathitrust.org/Record/004422196","HathiTrust Record")</f>
        <v>HathiTrust Record</v>
      </c>
      <c r="AS697" s="6" t="str">
        <f>HYPERLINK("https://creighton-primo.hosted.exlibrisgroup.com/primo-explore/search?tab=default_tab&amp;search_scope=EVERYTHING&amp;vid=01CRU&amp;lang=en_US&amp;offset=0&amp;query=any,contains,991004115859702656","Catalog Record")</f>
        <v>Catalog Record</v>
      </c>
      <c r="AT697" s="6" t="str">
        <f>HYPERLINK("http://www.worldcat.org/oclc/2412280","WorldCat Record")</f>
        <v>WorldCat Record</v>
      </c>
      <c r="AU697" s="3" t="s">
        <v>9165</v>
      </c>
      <c r="AV697" s="3" t="s">
        <v>9166</v>
      </c>
      <c r="AW697" s="3" t="s">
        <v>9167</v>
      </c>
      <c r="AX697" s="3" t="s">
        <v>9167</v>
      </c>
      <c r="AY697" s="3" t="s">
        <v>9168</v>
      </c>
      <c r="AZ697" s="3" t="s">
        <v>74</v>
      </c>
      <c r="BB697" s="3" t="s">
        <v>9169</v>
      </c>
      <c r="BC697" s="3" t="s">
        <v>9170</v>
      </c>
      <c r="BD697" s="3" t="s">
        <v>9171</v>
      </c>
    </row>
    <row r="698" spans="1:56" ht="42.75" customHeight="1" x14ac:dyDescent="0.25">
      <c r="A698" s="7" t="s">
        <v>58</v>
      </c>
      <c r="B698" s="2" t="s">
        <v>9172</v>
      </c>
      <c r="C698" s="2" t="s">
        <v>9173</v>
      </c>
      <c r="D698" s="2" t="s">
        <v>9174</v>
      </c>
      <c r="F698" s="3" t="s">
        <v>58</v>
      </c>
      <c r="G698" s="3" t="s">
        <v>59</v>
      </c>
      <c r="H698" s="3" t="s">
        <v>58</v>
      </c>
      <c r="I698" s="3" t="s">
        <v>58</v>
      </c>
      <c r="J698" s="3" t="s">
        <v>60</v>
      </c>
      <c r="K698" s="2" t="s">
        <v>9175</v>
      </c>
      <c r="L698" s="2" t="s">
        <v>9176</v>
      </c>
      <c r="M698" s="3" t="s">
        <v>223</v>
      </c>
      <c r="O698" s="3" t="s">
        <v>64</v>
      </c>
      <c r="P698" s="3" t="s">
        <v>65</v>
      </c>
      <c r="R698" s="3" t="s">
        <v>67</v>
      </c>
      <c r="S698" s="4">
        <v>2</v>
      </c>
      <c r="T698" s="4">
        <v>2</v>
      </c>
      <c r="U698" s="5" t="s">
        <v>9177</v>
      </c>
      <c r="V698" s="5" t="s">
        <v>9177</v>
      </c>
      <c r="W698" s="5" t="s">
        <v>4730</v>
      </c>
      <c r="X698" s="5" t="s">
        <v>4730</v>
      </c>
      <c r="Y698" s="4">
        <v>215</v>
      </c>
      <c r="Z698" s="4">
        <v>154</v>
      </c>
      <c r="AA698" s="4">
        <v>155</v>
      </c>
      <c r="AB698" s="4">
        <v>3</v>
      </c>
      <c r="AC698" s="4">
        <v>3</v>
      </c>
      <c r="AD698" s="4">
        <v>10</v>
      </c>
      <c r="AE698" s="4">
        <v>10</v>
      </c>
      <c r="AF698" s="4">
        <v>2</v>
      </c>
      <c r="AG698" s="4">
        <v>2</v>
      </c>
      <c r="AH698" s="4">
        <v>3</v>
      </c>
      <c r="AI698" s="4">
        <v>3</v>
      </c>
      <c r="AJ698" s="4">
        <v>4</v>
      </c>
      <c r="AK698" s="4">
        <v>4</v>
      </c>
      <c r="AL698" s="4">
        <v>2</v>
      </c>
      <c r="AM698" s="4">
        <v>2</v>
      </c>
      <c r="AN698" s="4">
        <v>0</v>
      </c>
      <c r="AO698" s="4">
        <v>0</v>
      </c>
      <c r="AP698" s="3" t="s">
        <v>58</v>
      </c>
      <c r="AQ698" s="3" t="s">
        <v>86</v>
      </c>
      <c r="AR698" s="6" t="str">
        <f>HYPERLINK("http://catalog.hathitrust.org/Record/000737708","HathiTrust Record")</f>
        <v>HathiTrust Record</v>
      </c>
      <c r="AS698" s="6" t="str">
        <f>HYPERLINK("https://creighton-primo.hosted.exlibrisgroup.com/primo-explore/search?tab=default_tab&amp;search_scope=EVERYTHING&amp;vid=01CRU&amp;lang=en_US&amp;offset=0&amp;query=any,contains,991004621529702656","Catalog Record")</f>
        <v>Catalog Record</v>
      </c>
      <c r="AT698" s="6" t="str">
        <f>HYPERLINK("http://www.worldcat.org/oclc/4300337","WorldCat Record")</f>
        <v>WorldCat Record</v>
      </c>
      <c r="AU698" s="3" t="s">
        <v>9178</v>
      </c>
      <c r="AV698" s="3" t="s">
        <v>9179</v>
      </c>
      <c r="AW698" s="3" t="s">
        <v>9180</v>
      </c>
      <c r="AX698" s="3" t="s">
        <v>9180</v>
      </c>
      <c r="AY698" s="3" t="s">
        <v>9181</v>
      </c>
      <c r="AZ698" s="3" t="s">
        <v>74</v>
      </c>
      <c r="BB698" s="3" t="s">
        <v>9182</v>
      </c>
      <c r="BC698" s="3" t="s">
        <v>9183</v>
      </c>
      <c r="BD698" s="3" t="s">
        <v>9184</v>
      </c>
    </row>
    <row r="699" spans="1:56" ht="42.75" customHeight="1" x14ac:dyDescent="0.25">
      <c r="A699" s="7" t="s">
        <v>58</v>
      </c>
      <c r="B699" s="2" t="s">
        <v>9185</v>
      </c>
      <c r="C699" s="2" t="s">
        <v>9186</v>
      </c>
      <c r="D699" s="2" t="s">
        <v>9187</v>
      </c>
      <c r="F699" s="3" t="s">
        <v>58</v>
      </c>
      <c r="G699" s="3" t="s">
        <v>59</v>
      </c>
      <c r="H699" s="3" t="s">
        <v>58</v>
      </c>
      <c r="I699" s="3" t="s">
        <v>58</v>
      </c>
      <c r="J699" s="3" t="s">
        <v>60</v>
      </c>
      <c r="K699" s="2" t="s">
        <v>9188</v>
      </c>
      <c r="L699" s="2" t="s">
        <v>9189</v>
      </c>
      <c r="M699" s="3" t="s">
        <v>344</v>
      </c>
      <c r="O699" s="3" t="s">
        <v>64</v>
      </c>
      <c r="P699" s="3" t="s">
        <v>359</v>
      </c>
      <c r="R699" s="3" t="s">
        <v>67</v>
      </c>
      <c r="S699" s="4">
        <v>4</v>
      </c>
      <c r="T699" s="4">
        <v>4</v>
      </c>
      <c r="U699" s="5" t="s">
        <v>9190</v>
      </c>
      <c r="V699" s="5" t="s">
        <v>9190</v>
      </c>
      <c r="W699" s="5" t="s">
        <v>4848</v>
      </c>
      <c r="X699" s="5" t="s">
        <v>4848</v>
      </c>
      <c r="Y699" s="4">
        <v>452</v>
      </c>
      <c r="Z699" s="4">
        <v>372</v>
      </c>
      <c r="AA699" s="4">
        <v>378</v>
      </c>
      <c r="AB699" s="4">
        <v>1</v>
      </c>
      <c r="AC699" s="4">
        <v>1</v>
      </c>
      <c r="AD699" s="4">
        <v>20</v>
      </c>
      <c r="AE699" s="4">
        <v>20</v>
      </c>
      <c r="AF699" s="4">
        <v>6</v>
      </c>
      <c r="AG699" s="4">
        <v>6</v>
      </c>
      <c r="AH699" s="4">
        <v>5</v>
      </c>
      <c r="AI699" s="4">
        <v>5</v>
      </c>
      <c r="AJ699" s="4">
        <v>14</v>
      </c>
      <c r="AK699" s="4">
        <v>14</v>
      </c>
      <c r="AL699" s="4">
        <v>0</v>
      </c>
      <c r="AM699" s="4">
        <v>0</v>
      </c>
      <c r="AN699" s="4">
        <v>1</v>
      </c>
      <c r="AO699" s="4">
        <v>1</v>
      </c>
      <c r="AP699" s="3" t="s">
        <v>58</v>
      </c>
      <c r="AQ699" s="3" t="s">
        <v>86</v>
      </c>
      <c r="AR699" s="6" t="str">
        <f>HYPERLINK("http://catalog.hathitrust.org/Record/000746117","HathiTrust Record")</f>
        <v>HathiTrust Record</v>
      </c>
      <c r="AS699" s="6" t="str">
        <f>HYPERLINK("https://creighton-primo.hosted.exlibrisgroup.com/primo-explore/search?tab=default_tab&amp;search_scope=EVERYTHING&amp;vid=01CRU&amp;lang=en_US&amp;offset=0&amp;query=any,contains,991004925159702656","Catalog Record")</f>
        <v>Catalog Record</v>
      </c>
      <c r="AT699" s="6" t="str">
        <f>HYPERLINK("http://www.worldcat.org/oclc/6085506","WorldCat Record")</f>
        <v>WorldCat Record</v>
      </c>
      <c r="AU699" s="3" t="s">
        <v>9191</v>
      </c>
      <c r="AV699" s="3" t="s">
        <v>9192</v>
      </c>
      <c r="AW699" s="3" t="s">
        <v>9193</v>
      </c>
      <c r="AX699" s="3" t="s">
        <v>9193</v>
      </c>
      <c r="AY699" s="3" t="s">
        <v>9194</v>
      </c>
      <c r="AZ699" s="3" t="s">
        <v>74</v>
      </c>
      <c r="BB699" s="3" t="s">
        <v>9195</v>
      </c>
      <c r="BC699" s="3" t="s">
        <v>9196</v>
      </c>
      <c r="BD699" s="3" t="s">
        <v>9197</v>
      </c>
    </row>
    <row r="700" spans="1:56" ht="42.75" customHeight="1" x14ac:dyDescent="0.25">
      <c r="A700" s="7" t="s">
        <v>58</v>
      </c>
      <c r="B700" s="2" t="s">
        <v>9198</v>
      </c>
      <c r="C700" s="2" t="s">
        <v>9199</v>
      </c>
      <c r="D700" s="2" t="s">
        <v>9200</v>
      </c>
      <c r="F700" s="3" t="s">
        <v>58</v>
      </c>
      <c r="G700" s="3" t="s">
        <v>59</v>
      </c>
      <c r="H700" s="3" t="s">
        <v>58</v>
      </c>
      <c r="I700" s="3" t="s">
        <v>58</v>
      </c>
      <c r="J700" s="3" t="s">
        <v>60</v>
      </c>
      <c r="K700" s="2" t="s">
        <v>9201</v>
      </c>
      <c r="L700" s="2" t="s">
        <v>9202</v>
      </c>
      <c r="M700" s="3" t="s">
        <v>1574</v>
      </c>
      <c r="O700" s="3" t="s">
        <v>64</v>
      </c>
      <c r="P700" s="3" t="s">
        <v>115</v>
      </c>
      <c r="Q700" s="2" t="s">
        <v>3985</v>
      </c>
      <c r="R700" s="3" t="s">
        <v>67</v>
      </c>
      <c r="S700" s="4">
        <v>4</v>
      </c>
      <c r="T700" s="4">
        <v>4</v>
      </c>
      <c r="U700" s="5" t="s">
        <v>8405</v>
      </c>
      <c r="V700" s="5" t="s">
        <v>8405</v>
      </c>
      <c r="W700" s="5" t="s">
        <v>9203</v>
      </c>
      <c r="X700" s="5" t="s">
        <v>9203</v>
      </c>
      <c r="Y700" s="4">
        <v>320</v>
      </c>
      <c r="Z700" s="4">
        <v>247</v>
      </c>
      <c r="AA700" s="4">
        <v>254</v>
      </c>
      <c r="AB700" s="4">
        <v>1</v>
      </c>
      <c r="AC700" s="4">
        <v>1</v>
      </c>
      <c r="AD700" s="4">
        <v>11</v>
      </c>
      <c r="AE700" s="4">
        <v>11</v>
      </c>
      <c r="AF700" s="4">
        <v>6</v>
      </c>
      <c r="AG700" s="4">
        <v>6</v>
      </c>
      <c r="AH700" s="4">
        <v>1</v>
      </c>
      <c r="AI700" s="4">
        <v>1</v>
      </c>
      <c r="AJ700" s="4">
        <v>9</v>
      </c>
      <c r="AK700" s="4">
        <v>9</v>
      </c>
      <c r="AL700" s="4">
        <v>0</v>
      </c>
      <c r="AM700" s="4">
        <v>0</v>
      </c>
      <c r="AN700" s="4">
        <v>0</v>
      </c>
      <c r="AO700" s="4">
        <v>0</v>
      </c>
      <c r="AP700" s="3" t="s">
        <v>58</v>
      </c>
      <c r="AQ700" s="3" t="s">
        <v>86</v>
      </c>
      <c r="AR700" s="6" t="str">
        <f>HYPERLINK("http://catalog.hathitrust.org/Record/000762358","HathiTrust Record")</f>
        <v>HathiTrust Record</v>
      </c>
      <c r="AS700" s="6" t="str">
        <f>HYPERLINK("https://creighton-primo.hosted.exlibrisgroup.com/primo-explore/search?tab=default_tab&amp;search_scope=EVERYTHING&amp;vid=01CRU&amp;lang=en_US&amp;offset=0&amp;query=any,contains,991005153159702656","Catalog Record")</f>
        <v>Catalog Record</v>
      </c>
      <c r="AT700" s="6" t="str">
        <f>HYPERLINK("http://www.worldcat.org/oclc/7735347","WorldCat Record")</f>
        <v>WorldCat Record</v>
      </c>
      <c r="AU700" s="3" t="s">
        <v>9204</v>
      </c>
      <c r="AV700" s="3" t="s">
        <v>9205</v>
      </c>
      <c r="AW700" s="3" t="s">
        <v>9206</v>
      </c>
      <c r="AX700" s="3" t="s">
        <v>9206</v>
      </c>
      <c r="AY700" s="3" t="s">
        <v>9207</v>
      </c>
      <c r="AZ700" s="3" t="s">
        <v>74</v>
      </c>
      <c r="BB700" s="3" t="s">
        <v>9208</v>
      </c>
      <c r="BC700" s="3" t="s">
        <v>9209</v>
      </c>
      <c r="BD700" s="3" t="s">
        <v>9210</v>
      </c>
    </row>
    <row r="701" spans="1:56" ht="42.75" customHeight="1" x14ac:dyDescent="0.25">
      <c r="A701" s="7" t="s">
        <v>58</v>
      </c>
      <c r="B701" s="2" t="s">
        <v>9211</v>
      </c>
      <c r="C701" s="2" t="s">
        <v>9212</v>
      </c>
      <c r="D701" s="2" t="s">
        <v>9213</v>
      </c>
      <c r="F701" s="3" t="s">
        <v>58</v>
      </c>
      <c r="G701" s="3" t="s">
        <v>59</v>
      </c>
      <c r="H701" s="3" t="s">
        <v>58</v>
      </c>
      <c r="I701" s="3" t="s">
        <v>58</v>
      </c>
      <c r="J701" s="3" t="s">
        <v>60</v>
      </c>
      <c r="K701" s="2" t="s">
        <v>9214</v>
      </c>
      <c r="L701" s="2" t="s">
        <v>9215</v>
      </c>
      <c r="M701" s="3" t="s">
        <v>4296</v>
      </c>
      <c r="O701" s="3" t="s">
        <v>64</v>
      </c>
      <c r="P701" s="3" t="s">
        <v>99</v>
      </c>
      <c r="R701" s="3" t="s">
        <v>67</v>
      </c>
      <c r="S701" s="4">
        <v>2</v>
      </c>
      <c r="T701" s="4">
        <v>2</v>
      </c>
      <c r="U701" s="5" t="s">
        <v>9216</v>
      </c>
      <c r="V701" s="5" t="s">
        <v>9216</v>
      </c>
      <c r="W701" s="5" t="s">
        <v>3917</v>
      </c>
      <c r="X701" s="5" t="s">
        <v>3917</v>
      </c>
      <c r="Y701" s="4">
        <v>182</v>
      </c>
      <c r="Z701" s="4">
        <v>142</v>
      </c>
      <c r="AA701" s="4">
        <v>144</v>
      </c>
      <c r="AB701" s="4">
        <v>2</v>
      </c>
      <c r="AC701" s="4">
        <v>2</v>
      </c>
      <c r="AD701" s="4">
        <v>7</v>
      </c>
      <c r="AE701" s="4">
        <v>7</v>
      </c>
      <c r="AF701" s="4">
        <v>1</v>
      </c>
      <c r="AG701" s="4">
        <v>1</v>
      </c>
      <c r="AH701" s="4">
        <v>2</v>
      </c>
      <c r="AI701" s="4">
        <v>2</v>
      </c>
      <c r="AJ701" s="4">
        <v>4</v>
      </c>
      <c r="AK701" s="4">
        <v>4</v>
      </c>
      <c r="AL701" s="4">
        <v>1</v>
      </c>
      <c r="AM701" s="4">
        <v>1</v>
      </c>
      <c r="AN701" s="4">
        <v>0</v>
      </c>
      <c r="AO701" s="4">
        <v>0</v>
      </c>
      <c r="AP701" s="3" t="s">
        <v>58</v>
      </c>
      <c r="AQ701" s="3" t="s">
        <v>86</v>
      </c>
      <c r="AR701" s="6" t="str">
        <f>HYPERLINK("http://catalog.hathitrust.org/Record/000039928","HathiTrust Record")</f>
        <v>HathiTrust Record</v>
      </c>
      <c r="AS701" s="6" t="str">
        <f>HYPERLINK("https://creighton-primo.hosted.exlibrisgroup.com/primo-explore/search?tab=default_tab&amp;search_scope=EVERYTHING&amp;vid=01CRU&amp;lang=en_US&amp;offset=0&amp;query=any,contains,991003704799702656","Catalog Record")</f>
        <v>Catalog Record</v>
      </c>
      <c r="AT701" s="6" t="str">
        <f>HYPERLINK("http://www.worldcat.org/oclc/1341468","WorldCat Record")</f>
        <v>WorldCat Record</v>
      </c>
      <c r="AU701" s="3" t="s">
        <v>9217</v>
      </c>
      <c r="AV701" s="3" t="s">
        <v>9218</v>
      </c>
      <c r="AW701" s="3" t="s">
        <v>9219</v>
      </c>
      <c r="AX701" s="3" t="s">
        <v>9219</v>
      </c>
      <c r="AY701" s="3" t="s">
        <v>9220</v>
      </c>
      <c r="AZ701" s="3" t="s">
        <v>74</v>
      </c>
      <c r="BB701" s="3" t="s">
        <v>9221</v>
      </c>
      <c r="BC701" s="3" t="s">
        <v>9222</v>
      </c>
      <c r="BD701" s="3" t="s">
        <v>9223</v>
      </c>
    </row>
    <row r="702" spans="1:56" ht="42.75" customHeight="1" x14ac:dyDescent="0.25">
      <c r="A702" s="7" t="s">
        <v>58</v>
      </c>
      <c r="B702" s="2" t="s">
        <v>9224</v>
      </c>
      <c r="C702" s="2" t="s">
        <v>9225</v>
      </c>
      <c r="D702" s="2" t="s">
        <v>9226</v>
      </c>
      <c r="F702" s="3" t="s">
        <v>58</v>
      </c>
      <c r="G702" s="3" t="s">
        <v>59</v>
      </c>
      <c r="H702" s="3" t="s">
        <v>58</v>
      </c>
      <c r="I702" s="3" t="s">
        <v>58</v>
      </c>
      <c r="J702" s="3" t="s">
        <v>60</v>
      </c>
      <c r="K702" s="2" t="s">
        <v>9227</v>
      </c>
      <c r="L702" s="2" t="s">
        <v>9228</v>
      </c>
      <c r="M702" s="3" t="s">
        <v>114</v>
      </c>
      <c r="O702" s="3" t="s">
        <v>64</v>
      </c>
      <c r="P702" s="3" t="s">
        <v>115</v>
      </c>
      <c r="R702" s="3" t="s">
        <v>67</v>
      </c>
      <c r="S702" s="4">
        <v>2</v>
      </c>
      <c r="T702" s="4">
        <v>2</v>
      </c>
      <c r="U702" s="5" t="s">
        <v>9229</v>
      </c>
      <c r="V702" s="5" t="s">
        <v>9229</v>
      </c>
      <c r="W702" s="5" t="s">
        <v>9230</v>
      </c>
      <c r="X702" s="5" t="s">
        <v>9230</v>
      </c>
      <c r="Y702" s="4">
        <v>248</v>
      </c>
      <c r="Z702" s="4">
        <v>201</v>
      </c>
      <c r="AA702" s="4">
        <v>208</v>
      </c>
      <c r="AB702" s="4">
        <v>1</v>
      </c>
      <c r="AC702" s="4">
        <v>1</v>
      </c>
      <c r="AD702" s="4">
        <v>5</v>
      </c>
      <c r="AE702" s="4">
        <v>5</v>
      </c>
      <c r="AF702" s="4">
        <v>2</v>
      </c>
      <c r="AG702" s="4">
        <v>2</v>
      </c>
      <c r="AH702" s="4">
        <v>1</v>
      </c>
      <c r="AI702" s="4">
        <v>1</v>
      </c>
      <c r="AJ702" s="4">
        <v>4</v>
      </c>
      <c r="AK702" s="4">
        <v>4</v>
      </c>
      <c r="AL702" s="4">
        <v>0</v>
      </c>
      <c r="AM702" s="4">
        <v>0</v>
      </c>
      <c r="AN702" s="4">
        <v>0</v>
      </c>
      <c r="AO702" s="4">
        <v>0</v>
      </c>
      <c r="AP702" s="3" t="s">
        <v>58</v>
      </c>
      <c r="AQ702" s="3" t="s">
        <v>86</v>
      </c>
      <c r="AR702" s="6" t="str">
        <f>HYPERLINK("http://catalog.hathitrust.org/Record/000245390","HathiTrust Record")</f>
        <v>HathiTrust Record</v>
      </c>
      <c r="AS702" s="6" t="str">
        <f>HYPERLINK("https://creighton-primo.hosted.exlibrisgroup.com/primo-explore/search?tab=default_tab&amp;search_scope=EVERYTHING&amp;vid=01CRU&amp;lang=en_US&amp;offset=0&amp;query=any,contains,991000218319702656","Catalog Record")</f>
        <v>Catalog Record</v>
      </c>
      <c r="AT702" s="6" t="str">
        <f>HYPERLINK("http://www.worldcat.org/oclc/9575153","WorldCat Record")</f>
        <v>WorldCat Record</v>
      </c>
      <c r="AU702" s="3" t="s">
        <v>9231</v>
      </c>
      <c r="AV702" s="3" t="s">
        <v>9232</v>
      </c>
      <c r="AW702" s="3" t="s">
        <v>9233</v>
      </c>
      <c r="AX702" s="3" t="s">
        <v>9233</v>
      </c>
      <c r="AY702" s="3" t="s">
        <v>9234</v>
      </c>
      <c r="AZ702" s="3" t="s">
        <v>74</v>
      </c>
      <c r="BB702" s="3" t="s">
        <v>9235</v>
      </c>
      <c r="BC702" s="3" t="s">
        <v>9236</v>
      </c>
      <c r="BD702" s="3" t="s">
        <v>9237</v>
      </c>
    </row>
    <row r="703" spans="1:56" ht="42.75" customHeight="1" x14ac:dyDescent="0.25">
      <c r="A703" s="7" t="s">
        <v>58</v>
      </c>
      <c r="B703" s="2" t="s">
        <v>9238</v>
      </c>
      <c r="C703" s="2" t="s">
        <v>9239</v>
      </c>
      <c r="D703" s="2" t="s">
        <v>9240</v>
      </c>
      <c r="F703" s="3" t="s">
        <v>58</v>
      </c>
      <c r="G703" s="3" t="s">
        <v>59</v>
      </c>
      <c r="H703" s="3" t="s">
        <v>58</v>
      </c>
      <c r="I703" s="3" t="s">
        <v>58</v>
      </c>
      <c r="J703" s="3" t="s">
        <v>60</v>
      </c>
      <c r="K703" s="2" t="s">
        <v>9241</v>
      </c>
      <c r="L703" s="2" t="s">
        <v>9084</v>
      </c>
      <c r="M703" s="3" t="s">
        <v>695</v>
      </c>
      <c r="O703" s="3" t="s">
        <v>64</v>
      </c>
      <c r="P703" s="3" t="s">
        <v>115</v>
      </c>
      <c r="R703" s="3" t="s">
        <v>67</v>
      </c>
      <c r="S703" s="4">
        <v>2</v>
      </c>
      <c r="T703" s="4">
        <v>2</v>
      </c>
      <c r="U703" s="5" t="s">
        <v>9242</v>
      </c>
      <c r="V703" s="5" t="s">
        <v>9242</v>
      </c>
      <c r="W703" s="5" t="s">
        <v>7507</v>
      </c>
      <c r="X703" s="5" t="s">
        <v>7507</v>
      </c>
      <c r="Y703" s="4">
        <v>406</v>
      </c>
      <c r="Z703" s="4">
        <v>319</v>
      </c>
      <c r="AA703" s="4">
        <v>320</v>
      </c>
      <c r="AB703" s="4">
        <v>4</v>
      </c>
      <c r="AC703" s="4">
        <v>4</v>
      </c>
      <c r="AD703" s="4">
        <v>16</v>
      </c>
      <c r="AE703" s="4">
        <v>16</v>
      </c>
      <c r="AF703" s="4">
        <v>6</v>
      </c>
      <c r="AG703" s="4">
        <v>6</v>
      </c>
      <c r="AH703" s="4">
        <v>3</v>
      </c>
      <c r="AI703" s="4">
        <v>3</v>
      </c>
      <c r="AJ703" s="4">
        <v>11</v>
      </c>
      <c r="AK703" s="4">
        <v>11</v>
      </c>
      <c r="AL703" s="4">
        <v>3</v>
      </c>
      <c r="AM703" s="4">
        <v>3</v>
      </c>
      <c r="AN703" s="4">
        <v>0</v>
      </c>
      <c r="AO703" s="4">
        <v>0</v>
      </c>
      <c r="AP703" s="3" t="s">
        <v>58</v>
      </c>
      <c r="AQ703" s="3" t="s">
        <v>58</v>
      </c>
      <c r="AS703" s="6" t="str">
        <f>HYPERLINK("https://creighton-primo.hosted.exlibrisgroup.com/primo-explore/search?tab=default_tab&amp;search_scope=EVERYTHING&amp;vid=01CRU&amp;lang=en_US&amp;offset=0&amp;query=any,contains,991002163729702656","Catalog Record")</f>
        <v>Catalog Record</v>
      </c>
      <c r="AT703" s="6" t="str">
        <f>HYPERLINK("http://www.worldcat.org/oclc/27852406","WorldCat Record")</f>
        <v>WorldCat Record</v>
      </c>
      <c r="AU703" s="3" t="s">
        <v>9243</v>
      </c>
      <c r="AV703" s="3" t="s">
        <v>9244</v>
      </c>
      <c r="AW703" s="3" t="s">
        <v>9245</v>
      </c>
      <c r="AX703" s="3" t="s">
        <v>9245</v>
      </c>
      <c r="AY703" s="3" t="s">
        <v>9246</v>
      </c>
      <c r="AZ703" s="3" t="s">
        <v>74</v>
      </c>
      <c r="BB703" s="3" t="s">
        <v>9247</v>
      </c>
      <c r="BC703" s="3" t="s">
        <v>9248</v>
      </c>
      <c r="BD703" s="3" t="s">
        <v>9249</v>
      </c>
    </row>
    <row r="704" spans="1:56" ht="42.75" customHeight="1" x14ac:dyDescent="0.25">
      <c r="A704" s="7" t="s">
        <v>58</v>
      </c>
      <c r="B704" s="2" t="s">
        <v>9250</v>
      </c>
      <c r="C704" s="2" t="s">
        <v>9251</v>
      </c>
      <c r="D704" s="2" t="s">
        <v>9252</v>
      </c>
      <c r="F704" s="3" t="s">
        <v>58</v>
      </c>
      <c r="G704" s="3" t="s">
        <v>59</v>
      </c>
      <c r="H704" s="3" t="s">
        <v>58</v>
      </c>
      <c r="I704" s="3" t="s">
        <v>58</v>
      </c>
      <c r="J704" s="3" t="s">
        <v>60</v>
      </c>
      <c r="L704" s="2" t="s">
        <v>9253</v>
      </c>
      <c r="M704" s="3" t="s">
        <v>737</v>
      </c>
      <c r="O704" s="3" t="s">
        <v>64</v>
      </c>
      <c r="P704" s="3" t="s">
        <v>2331</v>
      </c>
      <c r="R704" s="3" t="s">
        <v>67</v>
      </c>
      <c r="S704" s="4">
        <v>2</v>
      </c>
      <c r="T704" s="4">
        <v>2</v>
      </c>
      <c r="U704" s="5" t="s">
        <v>9254</v>
      </c>
      <c r="V704" s="5" t="s">
        <v>9254</v>
      </c>
      <c r="W704" s="5" t="s">
        <v>9255</v>
      </c>
      <c r="X704" s="5" t="s">
        <v>9255</v>
      </c>
      <c r="Y704" s="4">
        <v>160</v>
      </c>
      <c r="Z704" s="4">
        <v>129</v>
      </c>
      <c r="AA704" s="4">
        <v>131</v>
      </c>
      <c r="AB704" s="4">
        <v>1</v>
      </c>
      <c r="AC704" s="4">
        <v>1</v>
      </c>
      <c r="AD704" s="4">
        <v>6</v>
      </c>
      <c r="AE704" s="4">
        <v>6</v>
      </c>
      <c r="AF704" s="4">
        <v>2</v>
      </c>
      <c r="AG704" s="4">
        <v>2</v>
      </c>
      <c r="AH704" s="4">
        <v>1</v>
      </c>
      <c r="AI704" s="4">
        <v>1</v>
      </c>
      <c r="AJ704" s="4">
        <v>5</v>
      </c>
      <c r="AK704" s="4">
        <v>5</v>
      </c>
      <c r="AL704" s="4">
        <v>0</v>
      </c>
      <c r="AM704" s="4">
        <v>0</v>
      </c>
      <c r="AN704" s="4">
        <v>0</v>
      </c>
      <c r="AO704" s="4">
        <v>0</v>
      </c>
      <c r="AP704" s="3" t="s">
        <v>58</v>
      </c>
      <c r="AQ704" s="3" t="s">
        <v>86</v>
      </c>
      <c r="AR704" s="6" t="str">
        <f>HYPERLINK("http://catalog.hathitrust.org/Record/002780442","HathiTrust Record")</f>
        <v>HathiTrust Record</v>
      </c>
      <c r="AS704" s="6" t="str">
        <f>HYPERLINK("https://creighton-primo.hosted.exlibrisgroup.com/primo-explore/search?tab=default_tab&amp;search_scope=EVERYTHING&amp;vid=01CRU&amp;lang=en_US&amp;offset=0&amp;query=any,contains,991002195599702656","Catalog Record")</f>
        <v>Catalog Record</v>
      </c>
      <c r="AT704" s="6" t="str">
        <f>HYPERLINK("http://www.worldcat.org/oclc/28222056","WorldCat Record")</f>
        <v>WorldCat Record</v>
      </c>
      <c r="AU704" s="3" t="s">
        <v>9256</v>
      </c>
      <c r="AV704" s="3" t="s">
        <v>9257</v>
      </c>
      <c r="AW704" s="3" t="s">
        <v>9258</v>
      </c>
      <c r="AX704" s="3" t="s">
        <v>9258</v>
      </c>
      <c r="AY704" s="3" t="s">
        <v>9259</v>
      </c>
      <c r="AZ704" s="3" t="s">
        <v>74</v>
      </c>
      <c r="BB704" s="3" t="s">
        <v>9260</v>
      </c>
      <c r="BC704" s="3" t="s">
        <v>9261</v>
      </c>
      <c r="BD704" s="3" t="s">
        <v>9262</v>
      </c>
    </row>
    <row r="705" spans="1:56" ht="42.75" customHeight="1" x14ac:dyDescent="0.25">
      <c r="A705" s="7" t="s">
        <v>58</v>
      </c>
      <c r="B705" s="2" t="s">
        <v>9263</v>
      </c>
      <c r="C705" s="2" t="s">
        <v>9264</v>
      </c>
      <c r="D705" s="2" t="s">
        <v>9265</v>
      </c>
      <c r="F705" s="3" t="s">
        <v>58</v>
      </c>
      <c r="G705" s="3" t="s">
        <v>59</v>
      </c>
      <c r="H705" s="3" t="s">
        <v>58</v>
      </c>
      <c r="I705" s="3" t="s">
        <v>58</v>
      </c>
      <c r="J705" s="3" t="s">
        <v>60</v>
      </c>
      <c r="K705" s="2" t="s">
        <v>9266</v>
      </c>
      <c r="L705" s="2" t="s">
        <v>9267</v>
      </c>
      <c r="M705" s="3" t="s">
        <v>2227</v>
      </c>
      <c r="N705" s="2" t="s">
        <v>1736</v>
      </c>
      <c r="O705" s="3" t="s">
        <v>64</v>
      </c>
      <c r="P705" s="3" t="s">
        <v>115</v>
      </c>
      <c r="R705" s="3" t="s">
        <v>67</v>
      </c>
      <c r="S705" s="4">
        <v>4</v>
      </c>
      <c r="T705" s="4">
        <v>4</v>
      </c>
      <c r="U705" s="5" t="s">
        <v>9268</v>
      </c>
      <c r="V705" s="5" t="s">
        <v>9268</v>
      </c>
      <c r="W705" s="5" t="s">
        <v>9269</v>
      </c>
      <c r="X705" s="5" t="s">
        <v>9269</v>
      </c>
      <c r="Y705" s="4">
        <v>398</v>
      </c>
      <c r="Z705" s="4">
        <v>334</v>
      </c>
      <c r="AA705" s="4">
        <v>357</v>
      </c>
      <c r="AB705" s="4">
        <v>4</v>
      </c>
      <c r="AC705" s="4">
        <v>4</v>
      </c>
      <c r="AD705" s="4">
        <v>19</v>
      </c>
      <c r="AE705" s="4">
        <v>20</v>
      </c>
      <c r="AF705" s="4">
        <v>5</v>
      </c>
      <c r="AG705" s="4">
        <v>6</v>
      </c>
      <c r="AH705" s="4">
        <v>4</v>
      </c>
      <c r="AI705" s="4">
        <v>4</v>
      </c>
      <c r="AJ705" s="4">
        <v>11</v>
      </c>
      <c r="AK705" s="4">
        <v>11</v>
      </c>
      <c r="AL705" s="4">
        <v>3</v>
      </c>
      <c r="AM705" s="4">
        <v>3</v>
      </c>
      <c r="AN705" s="4">
        <v>0</v>
      </c>
      <c r="AO705" s="4">
        <v>0</v>
      </c>
      <c r="AP705" s="3" t="s">
        <v>58</v>
      </c>
      <c r="AQ705" s="3" t="s">
        <v>58</v>
      </c>
      <c r="AS705" s="6" t="str">
        <f>HYPERLINK("https://creighton-primo.hosted.exlibrisgroup.com/primo-explore/search?tab=default_tab&amp;search_scope=EVERYTHING&amp;vid=01CRU&amp;lang=en_US&amp;offset=0&amp;query=any,contains,991000565019702656","Catalog Record")</f>
        <v>Catalog Record</v>
      </c>
      <c r="AT705" s="6" t="str">
        <f>HYPERLINK("http://www.worldcat.org/oclc/11621616","WorldCat Record")</f>
        <v>WorldCat Record</v>
      </c>
      <c r="AU705" s="3" t="s">
        <v>9270</v>
      </c>
      <c r="AV705" s="3" t="s">
        <v>9271</v>
      </c>
      <c r="AW705" s="3" t="s">
        <v>9272</v>
      </c>
      <c r="AX705" s="3" t="s">
        <v>9272</v>
      </c>
      <c r="AY705" s="3" t="s">
        <v>9273</v>
      </c>
      <c r="AZ705" s="3" t="s">
        <v>74</v>
      </c>
      <c r="BB705" s="3" t="s">
        <v>9274</v>
      </c>
      <c r="BC705" s="3" t="s">
        <v>9275</v>
      </c>
      <c r="BD705" s="3" t="s">
        <v>9276</v>
      </c>
    </row>
    <row r="706" spans="1:56" ht="42.75" customHeight="1" x14ac:dyDescent="0.25">
      <c r="A706" s="7" t="s">
        <v>58</v>
      </c>
      <c r="B706" s="2" t="s">
        <v>9277</v>
      </c>
      <c r="C706" s="2" t="s">
        <v>9278</v>
      </c>
      <c r="D706" s="2" t="s">
        <v>9279</v>
      </c>
      <c r="F706" s="3" t="s">
        <v>58</v>
      </c>
      <c r="G706" s="3" t="s">
        <v>59</v>
      </c>
      <c r="H706" s="3" t="s">
        <v>58</v>
      </c>
      <c r="I706" s="3" t="s">
        <v>58</v>
      </c>
      <c r="J706" s="3" t="s">
        <v>60</v>
      </c>
      <c r="K706" s="2" t="s">
        <v>9280</v>
      </c>
      <c r="L706" s="2" t="s">
        <v>9281</v>
      </c>
      <c r="M706" s="3" t="s">
        <v>2227</v>
      </c>
      <c r="N706" s="2" t="s">
        <v>1736</v>
      </c>
      <c r="O706" s="3" t="s">
        <v>64</v>
      </c>
      <c r="P706" s="3" t="s">
        <v>115</v>
      </c>
      <c r="R706" s="3" t="s">
        <v>67</v>
      </c>
      <c r="S706" s="4">
        <v>6</v>
      </c>
      <c r="T706" s="4">
        <v>6</v>
      </c>
      <c r="U706" s="5" t="s">
        <v>9282</v>
      </c>
      <c r="V706" s="5" t="s">
        <v>9282</v>
      </c>
      <c r="W706" s="5" t="s">
        <v>9269</v>
      </c>
      <c r="X706" s="5" t="s">
        <v>9269</v>
      </c>
      <c r="Y706" s="4">
        <v>548</v>
      </c>
      <c r="Z706" s="4">
        <v>419</v>
      </c>
      <c r="AA706" s="4">
        <v>419</v>
      </c>
      <c r="AB706" s="4">
        <v>3</v>
      </c>
      <c r="AC706" s="4">
        <v>3</v>
      </c>
      <c r="AD706" s="4">
        <v>20</v>
      </c>
      <c r="AE706" s="4">
        <v>20</v>
      </c>
      <c r="AF706" s="4">
        <v>10</v>
      </c>
      <c r="AG706" s="4">
        <v>10</v>
      </c>
      <c r="AH706" s="4">
        <v>3</v>
      </c>
      <c r="AI706" s="4">
        <v>3</v>
      </c>
      <c r="AJ706" s="4">
        <v>11</v>
      </c>
      <c r="AK706" s="4">
        <v>11</v>
      </c>
      <c r="AL706" s="4">
        <v>2</v>
      </c>
      <c r="AM706" s="4">
        <v>2</v>
      </c>
      <c r="AN706" s="4">
        <v>0</v>
      </c>
      <c r="AO706" s="4">
        <v>0</v>
      </c>
      <c r="AP706" s="3" t="s">
        <v>58</v>
      </c>
      <c r="AQ706" s="3" t="s">
        <v>58</v>
      </c>
      <c r="AS706" s="6" t="str">
        <f>HYPERLINK("https://creighton-primo.hosted.exlibrisgroup.com/primo-explore/search?tab=default_tab&amp;search_scope=EVERYTHING&amp;vid=01CRU&amp;lang=en_US&amp;offset=0&amp;query=any,contains,991000515499702656","Catalog Record")</f>
        <v>Catalog Record</v>
      </c>
      <c r="AT706" s="6" t="str">
        <f>HYPERLINK("http://www.worldcat.org/oclc/11289063","WorldCat Record")</f>
        <v>WorldCat Record</v>
      </c>
      <c r="AU706" s="3" t="s">
        <v>9283</v>
      </c>
      <c r="AV706" s="3" t="s">
        <v>9284</v>
      </c>
      <c r="AW706" s="3" t="s">
        <v>9285</v>
      </c>
      <c r="AX706" s="3" t="s">
        <v>9285</v>
      </c>
      <c r="AY706" s="3" t="s">
        <v>9286</v>
      </c>
      <c r="AZ706" s="3" t="s">
        <v>74</v>
      </c>
      <c r="BB706" s="3" t="s">
        <v>9287</v>
      </c>
      <c r="BC706" s="3" t="s">
        <v>9288</v>
      </c>
      <c r="BD706" s="3" t="s">
        <v>9289</v>
      </c>
    </row>
    <row r="707" spans="1:56" ht="42.75" customHeight="1" x14ac:dyDescent="0.25">
      <c r="A707" s="7" t="s">
        <v>58</v>
      </c>
      <c r="B707" s="2" t="s">
        <v>9290</v>
      </c>
      <c r="C707" s="2" t="s">
        <v>9291</v>
      </c>
      <c r="D707" s="2" t="s">
        <v>9292</v>
      </c>
      <c r="F707" s="3" t="s">
        <v>58</v>
      </c>
      <c r="G707" s="3" t="s">
        <v>59</v>
      </c>
      <c r="H707" s="3" t="s">
        <v>58</v>
      </c>
      <c r="I707" s="3" t="s">
        <v>58</v>
      </c>
      <c r="J707" s="3" t="s">
        <v>60</v>
      </c>
      <c r="K707" s="2" t="s">
        <v>9293</v>
      </c>
      <c r="L707" s="2" t="s">
        <v>9294</v>
      </c>
      <c r="M707" s="3" t="s">
        <v>1574</v>
      </c>
      <c r="N707" s="2" t="s">
        <v>1736</v>
      </c>
      <c r="O707" s="3" t="s">
        <v>64</v>
      </c>
      <c r="P707" s="3" t="s">
        <v>99</v>
      </c>
      <c r="R707" s="3" t="s">
        <v>67</v>
      </c>
      <c r="S707" s="4">
        <v>3</v>
      </c>
      <c r="T707" s="4">
        <v>3</v>
      </c>
      <c r="U707" s="5" t="s">
        <v>9295</v>
      </c>
      <c r="V707" s="5" t="s">
        <v>9295</v>
      </c>
      <c r="W707" s="5" t="s">
        <v>401</v>
      </c>
      <c r="X707" s="5" t="s">
        <v>401</v>
      </c>
      <c r="Y707" s="4">
        <v>692</v>
      </c>
      <c r="Z707" s="4">
        <v>553</v>
      </c>
      <c r="AA707" s="4">
        <v>563</v>
      </c>
      <c r="AB707" s="4">
        <v>2</v>
      </c>
      <c r="AC707" s="4">
        <v>2</v>
      </c>
      <c r="AD707" s="4">
        <v>20</v>
      </c>
      <c r="AE707" s="4">
        <v>20</v>
      </c>
      <c r="AF707" s="4">
        <v>9</v>
      </c>
      <c r="AG707" s="4">
        <v>9</v>
      </c>
      <c r="AH707" s="4">
        <v>6</v>
      </c>
      <c r="AI707" s="4">
        <v>6</v>
      </c>
      <c r="AJ707" s="4">
        <v>9</v>
      </c>
      <c r="AK707" s="4">
        <v>9</v>
      </c>
      <c r="AL707" s="4">
        <v>1</v>
      </c>
      <c r="AM707" s="4">
        <v>1</v>
      </c>
      <c r="AN707" s="4">
        <v>0</v>
      </c>
      <c r="AO707" s="4">
        <v>0</v>
      </c>
      <c r="AP707" s="3" t="s">
        <v>58</v>
      </c>
      <c r="AQ707" s="3" t="s">
        <v>86</v>
      </c>
      <c r="AR707" s="6" t="str">
        <f>HYPERLINK("http://catalog.hathitrust.org/Record/000276676","HathiTrust Record")</f>
        <v>HathiTrust Record</v>
      </c>
      <c r="AS707" s="6" t="str">
        <f>HYPERLINK("https://creighton-primo.hosted.exlibrisgroup.com/primo-explore/search?tab=default_tab&amp;search_scope=EVERYTHING&amp;vid=01CRU&amp;lang=en_US&amp;offset=0&amp;query=any,contains,991005229799702656","Catalog Record")</f>
        <v>Catalog Record</v>
      </c>
      <c r="AT707" s="6" t="str">
        <f>HYPERLINK("http://www.worldcat.org/oclc/8306730","WorldCat Record")</f>
        <v>WorldCat Record</v>
      </c>
      <c r="AU707" s="3" t="s">
        <v>9296</v>
      </c>
      <c r="AV707" s="3" t="s">
        <v>9297</v>
      </c>
      <c r="AW707" s="3" t="s">
        <v>9298</v>
      </c>
      <c r="AX707" s="3" t="s">
        <v>9298</v>
      </c>
      <c r="AY707" s="3" t="s">
        <v>9299</v>
      </c>
      <c r="AZ707" s="3" t="s">
        <v>74</v>
      </c>
      <c r="BB707" s="3" t="s">
        <v>9300</v>
      </c>
      <c r="BC707" s="3" t="s">
        <v>9301</v>
      </c>
      <c r="BD707" s="3" t="s">
        <v>9302</v>
      </c>
    </row>
    <row r="708" spans="1:56" ht="42.75" customHeight="1" x14ac:dyDescent="0.25">
      <c r="A708" s="7" t="s">
        <v>58</v>
      </c>
      <c r="B708" s="2" t="s">
        <v>9303</v>
      </c>
      <c r="C708" s="2" t="s">
        <v>9304</v>
      </c>
      <c r="D708" s="2" t="s">
        <v>9305</v>
      </c>
      <c r="F708" s="3" t="s">
        <v>58</v>
      </c>
      <c r="G708" s="3" t="s">
        <v>59</v>
      </c>
      <c r="H708" s="3" t="s">
        <v>58</v>
      </c>
      <c r="I708" s="3" t="s">
        <v>58</v>
      </c>
      <c r="J708" s="3" t="s">
        <v>60</v>
      </c>
      <c r="K708" s="2" t="s">
        <v>9306</v>
      </c>
      <c r="L708" s="2" t="s">
        <v>9307</v>
      </c>
      <c r="M708" s="3" t="s">
        <v>888</v>
      </c>
      <c r="N708" s="2" t="s">
        <v>1736</v>
      </c>
      <c r="O708" s="3" t="s">
        <v>64</v>
      </c>
      <c r="P708" s="3" t="s">
        <v>115</v>
      </c>
      <c r="R708" s="3" t="s">
        <v>67</v>
      </c>
      <c r="S708" s="4">
        <v>5</v>
      </c>
      <c r="T708" s="4">
        <v>5</v>
      </c>
      <c r="U708" s="5" t="s">
        <v>9308</v>
      </c>
      <c r="V708" s="5" t="s">
        <v>9308</v>
      </c>
      <c r="W708" s="5" t="s">
        <v>999</v>
      </c>
      <c r="X708" s="5" t="s">
        <v>999</v>
      </c>
      <c r="Y708" s="4">
        <v>235</v>
      </c>
      <c r="Z708" s="4">
        <v>192</v>
      </c>
      <c r="AA708" s="4">
        <v>196</v>
      </c>
      <c r="AB708" s="4">
        <v>2</v>
      </c>
      <c r="AC708" s="4">
        <v>2</v>
      </c>
      <c r="AD708" s="4">
        <v>11</v>
      </c>
      <c r="AE708" s="4">
        <v>11</v>
      </c>
      <c r="AF708" s="4">
        <v>3</v>
      </c>
      <c r="AG708" s="4">
        <v>3</v>
      </c>
      <c r="AH708" s="4">
        <v>1</v>
      </c>
      <c r="AI708" s="4">
        <v>1</v>
      </c>
      <c r="AJ708" s="4">
        <v>8</v>
      </c>
      <c r="AK708" s="4">
        <v>8</v>
      </c>
      <c r="AL708" s="4">
        <v>1</v>
      </c>
      <c r="AM708" s="4">
        <v>1</v>
      </c>
      <c r="AN708" s="4">
        <v>0</v>
      </c>
      <c r="AO708" s="4">
        <v>0</v>
      </c>
      <c r="AP708" s="3" t="s">
        <v>58</v>
      </c>
      <c r="AQ708" s="3" t="s">
        <v>58</v>
      </c>
      <c r="AS708" s="6" t="str">
        <f>HYPERLINK("https://creighton-primo.hosted.exlibrisgroup.com/primo-explore/search?tab=default_tab&amp;search_scope=EVERYTHING&amp;vid=01CRU&amp;lang=en_US&amp;offset=0&amp;query=any,contains,991002877089702656","Catalog Record")</f>
        <v>Catalog Record</v>
      </c>
      <c r="AT708" s="6" t="str">
        <f>HYPERLINK("http://www.worldcat.org/oclc/37917292","WorldCat Record")</f>
        <v>WorldCat Record</v>
      </c>
      <c r="AU708" s="3" t="s">
        <v>9309</v>
      </c>
      <c r="AV708" s="3" t="s">
        <v>9310</v>
      </c>
      <c r="AW708" s="3" t="s">
        <v>9311</v>
      </c>
      <c r="AX708" s="3" t="s">
        <v>9311</v>
      </c>
      <c r="AY708" s="3" t="s">
        <v>9312</v>
      </c>
      <c r="AZ708" s="3" t="s">
        <v>74</v>
      </c>
      <c r="BB708" s="3" t="s">
        <v>9313</v>
      </c>
      <c r="BC708" s="3" t="s">
        <v>9314</v>
      </c>
      <c r="BD708" s="3" t="s">
        <v>9315</v>
      </c>
    </row>
    <row r="709" spans="1:56" ht="42.75" customHeight="1" x14ac:dyDescent="0.25">
      <c r="A709" s="7" t="s">
        <v>58</v>
      </c>
      <c r="B709" s="2" t="s">
        <v>9316</v>
      </c>
      <c r="C709" s="2" t="s">
        <v>9317</v>
      </c>
      <c r="D709" s="2" t="s">
        <v>9318</v>
      </c>
      <c r="F709" s="3" t="s">
        <v>58</v>
      </c>
      <c r="G709" s="3" t="s">
        <v>59</v>
      </c>
      <c r="H709" s="3" t="s">
        <v>58</v>
      </c>
      <c r="I709" s="3" t="s">
        <v>58</v>
      </c>
      <c r="J709" s="3" t="s">
        <v>60</v>
      </c>
      <c r="L709" s="2" t="s">
        <v>9319</v>
      </c>
      <c r="M709" s="3" t="s">
        <v>114</v>
      </c>
      <c r="O709" s="3" t="s">
        <v>64</v>
      </c>
      <c r="P709" s="3" t="s">
        <v>115</v>
      </c>
      <c r="R709" s="3" t="s">
        <v>67</v>
      </c>
      <c r="S709" s="4">
        <v>6</v>
      </c>
      <c r="T709" s="4">
        <v>6</v>
      </c>
      <c r="U709" s="5" t="s">
        <v>9320</v>
      </c>
      <c r="V709" s="5" t="s">
        <v>9320</v>
      </c>
      <c r="W709" s="5" t="s">
        <v>9269</v>
      </c>
      <c r="X709" s="5" t="s">
        <v>9269</v>
      </c>
      <c r="Y709" s="4">
        <v>352</v>
      </c>
      <c r="Z709" s="4">
        <v>299</v>
      </c>
      <c r="AA709" s="4">
        <v>335</v>
      </c>
      <c r="AB709" s="4">
        <v>3</v>
      </c>
      <c r="AC709" s="4">
        <v>3</v>
      </c>
      <c r="AD709" s="4">
        <v>12</v>
      </c>
      <c r="AE709" s="4">
        <v>14</v>
      </c>
      <c r="AF709" s="4">
        <v>3</v>
      </c>
      <c r="AG709" s="4">
        <v>4</v>
      </c>
      <c r="AH709" s="4">
        <v>3</v>
      </c>
      <c r="AI709" s="4">
        <v>3</v>
      </c>
      <c r="AJ709" s="4">
        <v>7</v>
      </c>
      <c r="AK709" s="4">
        <v>9</v>
      </c>
      <c r="AL709" s="4">
        <v>2</v>
      </c>
      <c r="AM709" s="4">
        <v>2</v>
      </c>
      <c r="AN709" s="4">
        <v>0</v>
      </c>
      <c r="AO709" s="4">
        <v>0</v>
      </c>
      <c r="AP709" s="3" t="s">
        <v>58</v>
      </c>
      <c r="AQ709" s="3" t="s">
        <v>86</v>
      </c>
      <c r="AR709" s="6" t="str">
        <f>HYPERLINK("http://catalog.hathitrust.org/Record/000167668","HathiTrust Record")</f>
        <v>HathiTrust Record</v>
      </c>
      <c r="AS709" s="6" t="str">
        <f>HYPERLINK("https://creighton-primo.hosted.exlibrisgroup.com/primo-explore/search?tab=default_tab&amp;search_scope=EVERYTHING&amp;vid=01CRU&amp;lang=en_US&amp;offset=0&amp;query=any,contains,991000358569702656","Catalog Record")</f>
        <v>Catalog Record</v>
      </c>
      <c r="AT709" s="6" t="str">
        <f>HYPERLINK("http://www.worldcat.org/oclc/10348946","WorldCat Record")</f>
        <v>WorldCat Record</v>
      </c>
      <c r="AU709" s="3" t="s">
        <v>9321</v>
      </c>
      <c r="AV709" s="3" t="s">
        <v>9322</v>
      </c>
      <c r="AW709" s="3" t="s">
        <v>9323</v>
      </c>
      <c r="AX709" s="3" t="s">
        <v>9323</v>
      </c>
      <c r="AY709" s="3" t="s">
        <v>9324</v>
      </c>
      <c r="AZ709" s="3" t="s">
        <v>74</v>
      </c>
      <c r="BB709" s="3" t="s">
        <v>9325</v>
      </c>
      <c r="BC709" s="3" t="s">
        <v>9326</v>
      </c>
      <c r="BD709" s="3" t="s">
        <v>9327</v>
      </c>
    </row>
    <row r="710" spans="1:56" ht="42.75" customHeight="1" x14ac:dyDescent="0.25">
      <c r="A710" s="7" t="s">
        <v>58</v>
      </c>
      <c r="B710" s="2" t="s">
        <v>9328</v>
      </c>
      <c r="C710" s="2" t="s">
        <v>9329</v>
      </c>
      <c r="D710" s="2" t="s">
        <v>9330</v>
      </c>
      <c r="F710" s="3" t="s">
        <v>58</v>
      </c>
      <c r="G710" s="3" t="s">
        <v>59</v>
      </c>
      <c r="H710" s="3" t="s">
        <v>58</v>
      </c>
      <c r="I710" s="3" t="s">
        <v>86</v>
      </c>
      <c r="J710" s="3" t="s">
        <v>60</v>
      </c>
      <c r="K710" s="2" t="s">
        <v>9331</v>
      </c>
      <c r="L710" s="2" t="s">
        <v>7692</v>
      </c>
      <c r="M710" s="3" t="s">
        <v>238</v>
      </c>
      <c r="N710" s="2" t="s">
        <v>9332</v>
      </c>
      <c r="O710" s="3" t="s">
        <v>64</v>
      </c>
      <c r="P710" s="3" t="s">
        <v>115</v>
      </c>
      <c r="R710" s="3" t="s">
        <v>67</v>
      </c>
      <c r="S710" s="4">
        <v>3</v>
      </c>
      <c r="T710" s="4">
        <v>3</v>
      </c>
      <c r="U710" s="5" t="s">
        <v>2813</v>
      </c>
      <c r="V710" s="5" t="s">
        <v>2813</v>
      </c>
      <c r="W710" s="5" t="s">
        <v>9269</v>
      </c>
      <c r="X710" s="5" t="s">
        <v>9269</v>
      </c>
      <c r="Y710" s="4">
        <v>283</v>
      </c>
      <c r="Z710" s="4">
        <v>215</v>
      </c>
      <c r="AA710" s="4">
        <v>480</v>
      </c>
      <c r="AB710" s="4">
        <v>1</v>
      </c>
      <c r="AC710" s="4">
        <v>5</v>
      </c>
      <c r="AD710" s="4">
        <v>10</v>
      </c>
      <c r="AE710" s="4">
        <v>20</v>
      </c>
      <c r="AF710" s="4">
        <v>2</v>
      </c>
      <c r="AG710" s="4">
        <v>5</v>
      </c>
      <c r="AH710" s="4">
        <v>3</v>
      </c>
      <c r="AI710" s="4">
        <v>6</v>
      </c>
      <c r="AJ710" s="4">
        <v>9</v>
      </c>
      <c r="AK710" s="4">
        <v>11</v>
      </c>
      <c r="AL710" s="4">
        <v>0</v>
      </c>
      <c r="AM710" s="4">
        <v>4</v>
      </c>
      <c r="AN710" s="4">
        <v>0</v>
      </c>
      <c r="AO710" s="4">
        <v>0</v>
      </c>
      <c r="AP710" s="3" t="s">
        <v>58</v>
      </c>
      <c r="AQ710" s="3" t="s">
        <v>86</v>
      </c>
      <c r="AR710" s="6" t="str">
        <f>HYPERLINK("http://catalog.hathitrust.org/Record/000717613","HathiTrust Record")</f>
        <v>HathiTrust Record</v>
      </c>
      <c r="AS710" s="6" t="str">
        <f>HYPERLINK("https://creighton-primo.hosted.exlibrisgroup.com/primo-explore/search?tab=default_tab&amp;search_scope=EVERYTHING&amp;vid=01CRU&amp;lang=en_US&amp;offset=0&amp;query=any,contains,991005265479702656","Catalog Record")</f>
        <v>Catalog Record</v>
      </c>
      <c r="AT710" s="6" t="str">
        <f>HYPERLINK("http://www.worldcat.org/oclc/4493242","WorldCat Record")</f>
        <v>WorldCat Record</v>
      </c>
      <c r="AU710" s="3" t="s">
        <v>9333</v>
      </c>
      <c r="AV710" s="3" t="s">
        <v>9334</v>
      </c>
      <c r="AW710" s="3" t="s">
        <v>9335</v>
      </c>
      <c r="AX710" s="3" t="s">
        <v>9335</v>
      </c>
      <c r="AY710" s="3" t="s">
        <v>9336</v>
      </c>
      <c r="AZ710" s="3" t="s">
        <v>74</v>
      </c>
      <c r="BB710" s="3" t="s">
        <v>9337</v>
      </c>
      <c r="BC710" s="3" t="s">
        <v>9338</v>
      </c>
      <c r="BD710" s="3" t="s">
        <v>9339</v>
      </c>
    </row>
    <row r="711" spans="1:56" ht="42.75" customHeight="1" x14ac:dyDescent="0.25">
      <c r="A711" s="7" t="s">
        <v>58</v>
      </c>
      <c r="B711" s="2" t="s">
        <v>9340</v>
      </c>
      <c r="C711" s="2" t="s">
        <v>9341</v>
      </c>
      <c r="D711" s="2" t="s">
        <v>9342</v>
      </c>
      <c r="F711" s="3" t="s">
        <v>58</v>
      </c>
      <c r="G711" s="3" t="s">
        <v>59</v>
      </c>
      <c r="H711" s="3" t="s">
        <v>58</v>
      </c>
      <c r="I711" s="3" t="s">
        <v>86</v>
      </c>
      <c r="J711" s="3" t="s">
        <v>60</v>
      </c>
      <c r="K711" s="2" t="s">
        <v>5571</v>
      </c>
      <c r="L711" s="2" t="s">
        <v>5302</v>
      </c>
      <c r="M711" s="3" t="s">
        <v>223</v>
      </c>
      <c r="N711" s="2" t="s">
        <v>315</v>
      </c>
      <c r="O711" s="3" t="s">
        <v>64</v>
      </c>
      <c r="P711" s="3" t="s">
        <v>2609</v>
      </c>
      <c r="R711" s="3" t="s">
        <v>67</v>
      </c>
      <c r="S711" s="4">
        <v>6</v>
      </c>
      <c r="T711" s="4">
        <v>6</v>
      </c>
      <c r="U711" s="5" t="s">
        <v>8795</v>
      </c>
      <c r="V711" s="5" t="s">
        <v>8795</v>
      </c>
      <c r="W711" s="5" t="s">
        <v>9343</v>
      </c>
      <c r="X711" s="5" t="s">
        <v>9343</v>
      </c>
      <c r="Y711" s="4">
        <v>364</v>
      </c>
      <c r="Z711" s="4">
        <v>297</v>
      </c>
      <c r="AA711" s="4">
        <v>1469</v>
      </c>
      <c r="AB711" s="4">
        <v>3</v>
      </c>
      <c r="AC711" s="4">
        <v>10</v>
      </c>
      <c r="AD711" s="4">
        <v>8</v>
      </c>
      <c r="AE711" s="4">
        <v>48</v>
      </c>
      <c r="AF711" s="4">
        <v>2</v>
      </c>
      <c r="AG711" s="4">
        <v>21</v>
      </c>
      <c r="AH711" s="4">
        <v>3</v>
      </c>
      <c r="AI711" s="4">
        <v>9</v>
      </c>
      <c r="AJ711" s="4">
        <v>5</v>
      </c>
      <c r="AK711" s="4">
        <v>22</v>
      </c>
      <c r="AL711" s="4">
        <v>1</v>
      </c>
      <c r="AM711" s="4">
        <v>6</v>
      </c>
      <c r="AN711" s="4">
        <v>0</v>
      </c>
      <c r="AO711" s="4">
        <v>0</v>
      </c>
      <c r="AP711" s="3" t="s">
        <v>58</v>
      </c>
      <c r="AQ711" s="3" t="s">
        <v>86</v>
      </c>
      <c r="AR711" s="6" t="str">
        <f>HYPERLINK("http://catalog.hathitrust.org/Record/000254317","HathiTrust Record")</f>
        <v>HathiTrust Record</v>
      </c>
      <c r="AS711" s="6" t="str">
        <f>HYPERLINK("https://creighton-primo.hosted.exlibrisgroup.com/primo-explore/search?tab=default_tab&amp;search_scope=EVERYTHING&amp;vid=01CRU&amp;lang=en_US&amp;offset=0&amp;query=any,contains,991004342639702656","Catalog Record")</f>
        <v>Catalog Record</v>
      </c>
      <c r="AT711" s="6" t="str">
        <f>HYPERLINK("http://www.worldcat.org/oclc/3090169","WorldCat Record")</f>
        <v>WorldCat Record</v>
      </c>
      <c r="AU711" s="3" t="s">
        <v>8710</v>
      </c>
      <c r="AV711" s="3" t="s">
        <v>9344</v>
      </c>
      <c r="AW711" s="3" t="s">
        <v>9345</v>
      </c>
      <c r="AX711" s="3" t="s">
        <v>9345</v>
      </c>
      <c r="AY711" s="3" t="s">
        <v>9346</v>
      </c>
      <c r="AZ711" s="3" t="s">
        <v>74</v>
      </c>
      <c r="BB711" s="3" t="s">
        <v>9347</v>
      </c>
      <c r="BC711" s="3" t="s">
        <v>9348</v>
      </c>
      <c r="BD711" s="3" t="s">
        <v>9349</v>
      </c>
    </row>
    <row r="712" spans="1:56" ht="42.75" customHeight="1" x14ac:dyDescent="0.25">
      <c r="A712" s="7" t="s">
        <v>58</v>
      </c>
      <c r="B712" s="2" t="s">
        <v>9350</v>
      </c>
      <c r="C712" s="2" t="s">
        <v>9351</v>
      </c>
      <c r="D712" s="2" t="s">
        <v>9352</v>
      </c>
      <c r="F712" s="3" t="s">
        <v>58</v>
      </c>
      <c r="G712" s="3" t="s">
        <v>59</v>
      </c>
      <c r="H712" s="3" t="s">
        <v>58</v>
      </c>
      <c r="I712" s="3" t="s">
        <v>58</v>
      </c>
      <c r="J712" s="3" t="s">
        <v>60</v>
      </c>
      <c r="L712" s="2" t="s">
        <v>9353</v>
      </c>
      <c r="M712" s="3" t="s">
        <v>63</v>
      </c>
      <c r="N712" s="2" t="s">
        <v>1844</v>
      </c>
      <c r="O712" s="3" t="s">
        <v>64</v>
      </c>
      <c r="P712" s="3" t="s">
        <v>115</v>
      </c>
      <c r="Q712" s="2" t="s">
        <v>9354</v>
      </c>
      <c r="R712" s="3" t="s">
        <v>67</v>
      </c>
      <c r="S712" s="4">
        <v>1</v>
      </c>
      <c r="T712" s="4">
        <v>1</v>
      </c>
      <c r="U712" s="5" t="s">
        <v>8795</v>
      </c>
      <c r="V712" s="5" t="s">
        <v>8795</v>
      </c>
      <c r="W712" s="5" t="s">
        <v>4730</v>
      </c>
      <c r="X712" s="5" t="s">
        <v>4730</v>
      </c>
      <c r="Y712" s="4">
        <v>342</v>
      </c>
      <c r="Z712" s="4">
        <v>291</v>
      </c>
      <c r="AA712" s="4">
        <v>510</v>
      </c>
      <c r="AB712" s="4">
        <v>2</v>
      </c>
      <c r="AC712" s="4">
        <v>7</v>
      </c>
      <c r="AD712" s="4">
        <v>11</v>
      </c>
      <c r="AE712" s="4">
        <v>23</v>
      </c>
      <c r="AF712" s="4">
        <v>3</v>
      </c>
      <c r="AG712" s="4">
        <v>7</v>
      </c>
      <c r="AH712" s="4">
        <v>3</v>
      </c>
      <c r="AI712" s="4">
        <v>5</v>
      </c>
      <c r="AJ712" s="4">
        <v>4</v>
      </c>
      <c r="AK712" s="4">
        <v>12</v>
      </c>
      <c r="AL712" s="4">
        <v>1</v>
      </c>
      <c r="AM712" s="4">
        <v>5</v>
      </c>
      <c r="AN712" s="4">
        <v>0</v>
      </c>
      <c r="AO712" s="4">
        <v>0</v>
      </c>
      <c r="AP712" s="3" t="s">
        <v>58</v>
      </c>
      <c r="AQ712" s="3" t="s">
        <v>86</v>
      </c>
      <c r="AR712" s="6" t="str">
        <f>HYPERLINK("http://catalog.hathitrust.org/Record/000651713","HathiTrust Record")</f>
        <v>HathiTrust Record</v>
      </c>
      <c r="AS712" s="6" t="str">
        <f>HYPERLINK("https://creighton-primo.hosted.exlibrisgroup.com/primo-explore/search?tab=default_tab&amp;search_scope=EVERYTHING&amp;vid=01CRU&amp;lang=en_US&amp;offset=0&amp;query=any,contains,991000154099702656","Catalog Record")</f>
        <v>Catalog Record</v>
      </c>
      <c r="AT712" s="6" t="str">
        <f>HYPERLINK("http://www.worldcat.org/oclc/9219396","WorldCat Record")</f>
        <v>WorldCat Record</v>
      </c>
      <c r="AU712" s="3" t="s">
        <v>9355</v>
      </c>
      <c r="AV712" s="3" t="s">
        <v>9356</v>
      </c>
      <c r="AW712" s="3" t="s">
        <v>9357</v>
      </c>
      <c r="AX712" s="3" t="s">
        <v>9357</v>
      </c>
      <c r="AY712" s="3" t="s">
        <v>9358</v>
      </c>
      <c r="AZ712" s="3" t="s">
        <v>74</v>
      </c>
      <c r="BB712" s="3" t="s">
        <v>9359</v>
      </c>
      <c r="BC712" s="3" t="s">
        <v>9360</v>
      </c>
      <c r="BD712" s="3" t="s">
        <v>9361</v>
      </c>
    </row>
    <row r="713" spans="1:56" ht="42.75" customHeight="1" x14ac:dyDescent="0.25">
      <c r="A713" s="7" t="s">
        <v>58</v>
      </c>
      <c r="B713" s="2" t="s">
        <v>9362</v>
      </c>
      <c r="C713" s="2" t="s">
        <v>9363</v>
      </c>
      <c r="D713" s="2" t="s">
        <v>9364</v>
      </c>
      <c r="F713" s="3" t="s">
        <v>58</v>
      </c>
      <c r="G713" s="3" t="s">
        <v>59</v>
      </c>
      <c r="H713" s="3" t="s">
        <v>58</v>
      </c>
      <c r="I713" s="3" t="s">
        <v>58</v>
      </c>
      <c r="J713" s="3" t="s">
        <v>60</v>
      </c>
      <c r="K713" s="2" t="s">
        <v>9365</v>
      </c>
      <c r="L713" s="2" t="s">
        <v>9366</v>
      </c>
      <c r="M713" s="3" t="s">
        <v>238</v>
      </c>
      <c r="O713" s="3" t="s">
        <v>64</v>
      </c>
      <c r="P713" s="3" t="s">
        <v>2609</v>
      </c>
      <c r="R713" s="3" t="s">
        <v>67</v>
      </c>
      <c r="S713" s="4">
        <v>6</v>
      </c>
      <c r="T713" s="4">
        <v>6</v>
      </c>
      <c r="U713" s="5" t="s">
        <v>9367</v>
      </c>
      <c r="V713" s="5" t="s">
        <v>9367</v>
      </c>
      <c r="W713" s="5" t="s">
        <v>4730</v>
      </c>
      <c r="X713" s="5" t="s">
        <v>4730</v>
      </c>
      <c r="Y713" s="4">
        <v>388</v>
      </c>
      <c r="Z713" s="4">
        <v>330</v>
      </c>
      <c r="AA713" s="4">
        <v>435</v>
      </c>
      <c r="AB713" s="4">
        <v>4</v>
      </c>
      <c r="AC713" s="4">
        <v>4</v>
      </c>
      <c r="AD713" s="4">
        <v>21</v>
      </c>
      <c r="AE713" s="4">
        <v>25</v>
      </c>
      <c r="AF713" s="4">
        <v>10</v>
      </c>
      <c r="AG713" s="4">
        <v>10</v>
      </c>
      <c r="AH713" s="4">
        <v>4</v>
      </c>
      <c r="AI713" s="4">
        <v>6</v>
      </c>
      <c r="AJ713" s="4">
        <v>9</v>
      </c>
      <c r="AK713" s="4">
        <v>11</v>
      </c>
      <c r="AL713" s="4">
        <v>3</v>
      </c>
      <c r="AM713" s="4">
        <v>3</v>
      </c>
      <c r="AN713" s="4">
        <v>0</v>
      </c>
      <c r="AO713" s="4">
        <v>0</v>
      </c>
      <c r="AP713" s="3" t="s">
        <v>58</v>
      </c>
      <c r="AQ713" s="3" t="s">
        <v>86</v>
      </c>
      <c r="AR713" s="6" t="str">
        <f>HYPERLINK("http://catalog.hathitrust.org/Record/004421949","HathiTrust Record")</f>
        <v>HathiTrust Record</v>
      </c>
      <c r="AS713" s="6" t="str">
        <f>HYPERLINK("https://creighton-primo.hosted.exlibrisgroup.com/primo-explore/search?tab=default_tab&amp;search_scope=EVERYTHING&amp;vid=01CRU&amp;lang=en_US&amp;offset=0&amp;query=any,contains,991005317619702656","Catalog Record")</f>
        <v>Catalog Record</v>
      </c>
      <c r="AT713" s="6" t="str">
        <f>HYPERLINK("http://www.worldcat.org/oclc/4549594","WorldCat Record")</f>
        <v>WorldCat Record</v>
      </c>
      <c r="AU713" s="3" t="s">
        <v>9368</v>
      </c>
      <c r="AV713" s="3" t="s">
        <v>9369</v>
      </c>
      <c r="AW713" s="3" t="s">
        <v>9370</v>
      </c>
      <c r="AX713" s="3" t="s">
        <v>9370</v>
      </c>
      <c r="AY713" s="3" t="s">
        <v>9371</v>
      </c>
      <c r="AZ713" s="3" t="s">
        <v>74</v>
      </c>
      <c r="BB713" s="3" t="s">
        <v>9372</v>
      </c>
      <c r="BC713" s="3" t="s">
        <v>9373</v>
      </c>
      <c r="BD713" s="3" t="s">
        <v>9374</v>
      </c>
    </row>
    <row r="714" spans="1:56" ht="42.75" customHeight="1" x14ac:dyDescent="0.25">
      <c r="A714" s="7" t="s">
        <v>58</v>
      </c>
      <c r="B714" s="2" t="s">
        <v>9375</v>
      </c>
      <c r="C714" s="2" t="s">
        <v>9376</v>
      </c>
      <c r="D714" s="2" t="s">
        <v>9377</v>
      </c>
      <c r="F714" s="3" t="s">
        <v>58</v>
      </c>
      <c r="G714" s="3" t="s">
        <v>59</v>
      </c>
      <c r="H714" s="3" t="s">
        <v>58</v>
      </c>
      <c r="I714" s="3" t="s">
        <v>58</v>
      </c>
      <c r="J714" s="3" t="s">
        <v>60</v>
      </c>
      <c r="K714" s="2" t="s">
        <v>9378</v>
      </c>
      <c r="L714" s="2" t="s">
        <v>9379</v>
      </c>
      <c r="M714" s="3" t="s">
        <v>63</v>
      </c>
      <c r="O714" s="3" t="s">
        <v>64</v>
      </c>
      <c r="P714" s="3" t="s">
        <v>359</v>
      </c>
      <c r="R714" s="3" t="s">
        <v>67</v>
      </c>
      <c r="S714" s="4">
        <v>4</v>
      </c>
      <c r="T714" s="4">
        <v>4</v>
      </c>
      <c r="U714" s="5" t="s">
        <v>9367</v>
      </c>
      <c r="V714" s="5" t="s">
        <v>9367</v>
      </c>
      <c r="W714" s="5" t="s">
        <v>4730</v>
      </c>
      <c r="X714" s="5" t="s">
        <v>4730</v>
      </c>
      <c r="Y714" s="4">
        <v>262</v>
      </c>
      <c r="Z714" s="4">
        <v>233</v>
      </c>
      <c r="AA714" s="4">
        <v>234</v>
      </c>
      <c r="AB714" s="4">
        <v>2</v>
      </c>
      <c r="AC714" s="4">
        <v>2</v>
      </c>
      <c r="AD714" s="4">
        <v>6</v>
      </c>
      <c r="AE714" s="4">
        <v>6</v>
      </c>
      <c r="AF714" s="4">
        <v>1</v>
      </c>
      <c r="AG714" s="4">
        <v>1</v>
      </c>
      <c r="AH714" s="4">
        <v>2</v>
      </c>
      <c r="AI714" s="4">
        <v>2</v>
      </c>
      <c r="AJ714" s="4">
        <v>2</v>
      </c>
      <c r="AK714" s="4">
        <v>2</v>
      </c>
      <c r="AL714" s="4">
        <v>1</v>
      </c>
      <c r="AM714" s="4">
        <v>1</v>
      </c>
      <c r="AN714" s="4">
        <v>0</v>
      </c>
      <c r="AO714" s="4">
        <v>0</v>
      </c>
      <c r="AP714" s="3" t="s">
        <v>58</v>
      </c>
      <c r="AQ714" s="3" t="s">
        <v>58</v>
      </c>
      <c r="AS714" s="6" t="str">
        <f>HYPERLINK("https://creighton-primo.hosted.exlibrisgroup.com/primo-explore/search?tab=default_tab&amp;search_scope=EVERYTHING&amp;vid=01CRU&amp;lang=en_US&amp;offset=0&amp;query=any,contains,991000202579702656","Catalog Record")</f>
        <v>Catalog Record</v>
      </c>
      <c r="AT714" s="6" t="str">
        <f>HYPERLINK("http://www.worldcat.org/oclc/9465890","WorldCat Record")</f>
        <v>WorldCat Record</v>
      </c>
      <c r="AU714" s="3" t="s">
        <v>9380</v>
      </c>
      <c r="AV714" s="3" t="s">
        <v>9381</v>
      </c>
      <c r="AW714" s="3" t="s">
        <v>9382</v>
      </c>
      <c r="AX714" s="3" t="s">
        <v>9382</v>
      </c>
      <c r="AY714" s="3" t="s">
        <v>9383</v>
      </c>
      <c r="AZ714" s="3" t="s">
        <v>74</v>
      </c>
      <c r="BB714" s="3" t="s">
        <v>9384</v>
      </c>
      <c r="BC714" s="3" t="s">
        <v>9385</v>
      </c>
      <c r="BD714" s="3" t="s">
        <v>9386</v>
      </c>
    </row>
    <row r="715" spans="1:56" ht="42.75" customHeight="1" x14ac:dyDescent="0.25">
      <c r="A715" s="7" t="s">
        <v>58</v>
      </c>
      <c r="B715" s="2" t="s">
        <v>9387</v>
      </c>
      <c r="C715" s="2" t="s">
        <v>9388</v>
      </c>
      <c r="D715" s="2" t="s">
        <v>9389</v>
      </c>
      <c r="F715" s="3" t="s">
        <v>58</v>
      </c>
      <c r="G715" s="3" t="s">
        <v>59</v>
      </c>
      <c r="H715" s="3" t="s">
        <v>58</v>
      </c>
      <c r="I715" s="3" t="s">
        <v>58</v>
      </c>
      <c r="J715" s="3" t="s">
        <v>60</v>
      </c>
      <c r="K715" s="2" t="s">
        <v>9390</v>
      </c>
      <c r="L715" s="2" t="s">
        <v>9391</v>
      </c>
      <c r="M715" s="3" t="s">
        <v>534</v>
      </c>
      <c r="O715" s="3" t="s">
        <v>64</v>
      </c>
      <c r="P715" s="3" t="s">
        <v>83</v>
      </c>
      <c r="R715" s="3" t="s">
        <v>67</v>
      </c>
      <c r="S715" s="4">
        <v>2</v>
      </c>
      <c r="T715" s="4">
        <v>2</v>
      </c>
      <c r="U715" s="5" t="s">
        <v>9392</v>
      </c>
      <c r="V715" s="5" t="s">
        <v>9392</v>
      </c>
      <c r="W715" s="5" t="s">
        <v>9393</v>
      </c>
      <c r="X715" s="5" t="s">
        <v>9393</v>
      </c>
      <c r="Y715" s="4">
        <v>191</v>
      </c>
      <c r="Z715" s="4">
        <v>164</v>
      </c>
      <c r="AA715" s="4">
        <v>166</v>
      </c>
      <c r="AB715" s="4">
        <v>1</v>
      </c>
      <c r="AC715" s="4">
        <v>1</v>
      </c>
      <c r="AD715" s="4">
        <v>6</v>
      </c>
      <c r="AE715" s="4">
        <v>6</v>
      </c>
      <c r="AF715" s="4">
        <v>2</v>
      </c>
      <c r="AG715" s="4">
        <v>2</v>
      </c>
      <c r="AH715" s="4">
        <v>2</v>
      </c>
      <c r="AI715" s="4">
        <v>2</v>
      </c>
      <c r="AJ715" s="4">
        <v>5</v>
      </c>
      <c r="AK715" s="4">
        <v>5</v>
      </c>
      <c r="AL715" s="4">
        <v>0</v>
      </c>
      <c r="AM715" s="4">
        <v>0</v>
      </c>
      <c r="AN715" s="4">
        <v>0</v>
      </c>
      <c r="AO715" s="4">
        <v>0</v>
      </c>
      <c r="AP715" s="3" t="s">
        <v>58</v>
      </c>
      <c r="AQ715" s="3" t="s">
        <v>58</v>
      </c>
      <c r="AS715" s="6" t="str">
        <f>HYPERLINK("https://creighton-primo.hosted.exlibrisgroup.com/primo-explore/search?tab=default_tab&amp;search_scope=EVERYTHING&amp;vid=01CRU&amp;lang=en_US&amp;offset=0&amp;query=any,contains,991001533069702656","Catalog Record")</f>
        <v>Catalog Record</v>
      </c>
      <c r="AT715" s="6" t="str">
        <f>HYPERLINK("http://www.worldcat.org/oclc/20056222","WorldCat Record")</f>
        <v>WorldCat Record</v>
      </c>
      <c r="AU715" s="3" t="s">
        <v>9394</v>
      </c>
      <c r="AV715" s="3" t="s">
        <v>9395</v>
      </c>
      <c r="AW715" s="3" t="s">
        <v>9396</v>
      </c>
      <c r="AX715" s="3" t="s">
        <v>9396</v>
      </c>
      <c r="AY715" s="3" t="s">
        <v>9397</v>
      </c>
      <c r="AZ715" s="3" t="s">
        <v>74</v>
      </c>
      <c r="BB715" s="3" t="s">
        <v>9398</v>
      </c>
      <c r="BC715" s="3" t="s">
        <v>9399</v>
      </c>
      <c r="BD715" s="3" t="s">
        <v>9400</v>
      </c>
    </row>
    <row r="716" spans="1:56" ht="42.75" customHeight="1" x14ac:dyDescent="0.25">
      <c r="A716" s="7" t="s">
        <v>58</v>
      </c>
      <c r="B716" s="2" t="s">
        <v>9401</v>
      </c>
      <c r="C716" s="2" t="s">
        <v>9402</v>
      </c>
      <c r="D716" s="2" t="s">
        <v>9403</v>
      </c>
      <c r="F716" s="3" t="s">
        <v>58</v>
      </c>
      <c r="G716" s="3" t="s">
        <v>59</v>
      </c>
      <c r="H716" s="3" t="s">
        <v>58</v>
      </c>
      <c r="I716" s="3" t="s">
        <v>58</v>
      </c>
      <c r="J716" s="3" t="s">
        <v>60</v>
      </c>
      <c r="K716" s="2" t="s">
        <v>9404</v>
      </c>
      <c r="L716" s="2" t="s">
        <v>9405</v>
      </c>
      <c r="M716" s="3" t="s">
        <v>207</v>
      </c>
      <c r="O716" s="3" t="s">
        <v>64</v>
      </c>
      <c r="P716" s="3" t="s">
        <v>115</v>
      </c>
      <c r="R716" s="3" t="s">
        <v>67</v>
      </c>
      <c r="S716" s="4">
        <v>2</v>
      </c>
      <c r="T716" s="4">
        <v>2</v>
      </c>
      <c r="U716" s="5" t="s">
        <v>4513</v>
      </c>
      <c r="V716" s="5" t="s">
        <v>4513</v>
      </c>
      <c r="W716" s="5" t="s">
        <v>4730</v>
      </c>
      <c r="X716" s="5" t="s">
        <v>4730</v>
      </c>
      <c r="Y716" s="4">
        <v>466</v>
      </c>
      <c r="Z716" s="4">
        <v>386</v>
      </c>
      <c r="AA716" s="4">
        <v>415</v>
      </c>
      <c r="AB716" s="4">
        <v>3</v>
      </c>
      <c r="AC716" s="4">
        <v>3</v>
      </c>
      <c r="AD716" s="4">
        <v>15</v>
      </c>
      <c r="AE716" s="4">
        <v>17</v>
      </c>
      <c r="AF716" s="4">
        <v>5</v>
      </c>
      <c r="AG716" s="4">
        <v>5</v>
      </c>
      <c r="AH716" s="4">
        <v>1</v>
      </c>
      <c r="AI716" s="4">
        <v>2</v>
      </c>
      <c r="AJ716" s="4">
        <v>11</v>
      </c>
      <c r="AK716" s="4">
        <v>13</v>
      </c>
      <c r="AL716" s="4">
        <v>2</v>
      </c>
      <c r="AM716" s="4">
        <v>2</v>
      </c>
      <c r="AN716" s="4">
        <v>0</v>
      </c>
      <c r="AO716" s="4">
        <v>0</v>
      </c>
      <c r="AP716" s="3" t="s">
        <v>58</v>
      </c>
      <c r="AQ716" s="3" t="s">
        <v>58</v>
      </c>
      <c r="AS716" s="6" t="str">
        <f>HYPERLINK("https://creighton-primo.hosted.exlibrisgroup.com/primo-explore/search?tab=default_tab&amp;search_scope=EVERYTHING&amp;vid=01CRU&amp;lang=en_US&amp;offset=0&amp;query=any,contains,991005246519702656","Catalog Record")</f>
        <v>Catalog Record</v>
      </c>
      <c r="AT716" s="6" t="str">
        <f>HYPERLINK("http://www.worldcat.org/oclc/7552685","WorldCat Record")</f>
        <v>WorldCat Record</v>
      </c>
      <c r="AU716" s="3" t="s">
        <v>9406</v>
      </c>
      <c r="AV716" s="3" t="s">
        <v>9407</v>
      </c>
      <c r="AW716" s="3" t="s">
        <v>9408</v>
      </c>
      <c r="AX716" s="3" t="s">
        <v>9408</v>
      </c>
      <c r="AY716" s="3" t="s">
        <v>9409</v>
      </c>
      <c r="AZ716" s="3" t="s">
        <v>74</v>
      </c>
      <c r="BB716" s="3" t="s">
        <v>9410</v>
      </c>
      <c r="BC716" s="3" t="s">
        <v>9411</v>
      </c>
      <c r="BD716" s="3" t="s">
        <v>9412</v>
      </c>
    </row>
    <row r="717" spans="1:56" ht="42.75" customHeight="1" x14ac:dyDescent="0.25">
      <c r="A717" s="7" t="s">
        <v>58</v>
      </c>
      <c r="B717" s="2" t="s">
        <v>9413</v>
      </c>
      <c r="C717" s="2" t="s">
        <v>9414</v>
      </c>
      <c r="D717" s="2" t="s">
        <v>9415</v>
      </c>
      <c r="F717" s="3" t="s">
        <v>58</v>
      </c>
      <c r="G717" s="3" t="s">
        <v>59</v>
      </c>
      <c r="H717" s="3" t="s">
        <v>58</v>
      </c>
      <c r="I717" s="3" t="s">
        <v>58</v>
      </c>
      <c r="J717" s="3" t="s">
        <v>60</v>
      </c>
      <c r="K717" s="2" t="s">
        <v>9404</v>
      </c>
      <c r="L717" s="2" t="s">
        <v>5340</v>
      </c>
      <c r="M717" s="3" t="s">
        <v>223</v>
      </c>
      <c r="O717" s="3" t="s">
        <v>64</v>
      </c>
      <c r="P717" s="3" t="s">
        <v>115</v>
      </c>
      <c r="Q717" s="2" t="s">
        <v>9416</v>
      </c>
      <c r="R717" s="3" t="s">
        <v>67</v>
      </c>
      <c r="S717" s="4">
        <v>6</v>
      </c>
      <c r="T717" s="4">
        <v>6</v>
      </c>
      <c r="U717" s="5" t="s">
        <v>9417</v>
      </c>
      <c r="V717" s="5" t="s">
        <v>9417</v>
      </c>
      <c r="W717" s="5" t="s">
        <v>4730</v>
      </c>
      <c r="X717" s="5" t="s">
        <v>4730</v>
      </c>
      <c r="Y717" s="4">
        <v>685</v>
      </c>
      <c r="Z717" s="4">
        <v>535</v>
      </c>
      <c r="AA717" s="4">
        <v>538</v>
      </c>
      <c r="AB717" s="4">
        <v>7</v>
      </c>
      <c r="AC717" s="4">
        <v>7</v>
      </c>
      <c r="AD717" s="4">
        <v>25</v>
      </c>
      <c r="AE717" s="4">
        <v>25</v>
      </c>
      <c r="AF717" s="4">
        <v>8</v>
      </c>
      <c r="AG717" s="4">
        <v>8</v>
      </c>
      <c r="AH717" s="4">
        <v>7</v>
      </c>
      <c r="AI717" s="4">
        <v>7</v>
      </c>
      <c r="AJ717" s="4">
        <v>12</v>
      </c>
      <c r="AK717" s="4">
        <v>12</v>
      </c>
      <c r="AL717" s="4">
        <v>6</v>
      </c>
      <c r="AM717" s="4">
        <v>6</v>
      </c>
      <c r="AN717" s="4">
        <v>0</v>
      </c>
      <c r="AO717" s="4">
        <v>0</v>
      </c>
      <c r="AP717" s="3" t="s">
        <v>58</v>
      </c>
      <c r="AQ717" s="3" t="s">
        <v>86</v>
      </c>
      <c r="AR717" s="6" t="str">
        <f>HYPERLINK("http://catalog.hathitrust.org/Record/000133599","HathiTrust Record")</f>
        <v>HathiTrust Record</v>
      </c>
      <c r="AS717" s="6" t="str">
        <f>HYPERLINK("https://creighton-primo.hosted.exlibrisgroup.com/primo-explore/search?tab=default_tab&amp;search_scope=EVERYTHING&amp;vid=01CRU&amp;lang=en_US&amp;offset=0&amp;query=any,contains,991004512849702656","Catalog Record")</f>
        <v>Catalog Record</v>
      </c>
      <c r="AT717" s="6" t="str">
        <f>HYPERLINK("http://www.worldcat.org/oclc/3771756","WorldCat Record")</f>
        <v>WorldCat Record</v>
      </c>
      <c r="AU717" s="3" t="s">
        <v>9418</v>
      </c>
      <c r="AV717" s="3" t="s">
        <v>9419</v>
      </c>
      <c r="AW717" s="3" t="s">
        <v>9420</v>
      </c>
      <c r="AX717" s="3" t="s">
        <v>9420</v>
      </c>
      <c r="AY717" s="3" t="s">
        <v>9421</v>
      </c>
      <c r="AZ717" s="3" t="s">
        <v>74</v>
      </c>
      <c r="BB717" s="3" t="s">
        <v>9422</v>
      </c>
      <c r="BC717" s="3" t="s">
        <v>9423</v>
      </c>
      <c r="BD717" s="3" t="s">
        <v>9424</v>
      </c>
    </row>
    <row r="718" spans="1:56" ht="42.75" customHeight="1" x14ac:dyDescent="0.25">
      <c r="A718" s="7" t="s">
        <v>58</v>
      </c>
      <c r="B718" s="2" t="s">
        <v>9425</v>
      </c>
      <c r="C718" s="2" t="s">
        <v>9426</v>
      </c>
      <c r="D718" s="2" t="s">
        <v>9427</v>
      </c>
      <c r="F718" s="3" t="s">
        <v>58</v>
      </c>
      <c r="G718" s="3" t="s">
        <v>59</v>
      </c>
      <c r="H718" s="3" t="s">
        <v>58</v>
      </c>
      <c r="I718" s="3" t="s">
        <v>58</v>
      </c>
      <c r="J718" s="3" t="s">
        <v>60</v>
      </c>
      <c r="K718" s="2" t="s">
        <v>9428</v>
      </c>
      <c r="L718" s="2" t="s">
        <v>9429</v>
      </c>
      <c r="M718" s="3" t="s">
        <v>63</v>
      </c>
      <c r="O718" s="3" t="s">
        <v>64</v>
      </c>
      <c r="P718" s="3" t="s">
        <v>83</v>
      </c>
      <c r="R718" s="3" t="s">
        <v>67</v>
      </c>
      <c r="S718" s="4">
        <v>2</v>
      </c>
      <c r="T718" s="4">
        <v>2</v>
      </c>
      <c r="U718" s="5" t="s">
        <v>9430</v>
      </c>
      <c r="V718" s="5" t="s">
        <v>9430</v>
      </c>
      <c r="W718" s="5" t="s">
        <v>9431</v>
      </c>
      <c r="X718" s="5" t="s">
        <v>9431</v>
      </c>
      <c r="Y718" s="4">
        <v>113</v>
      </c>
      <c r="Z718" s="4">
        <v>97</v>
      </c>
      <c r="AA718" s="4">
        <v>97</v>
      </c>
      <c r="AB718" s="4">
        <v>2</v>
      </c>
      <c r="AC718" s="4">
        <v>2</v>
      </c>
      <c r="AD718" s="4">
        <v>2</v>
      </c>
      <c r="AE718" s="4">
        <v>2</v>
      </c>
      <c r="AF718" s="4">
        <v>0</v>
      </c>
      <c r="AG718" s="4">
        <v>0</v>
      </c>
      <c r="AH718" s="4">
        <v>0</v>
      </c>
      <c r="AI718" s="4">
        <v>0</v>
      </c>
      <c r="AJ718" s="4">
        <v>1</v>
      </c>
      <c r="AK718" s="4">
        <v>1</v>
      </c>
      <c r="AL718" s="4">
        <v>1</v>
      </c>
      <c r="AM718" s="4">
        <v>1</v>
      </c>
      <c r="AN718" s="4">
        <v>0</v>
      </c>
      <c r="AO718" s="4">
        <v>0</v>
      </c>
      <c r="AP718" s="3" t="s">
        <v>58</v>
      </c>
      <c r="AQ718" s="3" t="s">
        <v>58</v>
      </c>
      <c r="AS718" s="6" t="str">
        <f>HYPERLINK("https://creighton-primo.hosted.exlibrisgroup.com/primo-explore/search?tab=default_tab&amp;search_scope=EVERYTHING&amp;vid=01CRU&amp;lang=en_US&amp;offset=0&amp;query=any,contains,991000209509702656","Catalog Record")</f>
        <v>Catalog Record</v>
      </c>
      <c r="AT718" s="6" t="str">
        <f>HYPERLINK("http://www.worldcat.org/oclc/9533165","WorldCat Record")</f>
        <v>WorldCat Record</v>
      </c>
      <c r="AU718" s="3" t="s">
        <v>9432</v>
      </c>
      <c r="AV718" s="3" t="s">
        <v>9433</v>
      </c>
      <c r="AW718" s="3" t="s">
        <v>9434</v>
      </c>
      <c r="AX718" s="3" t="s">
        <v>9434</v>
      </c>
      <c r="AY718" s="3" t="s">
        <v>9435</v>
      </c>
      <c r="AZ718" s="3" t="s">
        <v>74</v>
      </c>
      <c r="BB718" s="3" t="s">
        <v>9436</v>
      </c>
      <c r="BC718" s="3" t="s">
        <v>9437</v>
      </c>
      <c r="BD718" s="3" t="s">
        <v>9438</v>
      </c>
    </row>
    <row r="719" spans="1:56" ht="42.75" customHeight="1" x14ac:dyDescent="0.25">
      <c r="A719" s="7" t="s">
        <v>58</v>
      </c>
      <c r="B719" s="2" t="s">
        <v>9439</v>
      </c>
      <c r="C719" s="2" t="s">
        <v>9440</v>
      </c>
      <c r="D719" s="2" t="s">
        <v>9441</v>
      </c>
      <c r="F719" s="3" t="s">
        <v>58</v>
      </c>
      <c r="G719" s="3" t="s">
        <v>59</v>
      </c>
      <c r="H719" s="3" t="s">
        <v>58</v>
      </c>
      <c r="I719" s="3" t="s">
        <v>58</v>
      </c>
      <c r="J719" s="3" t="s">
        <v>60</v>
      </c>
      <c r="K719" s="2" t="s">
        <v>9442</v>
      </c>
      <c r="L719" s="2" t="s">
        <v>9443</v>
      </c>
      <c r="M719" s="3" t="s">
        <v>207</v>
      </c>
      <c r="O719" s="3" t="s">
        <v>64</v>
      </c>
      <c r="P719" s="3" t="s">
        <v>115</v>
      </c>
      <c r="R719" s="3" t="s">
        <v>67</v>
      </c>
      <c r="S719" s="4">
        <v>10</v>
      </c>
      <c r="T719" s="4">
        <v>10</v>
      </c>
      <c r="U719" s="5" t="s">
        <v>9430</v>
      </c>
      <c r="V719" s="5" t="s">
        <v>9430</v>
      </c>
      <c r="W719" s="5" t="s">
        <v>6880</v>
      </c>
      <c r="X719" s="5" t="s">
        <v>6880</v>
      </c>
      <c r="Y719" s="4">
        <v>595</v>
      </c>
      <c r="Z719" s="4">
        <v>537</v>
      </c>
      <c r="AA719" s="4">
        <v>590</v>
      </c>
      <c r="AB719" s="4">
        <v>4</v>
      </c>
      <c r="AC719" s="4">
        <v>4</v>
      </c>
      <c r="AD719" s="4">
        <v>20</v>
      </c>
      <c r="AE719" s="4">
        <v>21</v>
      </c>
      <c r="AF719" s="4">
        <v>5</v>
      </c>
      <c r="AG719" s="4">
        <v>6</v>
      </c>
      <c r="AH719" s="4">
        <v>3</v>
      </c>
      <c r="AI719" s="4">
        <v>3</v>
      </c>
      <c r="AJ719" s="4">
        <v>15</v>
      </c>
      <c r="AK719" s="4">
        <v>15</v>
      </c>
      <c r="AL719" s="4">
        <v>1</v>
      </c>
      <c r="AM719" s="4">
        <v>1</v>
      </c>
      <c r="AN719" s="4">
        <v>0</v>
      </c>
      <c r="AO719" s="4">
        <v>0</v>
      </c>
      <c r="AP719" s="3" t="s">
        <v>58</v>
      </c>
      <c r="AQ719" s="3" t="s">
        <v>58</v>
      </c>
      <c r="AS719" s="6" t="str">
        <f>HYPERLINK("https://creighton-primo.hosted.exlibrisgroup.com/primo-explore/search?tab=default_tab&amp;search_scope=EVERYTHING&amp;vid=01CRU&amp;lang=en_US&amp;offset=0&amp;query=any,contains,991005067659702656","Catalog Record")</f>
        <v>Catalog Record</v>
      </c>
      <c r="AT719" s="6" t="str">
        <f>HYPERLINK("http://www.worldcat.org/oclc/6981964","WorldCat Record")</f>
        <v>WorldCat Record</v>
      </c>
      <c r="AU719" s="3" t="s">
        <v>9444</v>
      </c>
      <c r="AV719" s="3" t="s">
        <v>9445</v>
      </c>
      <c r="AW719" s="3" t="s">
        <v>9446</v>
      </c>
      <c r="AX719" s="3" t="s">
        <v>9446</v>
      </c>
      <c r="AY719" s="3" t="s">
        <v>9447</v>
      </c>
      <c r="AZ719" s="3" t="s">
        <v>74</v>
      </c>
      <c r="BB719" s="3" t="s">
        <v>9448</v>
      </c>
      <c r="BC719" s="3" t="s">
        <v>9449</v>
      </c>
      <c r="BD719" s="3" t="s">
        <v>9450</v>
      </c>
    </row>
    <row r="720" spans="1:56" ht="42.75" customHeight="1" x14ac:dyDescent="0.25">
      <c r="A720" s="7" t="s">
        <v>58</v>
      </c>
      <c r="B720" s="2" t="s">
        <v>9451</v>
      </c>
      <c r="C720" s="2" t="s">
        <v>9452</v>
      </c>
      <c r="D720" s="2" t="s">
        <v>9453</v>
      </c>
      <c r="F720" s="3" t="s">
        <v>58</v>
      </c>
      <c r="G720" s="3" t="s">
        <v>59</v>
      </c>
      <c r="H720" s="3" t="s">
        <v>58</v>
      </c>
      <c r="I720" s="3" t="s">
        <v>58</v>
      </c>
      <c r="J720" s="3" t="s">
        <v>60</v>
      </c>
      <c r="K720" s="2" t="s">
        <v>9454</v>
      </c>
      <c r="L720" s="2" t="s">
        <v>9455</v>
      </c>
      <c r="M720" s="3" t="s">
        <v>344</v>
      </c>
      <c r="O720" s="3" t="s">
        <v>64</v>
      </c>
      <c r="P720" s="3" t="s">
        <v>208</v>
      </c>
      <c r="R720" s="3" t="s">
        <v>67</v>
      </c>
      <c r="S720" s="4">
        <v>2</v>
      </c>
      <c r="T720" s="4">
        <v>2</v>
      </c>
      <c r="U720" s="5" t="s">
        <v>9456</v>
      </c>
      <c r="V720" s="5" t="s">
        <v>9456</v>
      </c>
      <c r="W720" s="5" t="s">
        <v>4730</v>
      </c>
      <c r="X720" s="5" t="s">
        <v>4730</v>
      </c>
      <c r="Y720" s="4">
        <v>135</v>
      </c>
      <c r="Z720" s="4">
        <v>104</v>
      </c>
      <c r="AA720" s="4">
        <v>104</v>
      </c>
      <c r="AB720" s="4">
        <v>2</v>
      </c>
      <c r="AC720" s="4">
        <v>2</v>
      </c>
      <c r="AD720" s="4">
        <v>3</v>
      </c>
      <c r="AE720" s="4">
        <v>3</v>
      </c>
      <c r="AF720" s="4">
        <v>0</v>
      </c>
      <c r="AG720" s="4">
        <v>0</v>
      </c>
      <c r="AH720" s="4">
        <v>1</v>
      </c>
      <c r="AI720" s="4">
        <v>1</v>
      </c>
      <c r="AJ720" s="4">
        <v>2</v>
      </c>
      <c r="AK720" s="4">
        <v>2</v>
      </c>
      <c r="AL720" s="4">
        <v>1</v>
      </c>
      <c r="AM720" s="4">
        <v>1</v>
      </c>
      <c r="AN720" s="4">
        <v>0</v>
      </c>
      <c r="AO720" s="4">
        <v>0</v>
      </c>
      <c r="AP720" s="3" t="s">
        <v>58</v>
      </c>
      <c r="AQ720" s="3" t="s">
        <v>58</v>
      </c>
      <c r="AS720" s="6" t="str">
        <f>HYPERLINK("https://creighton-primo.hosted.exlibrisgroup.com/primo-explore/search?tab=default_tab&amp;search_scope=EVERYTHING&amp;vid=01CRU&amp;lang=en_US&amp;offset=0&amp;query=any,contains,991005012889702656","Catalog Record")</f>
        <v>Catalog Record</v>
      </c>
      <c r="AT720" s="6" t="str">
        <f>HYPERLINK("http://www.worldcat.org/oclc/6604123","WorldCat Record")</f>
        <v>WorldCat Record</v>
      </c>
      <c r="AU720" s="3" t="s">
        <v>9457</v>
      </c>
      <c r="AV720" s="3" t="s">
        <v>9458</v>
      </c>
      <c r="AW720" s="3" t="s">
        <v>9459</v>
      </c>
      <c r="AX720" s="3" t="s">
        <v>9459</v>
      </c>
      <c r="AY720" s="3" t="s">
        <v>9460</v>
      </c>
      <c r="AZ720" s="3" t="s">
        <v>74</v>
      </c>
      <c r="BB720" s="3" t="s">
        <v>9461</v>
      </c>
      <c r="BC720" s="3" t="s">
        <v>9462</v>
      </c>
      <c r="BD720" s="3" t="s">
        <v>9463</v>
      </c>
    </row>
    <row r="721" spans="1:56" ht="42.75" customHeight="1" x14ac:dyDescent="0.25">
      <c r="A721" s="7" t="s">
        <v>58</v>
      </c>
      <c r="B721" s="2" t="s">
        <v>9464</v>
      </c>
      <c r="C721" s="2" t="s">
        <v>9465</v>
      </c>
      <c r="D721" s="2" t="s">
        <v>9466</v>
      </c>
      <c r="F721" s="3" t="s">
        <v>58</v>
      </c>
      <c r="G721" s="3" t="s">
        <v>59</v>
      </c>
      <c r="H721" s="3" t="s">
        <v>58</v>
      </c>
      <c r="I721" s="3" t="s">
        <v>58</v>
      </c>
      <c r="J721" s="3" t="s">
        <v>60</v>
      </c>
      <c r="K721" s="2" t="s">
        <v>9467</v>
      </c>
      <c r="L721" s="2" t="s">
        <v>9468</v>
      </c>
      <c r="M721" s="3" t="s">
        <v>238</v>
      </c>
      <c r="N721" s="2" t="s">
        <v>1736</v>
      </c>
      <c r="O721" s="3" t="s">
        <v>64</v>
      </c>
      <c r="P721" s="3" t="s">
        <v>99</v>
      </c>
      <c r="Q721" s="2" t="s">
        <v>7599</v>
      </c>
      <c r="R721" s="3" t="s">
        <v>67</v>
      </c>
      <c r="S721" s="4">
        <v>3</v>
      </c>
      <c r="T721" s="4">
        <v>3</v>
      </c>
      <c r="U721" s="5" t="s">
        <v>9469</v>
      </c>
      <c r="V721" s="5" t="s">
        <v>9469</v>
      </c>
      <c r="W721" s="5" t="s">
        <v>670</v>
      </c>
      <c r="X721" s="5" t="s">
        <v>670</v>
      </c>
      <c r="Y721" s="4">
        <v>607</v>
      </c>
      <c r="Z721" s="4">
        <v>501</v>
      </c>
      <c r="AA721" s="4">
        <v>511</v>
      </c>
      <c r="AB721" s="4">
        <v>6</v>
      </c>
      <c r="AC721" s="4">
        <v>6</v>
      </c>
      <c r="AD721" s="4">
        <v>19</v>
      </c>
      <c r="AE721" s="4">
        <v>19</v>
      </c>
      <c r="AF721" s="4">
        <v>4</v>
      </c>
      <c r="AG721" s="4">
        <v>4</v>
      </c>
      <c r="AH721" s="4">
        <v>3</v>
      </c>
      <c r="AI721" s="4">
        <v>3</v>
      </c>
      <c r="AJ721" s="4">
        <v>11</v>
      </c>
      <c r="AK721" s="4">
        <v>11</v>
      </c>
      <c r="AL721" s="4">
        <v>5</v>
      </c>
      <c r="AM721" s="4">
        <v>5</v>
      </c>
      <c r="AN721" s="4">
        <v>0</v>
      </c>
      <c r="AO721" s="4">
        <v>0</v>
      </c>
      <c r="AP721" s="3" t="s">
        <v>58</v>
      </c>
      <c r="AQ721" s="3" t="s">
        <v>86</v>
      </c>
      <c r="AR721" s="6" t="str">
        <f>HYPERLINK("http://catalog.hathitrust.org/Record/000222646","HathiTrust Record")</f>
        <v>HathiTrust Record</v>
      </c>
      <c r="AS721" s="6" t="str">
        <f>HYPERLINK("https://creighton-primo.hosted.exlibrisgroup.com/primo-explore/search?tab=default_tab&amp;search_scope=EVERYTHING&amp;vid=01CRU&amp;lang=en_US&amp;offset=0&amp;query=any,contains,991004774669702656","Catalog Record")</f>
        <v>Catalog Record</v>
      </c>
      <c r="AT721" s="6" t="str">
        <f>HYPERLINK("http://www.worldcat.org/oclc/5100758","WorldCat Record")</f>
        <v>WorldCat Record</v>
      </c>
      <c r="AU721" s="3" t="s">
        <v>9470</v>
      </c>
      <c r="AV721" s="3" t="s">
        <v>9471</v>
      </c>
      <c r="AW721" s="3" t="s">
        <v>9472</v>
      </c>
      <c r="AX721" s="3" t="s">
        <v>9472</v>
      </c>
      <c r="AY721" s="3" t="s">
        <v>9473</v>
      </c>
      <c r="AZ721" s="3" t="s">
        <v>74</v>
      </c>
      <c r="BB721" s="3" t="s">
        <v>9474</v>
      </c>
      <c r="BC721" s="3" t="s">
        <v>9475</v>
      </c>
      <c r="BD721" s="3" t="s">
        <v>9476</v>
      </c>
    </row>
    <row r="722" spans="1:56" ht="42.75" customHeight="1" x14ac:dyDescent="0.25">
      <c r="A722" s="7" t="s">
        <v>58</v>
      </c>
      <c r="B722" s="2" t="s">
        <v>9477</v>
      </c>
      <c r="C722" s="2" t="s">
        <v>9478</v>
      </c>
      <c r="D722" s="2" t="s">
        <v>9479</v>
      </c>
      <c r="F722" s="3" t="s">
        <v>58</v>
      </c>
      <c r="G722" s="3" t="s">
        <v>59</v>
      </c>
      <c r="H722" s="3" t="s">
        <v>58</v>
      </c>
      <c r="I722" s="3" t="s">
        <v>58</v>
      </c>
      <c r="J722" s="3" t="s">
        <v>60</v>
      </c>
      <c r="K722" s="2" t="s">
        <v>9480</v>
      </c>
      <c r="L722" s="2" t="s">
        <v>9481</v>
      </c>
      <c r="M722" s="3" t="s">
        <v>1404</v>
      </c>
      <c r="O722" s="3" t="s">
        <v>64</v>
      </c>
      <c r="P722" s="3" t="s">
        <v>208</v>
      </c>
      <c r="R722" s="3" t="s">
        <v>67</v>
      </c>
      <c r="S722" s="4">
        <v>4</v>
      </c>
      <c r="T722" s="4">
        <v>4</v>
      </c>
      <c r="U722" s="5" t="s">
        <v>9482</v>
      </c>
      <c r="V722" s="5" t="s">
        <v>9482</v>
      </c>
      <c r="W722" s="5" t="s">
        <v>2333</v>
      </c>
      <c r="X722" s="5" t="s">
        <v>2333</v>
      </c>
      <c r="Y722" s="4">
        <v>79</v>
      </c>
      <c r="Z722" s="4">
        <v>48</v>
      </c>
      <c r="AA722" s="4">
        <v>48</v>
      </c>
      <c r="AB722" s="4">
        <v>1</v>
      </c>
      <c r="AC722" s="4">
        <v>1</v>
      </c>
      <c r="AD722" s="4">
        <v>1</v>
      </c>
      <c r="AE722" s="4">
        <v>1</v>
      </c>
      <c r="AF722" s="4">
        <v>1</v>
      </c>
      <c r="AG722" s="4">
        <v>1</v>
      </c>
      <c r="AH722" s="4">
        <v>0</v>
      </c>
      <c r="AI722" s="4">
        <v>0</v>
      </c>
      <c r="AJ722" s="4">
        <v>1</v>
      </c>
      <c r="AK722" s="4">
        <v>1</v>
      </c>
      <c r="AL722" s="4">
        <v>0</v>
      </c>
      <c r="AM722" s="4">
        <v>0</v>
      </c>
      <c r="AN722" s="4">
        <v>0</v>
      </c>
      <c r="AO722" s="4">
        <v>0</v>
      </c>
      <c r="AP722" s="3" t="s">
        <v>58</v>
      </c>
      <c r="AQ722" s="3" t="s">
        <v>58</v>
      </c>
      <c r="AS722" s="6" t="str">
        <f>HYPERLINK("https://creighton-primo.hosted.exlibrisgroup.com/primo-explore/search?tab=default_tab&amp;search_scope=EVERYTHING&amp;vid=01CRU&amp;lang=en_US&amp;offset=0&amp;query=any,contains,991005150569702656","Catalog Record")</f>
        <v>Catalog Record</v>
      </c>
      <c r="AT722" s="6" t="str">
        <f>HYPERLINK("http://www.worldcat.org/oclc/129954223","WorldCat Record")</f>
        <v>WorldCat Record</v>
      </c>
      <c r="AU722" s="3" t="s">
        <v>9483</v>
      </c>
      <c r="AV722" s="3" t="s">
        <v>9484</v>
      </c>
      <c r="AW722" s="3" t="s">
        <v>9485</v>
      </c>
      <c r="AX722" s="3" t="s">
        <v>9485</v>
      </c>
      <c r="AY722" s="3" t="s">
        <v>9486</v>
      </c>
      <c r="AZ722" s="3" t="s">
        <v>74</v>
      </c>
      <c r="BB722" s="3" t="s">
        <v>9487</v>
      </c>
      <c r="BC722" s="3" t="s">
        <v>9488</v>
      </c>
      <c r="BD722" s="3" t="s">
        <v>9489</v>
      </c>
    </row>
    <row r="723" spans="1:56" ht="42.75" customHeight="1" x14ac:dyDescent="0.25">
      <c r="A723" s="7" t="s">
        <v>58</v>
      </c>
      <c r="B723" s="2" t="s">
        <v>9490</v>
      </c>
      <c r="C723" s="2" t="s">
        <v>9491</v>
      </c>
      <c r="D723" s="2" t="s">
        <v>9492</v>
      </c>
      <c r="F723" s="3" t="s">
        <v>58</v>
      </c>
      <c r="G723" s="3" t="s">
        <v>59</v>
      </c>
      <c r="H723" s="3" t="s">
        <v>58</v>
      </c>
      <c r="I723" s="3" t="s">
        <v>58</v>
      </c>
      <c r="J723" s="3" t="s">
        <v>60</v>
      </c>
      <c r="K723" s="2" t="s">
        <v>9493</v>
      </c>
      <c r="L723" s="2" t="s">
        <v>9494</v>
      </c>
      <c r="M723" s="3" t="s">
        <v>1506</v>
      </c>
      <c r="O723" s="3" t="s">
        <v>64</v>
      </c>
      <c r="P723" s="3" t="s">
        <v>208</v>
      </c>
      <c r="R723" s="3" t="s">
        <v>67</v>
      </c>
      <c r="S723" s="4">
        <v>1</v>
      </c>
      <c r="T723" s="4">
        <v>1</v>
      </c>
      <c r="U723" s="5" t="s">
        <v>9495</v>
      </c>
      <c r="V723" s="5" t="s">
        <v>9495</v>
      </c>
      <c r="W723" s="5" t="s">
        <v>3875</v>
      </c>
      <c r="X723" s="5" t="s">
        <v>3875</v>
      </c>
      <c r="Y723" s="4">
        <v>90</v>
      </c>
      <c r="Z723" s="4">
        <v>47</v>
      </c>
      <c r="AA723" s="4">
        <v>48</v>
      </c>
      <c r="AB723" s="4">
        <v>2</v>
      </c>
      <c r="AC723" s="4">
        <v>2</v>
      </c>
      <c r="AD723" s="4">
        <v>2</v>
      </c>
      <c r="AE723" s="4">
        <v>2</v>
      </c>
      <c r="AF723" s="4">
        <v>1</v>
      </c>
      <c r="AG723" s="4">
        <v>1</v>
      </c>
      <c r="AH723" s="4">
        <v>0</v>
      </c>
      <c r="AI723" s="4">
        <v>0</v>
      </c>
      <c r="AJ723" s="4">
        <v>1</v>
      </c>
      <c r="AK723" s="4">
        <v>1</v>
      </c>
      <c r="AL723" s="4">
        <v>1</v>
      </c>
      <c r="AM723" s="4">
        <v>1</v>
      </c>
      <c r="AN723" s="4">
        <v>0</v>
      </c>
      <c r="AO723" s="4">
        <v>0</v>
      </c>
      <c r="AP723" s="3" t="s">
        <v>58</v>
      </c>
      <c r="AQ723" s="3" t="s">
        <v>58</v>
      </c>
      <c r="AS723" s="6" t="str">
        <f>HYPERLINK("https://creighton-primo.hosted.exlibrisgroup.com/primo-explore/search?tab=default_tab&amp;search_scope=EVERYTHING&amp;vid=01CRU&amp;lang=en_US&amp;offset=0&amp;query=any,contains,991005299639702656","Catalog Record")</f>
        <v>Catalog Record</v>
      </c>
      <c r="AT723" s="6" t="str">
        <f>HYPERLINK("http://www.worldcat.org/oclc/268788582","WorldCat Record")</f>
        <v>WorldCat Record</v>
      </c>
      <c r="AU723" s="3" t="s">
        <v>9496</v>
      </c>
      <c r="AV723" s="3" t="s">
        <v>9497</v>
      </c>
      <c r="AW723" s="3" t="s">
        <v>9498</v>
      </c>
      <c r="AX723" s="3" t="s">
        <v>9498</v>
      </c>
      <c r="AY723" s="3" t="s">
        <v>9499</v>
      </c>
      <c r="AZ723" s="3" t="s">
        <v>74</v>
      </c>
      <c r="BB723" s="3" t="s">
        <v>9500</v>
      </c>
      <c r="BC723" s="3" t="s">
        <v>9501</v>
      </c>
      <c r="BD723" s="3" t="s">
        <v>9502</v>
      </c>
    </row>
    <row r="724" spans="1:56" ht="42.75" customHeight="1" x14ac:dyDescent="0.25">
      <c r="A724" s="7" t="s">
        <v>58</v>
      </c>
      <c r="B724" s="2" t="s">
        <v>9503</v>
      </c>
      <c r="C724" s="2" t="s">
        <v>9504</v>
      </c>
      <c r="D724" s="2" t="s">
        <v>9505</v>
      </c>
      <c r="F724" s="3" t="s">
        <v>58</v>
      </c>
      <c r="G724" s="3" t="s">
        <v>59</v>
      </c>
      <c r="H724" s="3" t="s">
        <v>58</v>
      </c>
      <c r="I724" s="3" t="s">
        <v>58</v>
      </c>
      <c r="J724" s="3" t="s">
        <v>60</v>
      </c>
      <c r="K724" s="2" t="s">
        <v>9506</v>
      </c>
      <c r="L724" s="2" t="s">
        <v>9507</v>
      </c>
      <c r="M724" s="3" t="s">
        <v>765</v>
      </c>
      <c r="O724" s="3" t="s">
        <v>64</v>
      </c>
      <c r="P724" s="3" t="s">
        <v>1898</v>
      </c>
      <c r="R724" s="3" t="s">
        <v>67</v>
      </c>
      <c r="S724" s="4">
        <v>4</v>
      </c>
      <c r="T724" s="4">
        <v>4</v>
      </c>
      <c r="U724" s="5" t="s">
        <v>9508</v>
      </c>
      <c r="V724" s="5" t="s">
        <v>9508</v>
      </c>
      <c r="W724" s="5" t="s">
        <v>9509</v>
      </c>
      <c r="X724" s="5" t="s">
        <v>9509</v>
      </c>
      <c r="Y724" s="4">
        <v>331</v>
      </c>
      <c r="Z724" s="4">
        <v>297</v>
      </c>
      <c r="AA724" s="4">
        <v>607</v>
      </c>
      <c r="AB724" s="4">
        <v>4</v>
      </c>
      <c r="AC724" s="4">
        <v>7</v>
      </c>
      <c r="AD724" s="4">
        <v>25</v>
      </c>
      <c r="AE724" s="4">
        <v>29</v>
      </c>
      <c r="AF724" s="4">
        <v>4</v>
      </c>
      <c r="AG724" s="4">
        <v>5</v>
      </c>
      <c r="AH724" s="4">
        <v>3</v>
      </c>
      <c r="AI724" s="4">
        <v>3</v>
      </c>
      <c r="AJ724" s="4">
        <v>13</v>
      </c>
      <c r="AK724" s="4">
        <v>14</v>
      </c>
      <c r="AL724" s="4">
        <v>3</v>
      </c>
      <c r="AM724" s="4">
        <v>6</v>
      </c>
      <c r="AN724" s="4">
        <v>7</v>
      </c>
      <c r="AO724" s="4">
        <v>7</v>
      </c>
      <c r="AP724" s="3" t="s">
        <v>58</v>
      </c>
      <c r="AQ724" s="3" t="s">
        <v>86</v>
      </c>
      <c r="AR724" s="6" t="str">
        <f>HYPERLINK("http://catalog.hathitrust.org/Record/003092636","HathiTrust Record")</f>
        <v>HathiTrust Record</v>
      </c>
      <c r="AS724" s="6" t="str">
        <f>HYPERLINK("https://creighton-primo.hosted.exlibrisgroup.com/primo-explore/search?tab=default_tab&amp;search_scope=EVERYTHING&amp;vid=01CRU&amp;lang=en_US&amp;offset=0&amp;query=any,contains,991002483069702656","Catalog Record")</f>
        <v>Catalog Record</v>
      </c>
      <c r="AT724" s="6" t="str">
        <f>HYPERLINK("http://www.worldcat.org/oclc/32313016","WorldCat Record")</f>
        <v>WorldCat Record</v>
      </c>
      <c r="AU724" s="3" t="s">
        <v>9510</v>
      </c>
      <c r="AV724" s="3" t="s">
        <v>9511</v>
      </c>
      <c r="AW724" s="3" t="s">
        <v>9512</v>
      </c>
      <c r="AX724" s="3" t="s">
        <v>9512</v>
      </c>
      <c r="AY724" s="3" t="s">
        <v>9513</v>
      </c>
      <c r="AZ724" s="3" t="s">
        <v>74</v>
      </c>
      <c r="BB724" s="3" t="s">
        <v>9514</v>
      </c>
      <c r="BC724" s="3" t="s">
        <v>9515</v>
      </c>
      <c r="BD724" s="3" t="s">
        <v>9516</v>
      </c>
    </row>
    <row r="725" spans="1:56" ht="42.75" customHeight="1" x14ac:dyDescent="0.25">
      <c r="A725" s="7" t="s">
        <v>58</v>
      </c>
      <c r="B725" s="2" t="s">
        <v>9517</v>
      </c>
      <c r="C725" s="2" t="s">
        <v>9518</v>
      </c>
      <c r="D725" s="2" t="s">
        <v>9519</v>
      </c>
      <c r="F725" s="3" t="s">
        <v>58</v>
      </c>
      <c r="G725" s="3" t="s">
        <v>59</v>
      </c>
      <c r="H725" s="3" t="s">
        <v>58</v>
      </c>
      <c r="I725" s="3" t="s">
        <v>58</v>
      </c>
      <c r="J725" s="3" t="s">
        <v>60</v>
      </c>
      <c r="K725" s="2" t="s">
        <v>8403</v>
      </c>
      <c r="L725" s="2" t="s">
        <v>9520</v>
      </c>
      <c r="M725" s="3" t="s">
        <v>534</v>
      </c>
      <c r="N725" s="2" t="s">
        <v>9332</v>
      </c>
      <c r="O725" s="3" t="s">
        <v>64</v>
      </c>
      <c r="P725" s="3" t="s">
        <v>99</v>
      </c>
      <c r="Q725" s="2" t="s">
        <v>9521</v>
      </c>
      <c r="R725" s="3" t="s">
        <v>67</v>
      </c>
      <c r="S725" s="4">
        <v>5</v>
      </c>
      <c r="T725" s="4">
        <v>5</v>
      </c>
      <c r="U725" s="5" t="s">
        <v>9522</v>
      </c>
      <c r="V725" s="5" t="s">
        <v>9522</v>
      </c>
      <c r="W725" s="5" t="s">
        <v>8009</v>
      </c>
      <c r="X725" s="5" t="s">
        <v>8009</v>
      </c>
      <c r="Y725" s="4">
        <v>270</v>
      </c>
      <c r="Z725" s="4">
        <v>239</v>
      </c>
      <c r="AA725" s="4">
        <v>245</v>
      </c>
      <c r="AB725" s="4">
        <v>3</v>
      </c>
      <c r="AC725" s="4">
        <v>3</v>
      </c>
      <c r="AD725" s="4">
        <v>9</v>
      </c>
      <c r="AE725" s="4">
        <v>9</v>
      </c>
      <c r="AF725" s="4">
        <v>2</v>
      </c>
      <c r="AG725" s="4">
        <v>2</v>
      </c>
      <c r="AH725" s="4">
        <v>0</v>
      </c>
      <c r="AI725" s="4">
        <v>0</v>
      </c>
      <c r="AJ725" s="4">
        <v>6</v>
      </c>
      <c r="AK725" s="4">
        <v>6</v>
      </c>
      <c r="AL725" s="4">
        <v>2</v>
      </c>
      <c r="AM725" s="4">
        <v>2</v>
      </c>
      <c r="AN725" s="4">
        <v>0</v>
      </c>
      <c r="AO725" s="4">
        <v>0</v>
      </c>
      <c r="AP725" s="3" t="s">
        <v>58</v>
      </c>
      <c r="AQ725" s="3" t="s">
        <v>58</v>
      </c>
      <c r="AS725" s="6" t="str">
        <f>HYPERLINK("https://creighton-primo.hosted.exlibrisgroup.com/primo-explore/search?tab=default_tab&amp;search_scope=EVERYTHING&amp;vid=01CRU&amp;lang=en_US&amp;offset=0&amp;query=any,contains,991001739109702656","Catalog Record")</f>
        <v>Catalog Record</v>
      </c>
      <c r="AT725" s="6" t="str">
        <f>HYPERLINK("http://www.worldcat.org/oclc/21976448","WorldCat Record")</f>
        <v>WorldCat Record</v>
      </c>
      <c r="AU725" s="3" t="s">
        <v>9523</v>
      </c>
      <c r="AV725" s="3" t="s">
        <v>9524</v>
      </c>
      <c r="AW725" s="3" t="s">
        <v>9525</v>
      </c>
      <c r="AX725" s="3" t="s">
        <v>9525</v>
      </c>
      <c r="AY725" s="3" t="s">
        <v>9526</v>
      </c>
      <c r="AZ725" s="3" t="s">
        <v>74</v>
      </c>
      <c r="BB725" s="3" t="s">
        <v>9527</v>
      </c>
      <c r="BC725" s="3" t="s">
        <v>9528</v>
      </c>
      <c r="BD725" s="3" t="s">
        <v>9529</v>
      </c>
    </row>
    <row r="726" spans="1:56" ht="42.75" customHeight="1" x14ac:dyDescent="0.25">
      <c r="A726" s="7" t="s">
        <v>58</v>
      </c>
      <c r="B726" s="2" t="s">
        <v>9530</v>
      </c>
      <c r="C726" s="2" t="s">
        <v>9531</v>
      </c>
      <c r="D726" s="2" t="s">
        <v>9532</v>
      </c>
      <c r="F726" s="3" t="s">
        <v>58</v>
      </c>
      <c r="G726" s="3" t="s">
        <v>59</v>
      </c>
      <c r="H726" s="3" t="s">
        <v>58</v>
      </c>
      <c r="I726" s="3" t="s">
        <v>58</v>
      </c>
      <c r="J726" s="3" t="s">
        <v>60</v>
      </c>
      <c r="K726" s="2" t="s">
        <v>9533</v>
      </c>
      <c r="L726" s="2" t="s">
        <v>9534</v>
      </c>
      <c r="M726" s="3" t="s">
        <v>586</v>
      </c>
      <c r="N726" s="2" t="s">
        <v>9535</v>
      </c>
      <c r="O726" s="3" t="s">
        <v>64</v>
      </c>
      <c r="P726" s="3" t="s">
        <v>115</v>
      </c>
      <c r="R726" s="3" t="s">
        <v>67</v>
      </c>
      <c r="S726" s="4">
        <v>3</v>
      </c>
      <c r="T726" s="4">
        <v>3</v>
      </c>
      <c r="U726" s="5" t="s">
        <v>9536</v>
      </c>
      <c r="V726" s="5" t="s">
        <v>9536</v>
      </c>
      <c r="W726" s="5" t="s">
        <v>7627</v>
      </c>
      <c r="X726" s="5" t="s">
        <v>7627</v>
      </c>
      <c r="Y726" s="4">
        <v>234</v>
      </c>
      <c r="Z726" s="4">
        <v>188</v>
      </c>
      <c r="AA726" s="4">
        <v>449</v>
      </c>
      <c r="AB726" s="4">
        <v>1</v>
      </c>
      <c r="AC726" s="4">
        <v>1</v>
      </c>
      <c r="AD726" s="4">
        <v>5</v>
      </c>
      <c r="AE726" s="4">
        <v>14</v>
      </c>
      <c r="AF726" s="4">
        <v>0</v>
      </c>
      <c r="AG726" s="4">
        <v>4</v>
      </c>
      <c r="AH726" s="4">
        <v>3</v>
      </c>
      <c r="AI726" s="4">
        <v>4</v>
      </c>
      <c r="AJ726" s="4">
        <v>2</v>
      </c>
      <c r="AK726" s="4">
        <v>9</v>
      </c>
      <c r="AL726" s="4">
        <v>0</v>
      </c>
      <c r="AM726" s="4">
        <v>0</v>
      </c>
      <c r="AN726" s="4">
        <v>0</v>
      </c>
      <c r="AO726" s="4">
        <v>0</v>
      </c>
      <c r="AP726" s="3" t="s">
        <v>58</v>
      </c>
      <c r="AQ726" s="3" t="s">
        <v>58</v>
      </c>
      <c r="AS726" s="6" t="str">
        <f>HYPERLINK("https://creighton-primo.hosted.exlibrisgroup.com/primo-explore/search?tab=default_tab&amp;search_scope=EVERYTHING&amp;vid=01CRU&amp;lang=en_US&amp;offset=0&amp;query=any,contains,991001821899702656","Catalog Record")</f>
        <v>Catalog Record</v>
      </c>
      <c r="AT726" s="6" t="str">
        <f>HYPERLINK("http://www.worldcat.org/oclc/22892215","WorldCat Record")</f>
        <v>WorldCat Record</v>
      </c>
      <c r="AU726" s="3" t="s">
        <v>9537</v>
      </c>
      <c r="AV726" s="3" t="s">
        <v>9538</v>
      </c>
      <c r="AW726" s="3" t="s">
        <v>9539</v>
      </c>
      <c r="AX726" s="3" t="s">
        <v>9539</v>
      </c>
      <c r="AY726" s="3" t="s">
        <v>9540</v>
      </c>
      <c r="AZ726" s="3" t="s">
        <v>74</v>
      </c>
      <c r="BB726" s="3" t="s">
        <v>9541</v>
      </c>
      <c r="BC726" s="3" t="s">
        <v>9542</v>
      </c>
      <c r="BD726" s="3" t="s">
        <v>9543</v>
      </c>
    </row>
    <row r="727" spans="1:56" ht="42.75" customHeight="1" x14ac:dyDescent="0.25">
      <c r="A727" s="7" t="s">
        <v>58</v>
      </c>
      <c r="B727" s="2" t="s">
        <v>9544</v>
      </c>
      <c r="C727" s="2" t="s">
        <v>9545</v>
      </c>
      <c r="D727" s="2" t="s">
        <v>9546</v>
      </c>
      <c r="F727" s="3" t="s">
        <v>58</v>
      </c>
      <c r="G727" s="3" t="s">
        <v>59</v>
      </c>
      <c r="H727" s="3" t="s">
        <v>58</v>
      </c>
      <c r="I727" s="3" t="s">
        <v>58</v>
      </c>
      <c r="J727" s="3" t="s">
        <v>60</v>
      </c>
      <c r="L727" s="2" t="s">
        <v>9547</v>
      </c>
      <c r="M727" s="3" t="s">
        <v>2770</v>
      </c>
      <c r="N727" s="2" t="s">
        <v>1736</v>
      </c>
      <c r="O727" s="3" t="s">
        <v>64</v>
      </c>
      <c r="P727" s="3" t="s">
        <v>115</v>
      </c>
      <c r="Q727" s="2" t="s">
        <v>9548</v>
      </c>
      <c r="R727" s="3" t="s">
        <v>67</v>
      </c>
      <c r="S727" s="4">
        <v>5</v>
      </c>
      <c r="T727" s="4">
        <v>5</v>
      </c>
      <c r="U727" s="5" t="s">
        <v>8446</v>
      </c>
      <c r="V727" s="5" t="s">
        <v>8446</v>
      </c>
      <c r="W727" s="5" t="s">
        <v>4730</v>
      </c>
      <c r="X727" s="5" t="s">
        <v>4730</v>
      </c>
      <c r="Y727" s="4">
        <v>367</v>
      </c>
      <c r="Z727" s="4">
        <v>268</v>
      </c>
      <c r="AA727" s="4">
        <v>282</v>
      </c>
      <c r="AB727" s="4">
        <v>2</v>
      </c>
      <c r="AC727" s="4">
        <v>2</v>
      </c>
      <c r="AD727" s="4">
        <v>16</v>
      </c>
      <c r="AE727" s="4">
        <v>16</v>
      </c>
      <c r="AF727" s="4">
        <v>5</v>
      </c>
      <c r="AG727" s="4">
        <v>5</v>
      </c>
      <c r="AH727" s="4">
        <v>3</v>
      </c>
      <c r="AI727" s="4">
        <v>3</v>
      </c>
      <c r="AJ727" s="4">
        <v>10</v>
      </c>
      <c r="AK727" s="4">
        <v>10</v>
      </c>
      <c r="AL727" s="4">
        <v>1</v>
      </c>
      <c r="AM727" s="4">
        <v>1</v>
      </c>
      <c r="AN727" s="4">
        <v>0</v>
      </c>
      <c r="AO727" s="4">
        <v>0</v>
      </c>
      <c r="AP727" s="3" t="s">
        <v>58</v>
      </c>
      <c r="AQ727" s="3" t="s">
        <v>86</v>
      </c>
      <c r="AR727" s="6" t="str">
        <f>HYPERLINK("http://catalog.hathitrust.org/Record/000043845","HathiTrust Record")</f>
        <v>HathiTrust Record</v>
      </c>
      <c r="AS727" s="6" t="str">
        <f>HYPERLINK("https://creighton-primo.hosted.exlibrisgroup.com/primo-explore/search?tab=default_tab&amp;search_scope=EVERYTHING&amp;vid=01CRU&amp;lang=en_US&amp;offset=0&amp;query=any,contains,991004086069702656","Catalog Record")</f>
        <v>Catalog Record</v>
      </c>
      <c r="AT727" s="6" t="str">
        <f>HYPERLINK("http://www.worldcat.org/oclc/2332109","WorldCat Record")</f>
        <v>WorldCat Record</v>
      </c>
      <c r="AU727" s="3" t="s">
        <v>9549</v>
      </c>
      <c r="AV727" s="3" t="s">
        <v>9550</v>
      </c>
      <c r="AW727" s="3" t="s">
        <v>9551</v>
      </c>
      <c r="AX727" s="3" t="s">
        <v>9551</v>
      </c>
      <c r="AY727" s="3" t="s">
        <v>9552</v>
      </c>
      <c r="AZ727" s="3" t="s">
        <v>74</v>
      </c>
      <c r="BB727" s="3" t="s">
        <v>9553</v>
      </c>
      <c r="BC727" s="3" t="s">
        <v>9554</v>
      </c>
      <c r="BD727" s="3" t="s">
        <v>9555</v>
      </c>
    </row>
    <row r="728" spans="1:56" ht="42.75" customHeight="1" x14ac:dyDescent="0.25">
      <c r="A728" s="7" t="s">
        <v>58</v>
      </c>
      <c r="B728" s="2" t="s">
        <v>9556</v>
      </c>
      <c r="C728" s="2" t="s">
        <v>9557</v>
      </c>
      <c r="D728" s="2" t="s">
        <v>9558</v>
      </c>
      <c r="F728" s="3" t="s">
        <v>58</v>
      </c>
      <c r="G728" s="3" t="s">
        <v>59</v>
      </c>
      <c r="H728" s="3" t="s">
        <v>58</v>
      </c>
      <c r="I728" s="3" t="s">
        <v>58</v>
      </c>
      <c r="J728" s="3" t="s">
        <v>60</v>
      </c>
      <c r="K728" s="2" t="s">
        <v>9559</v>
      </c>
      <c r="L728" s="2" t="s">
        <v>9560</v>
      </c>
      <c r="M728" s="3" t="s">
        <v>114</v>
      </c>
      <c r="O728" s="3" t="s">
        <v>64</v>
      </c>
      <c r="P728" s="3" t="s">
        <v>115</v>
      </c>
      <c r="R728" s="3" t="s">
        <v>67</v>
      </c>
      <c r="S728" s="4">
        <v>3</v>
      </c>
      <c r="T728" s="4">
        <v>3</v>
      </c>
      <c r="U728" s="5" t="s">
        <v>8351</v>
      </c>
      <c r="V728" s="5" t="s">
        <v>8351</v>
      </c>
      <c r="W728" s="5" t="s">
        <v>4730</v>
      </c>
      <c r="X728" s="5" t="s">
        <v>4730</v>
      </c>
      <c r="Y728" s="4">
        <v>101</v>
      </c>
      <c r="Z728" s="4">
        <v>85</v>
      </c>
      <c r="AA728" s="4">
        <v>92</v>
      </c>
      <c r="AB728" s="4">
        <v>1</v>
      </c>
      <c r="AC728" s="4">
        <v>1</v>
      </c>
      <c r="AD728" s="4">
        <v>3</v>
      </c>
      <c r="AE728" s="4">
        <v>3</v>
      </c>
      <c r="AF728" s="4">
        <v>0</v>
      </c>
      <c r="AG728" s="4">
        <v>0</v>
      </c>
      <c r="AH728" s="4">
        <v>1</v>
      </c>
      <c r="AI728" s="4">
        <v>1</v>
      </c>
      <c r="AJ728" s="4">
        <v>3</v>
      </c>
      <c r="AK728" s="4">
        <v>3</v>
      </c>
      <c r="AL728" s="4">
        <v>0</v>
      </c>
      <c r="AM728" s="4">
        <v>0</v>
      </c>
      <c r="AN728" s="4">
        <v>0</v>
      </c>
      <c r="AO728" s="4">
        <v>0</v>
      </c>
      <c r="AP728" s="3" t="s">
        <v>58</v>
      </c>
      <c r="AQ728" s="3" t="s">
        <v>86</v>
      </c>
      <c r="AR728" s="6" t="str">
        <f>HYPERLINK("http://catalog.hathitrust.org/Record/000330685","HathiTrust Record")</f>
        <v>HathiTrust Record</v>
      </c>
      <c r="AS728" s="6" t="str">
        <f>HYPERLINK("https://creighton-primo.hosted.exlibrisgroup.com/primo-explore/search?tab=default_tab&amp;search_scope=EVERYTHING&amp;vid=01CRU&amp;lang=en_US&amp;offset=0&amp;query=any,contains,991000227119702656","Catalog Record")</f>
        <v>Catalog Record</v>
      </c>
      <c r="AT728" s="6" t="str">
        <f>HYPERLINK("http://www.worldcat.org/oclc/9621610","WorldCat Record")</f>
        <v>WorldCat Record</v>
      </c>
      <c r="AU728" s="3" t="s">
        <v>9561</v>
      </c>
      <c r="AV728" s="3" t="s">
        <v>9562</v>
      </c>
      <c r="AW728" s="3" t="s">
        <v>9563</v>
      </c>
      <c r="AX728" s="3" t="s">
        <v>9563</v>
      </c>
      <c r="AY728" s="3" t="s">
        <v>9564</v>
      </c>
      <c r="AZ728" s="3" t="s">
        <v>74</v>
      </c>
      <c r="BB728" s="3" t="s">
        <v>9565</v>
      </c>
      <c r="BC728" s="3" t="s">
        <v>9566</v>
      </c>
      <c r="BD728" s="3" t="s">
        <v>9567</v>
      </c>
    </row>
    <row r="729" spans="1:56" ht="42.75" customHeight="1" x14ac:dyDescent="0.25">
      <c r="A729" s="7" t="s">
        <v>58</v>
      </c>
      <c r="B729" s="2" t="s">
        <v>9568</v>
      </c>
      <c r="C729" s="2" t="s">
        <v>9569</v>
      </c>
      <c r="D729" s="2" t="s">
        <v>9570</v>
      </c>
      <c r="F729" s="3" t="s">
        <v>58</v>
      </c>
      <c r="G729" s="3" t="s">
        <v>59</v>
      </c>
      <c r="H729" s="3" t="s">
        <v>58</v>
      </c>
      <c r="I729" s="3" t="s">
        <v>58</v>
      </c>
      <c r="J729" s="3" t="s">
        <v>60</v>
      </c>
      <c r="K729" s="2" t="s">
        <v>9571</v>
      </c>
      <c r="L729" s="2" t="s">
        <v>9572</v>
      </c>
      <c r="M729" s="3" t="s">
        <v>223</v>
      </c>
      <c r="O729" s="3" t="s">
        <v>64</v>
      </c>
      <c r="P729" s="3" t="s">
        <v>115</v>
      </c>
      <c r="R729" s="3" t="s">
        <v>67</v>
      </c>
      <c r="S729" s="4">
        <v>5</v>
      </c>
      <c r="T729" s="4">
        <v>5</v>
      </c>
      <c r="U729" s="5" t="s">
        <v>9573</v>
      </c>
      <c r="V729" s="5" t="s">
        <v>9573</v>
      </c>
      <c r="W729" s="5" t="s">
        <v>9574</v>
      </c>
      <c r="X729" s="5" t="s">
        <v>9574</v>
      </c>
      <c r="Y729" s="4">
        <v>394</v>
      </c>
      <c r="Z729" s="4">
        <v>342</v>
      </c>
      <c r="AA729" s="4">
        <v>401</v>
      </c>
      <c r="AB729" s="4">
        <v>3</v>
      </c>
      <c r="AC729" s="4">
        <v>3</v>
      </c>
      <c r="AD729" s="4">
        <v>16</v>
      </c>
      <c r="AE729" s="4">
        <v>17</v>
      </c>
      <c r="AF729" s="4">
        <v>4</v>
      </c>
      <c r="AG729" s="4">
        <v>4</v>
      </c>
      <c r="AH729" s="4">
        <v>3</v>
      </c>
      <c r="AI729" s="4">
        <v>4</v>
      </c>
      <c r="AJ729" s="4">
        <v>9</v>
      </c>
      <c r="AK729" s="4">
        <v>9</v>
      </c>
      <c r="AL729" s="4">
        <v>2</v>
      </c>
      <c r="AM729" s="4">
        <v>2</v>
      </c>
      <c r="AN729" s="4">
        <v>0</v>
      </c>
      <c r="AO729" s="4">
        <v>0</v>
      </c>
      <c r="AP729" s="3" t="s">
        <v>58</v>
      </c>
      <c r="AQ729" s="3" t="s">
        <v>86</v>
      </c>
      <c r="AR729" s="6" t="str">
        <f>HYPERLINK("http://catalog.hathitrust.org/Record/010389336","HathiTrust Record")</f>
        <v>HathiTrust Record</v>
      </c>
      <c r="AS729" s="6" t="str">
        <f>HYPERLINK("https://creighton-primo.hosted.exlibrisgroup.com/primo-explore/search?tab=default_tab&amp;search_scope=EVERYTHING&amp;vid=01CRU&amp;lang=en_US&amp;offset=0&amp;query=any,contains,991004641919702656","Catalog Record")</f>
        <v>Catalog Record</v>
      </c>
      <c r="AT729" s="6" t="str">
        <f>HYPERLINK("http://www.worldcat.org/oclc/4468562","WorldCat Record")</f>
        <v>WorldCat Record</v>
      </c>
      <c r="AU729" s="3" t="s">
        <v>9575</v>
      </c>
      <c r="AV729" s="3" t="s">
        <v>9576</v>
      </c>
      <c r="AW729" s="3" t="s">
        <v>9577</v>
      </c>
      <c r="AX729" s="3" t="s">
        <v>9577</v>
      </c>
      <c r="AY729" s="3" t="s">
        <v>9578</v>
      </c>
      <c r="AZ729" s="3" t="s">
        <v>74</v>
      </c>
      <c r="BB729" s="3" t="s">
        <v>9579</v>
      </c>
      <c r="BC729" s="3" t="s">
        <v>9580</v>
      </c>
      <c r="BD729" s="3" t="s">
        <v>9581</v>
      </c>
    </row>
    <row r="730" spans="1:56" ht="42.75" customHeight="1" x14ac:dyDescent="0.25">
      <c r="A730" s="7" t="s">
        <v>58</v>
      </c>
      <c r="B730" s="2" t="s">
        <v>9582</v>
      </c>
      <c r="C730" s="2" t="s">
        <v>9583</v>
      </c>
      <c r="D730" s="2" t="s">
        <v>9584</v>
      </c>
      <c r="F730" s="3" t="s">
        <v>58</v>
      </c>
      <c r="G730" s="3" t="s">
        <v>59</v>
      </c>
      <c r="H730" s="3" t="s">
        <v>58</v>
      </c>
      <c r="I730" s="3" t="s">
        <v>58</v>
      </c>
      <c r="J730" s="3" t="s">
        <v>60</v>
      </c>
      <c r="K730" s="2" t="s">
        <v>9585</v>
      </c>
      <c r="L730" s="2" t="s">
        <v>9586</v>
      </c>
      <c r="M730" s="3" t="s">
        <v>1361</v>
      </c>
      <c r="O730" s="3" t="s">
        <v>64</v>
      </c>
      <c r="P730" s="3" t="s">
        <v>115</v>
      </c>
      <c r="R730" s="3" t="s">
        <v>67</v>
      </c>
      <c r="S730" s="4">
        <v>1</v>
      </c>
      <c r="T730" s="4">
        <v>1</v>
      </c>
      <c r="U730" s="5" t="s">
        <v>9587</v>
      </c>
      <c r="V730" s="5" t="s">
        <v>9587</v>
      </c>
      <c r="W730" s="5" t="s">
        <v>9587</v>
      </c>
      <c r="X730" s="5" t="s">
        <v>9587</v>
      </c>
      <c r="Y730" s="4">
        <v>186</v>
      </c>
      <c r="Z730" s="4">
        <v>134</v>
      </c>
      <c r="AA730" s="4">
        <v>253</v>
      </c>
      <c r="AB730" s="4">
        <v>2</v>
      </c>
      <c r="AC730" s="4">
        <v>2</v>
      </c>
      <c r="AD730" s="4">
        <v>6</v>
      </c>
      <c r="AE730" s="4">
        <v>9</v>
      </c>
      <c r="AF730" s="4">
        <v>2</v>
      </c>
      <c r="AG730" s="4">
        <v>4</v>
      </c>
      <c r="AH730" s="4">
        <v>1</v>
      </c>
      <c r="AI730" s="4">
        <v>2</v>
      </c>
      <c r="AJ730" s="4">
        <v>4</v>
      </c>
      <c r="AK730" s="4">
        <v>5</v>
      </c>
      <c r="AL730" s="4">
        <v>1</v>
      </c>
      <c r="AM730" s="4">
        <v>1</v>
      </c>
      <c r="AN730" s="4">
        <v>0</v>
      </c>
      <c r="AO730" s="4">
        <v>0</v>
      </c>
      <c r="AP730" s="3" t="s">
        <v>58</v>
      </c>
      <c r="AQ730" s="3" t="s">
        <v>86</v>
      </c>
      <c r="AR730" s="6" t="str">
        <f>HYPERLINK("http://catalog.hathitrust.org/Record/005565100","HathiTrust Record")</f>
        <v>HathiTrust Record</v>
      </c>
      <c r="AS730" s="6" t="str">
        <f>HYPERLINK("https://creighton-primo.hosted.exlibrisgroup.com/primo-explore/search?tab=default_tab&amp;search_scope=EVERYTHING&amp;vid=01CRU&amp;lang=en_US&amp;offset=0&amp;query=any,contains,991005361669702656","Catalog Record")</f>
        <v>Catalog Record</v>
      </c>
      <c r="AT730" s="6" t="str">
        <f>HYPERLINK("http://www.worldcat.org/oclc/85498800","WorldCat Record")</f>
        <v>WorldCat Record</v>
      </c>
      <c r="AU730" s="3" t="s">
        <v>9588</v>
      </c>
      <c r="AV730" s="3" t="s">
        <v>9589</v>
      </c>
      <c r="AW730" s="3" t="s">
        <v>9590</v>
      </c>
      <c r="AX730" s="3" t="s">
        <v>9590</v>
      </c>
      <c r="AY730" s="3" t="s">
        <v>9591</v>
      </c>
      <c r="AZ730" s="3" t="s">
        <v>74</v>
      </c>
      <c r="BB730" s="3" t="s">
        <v>9592</v>
      </c>
      <c r="BC730" s="3" t="s">
        <v>9593</v>
      </c>
      <c r="BD730" s="3" t="s">
        <v>9594</v>
      </c>
    </row>
    <row r="731" spans="1:56" ht="42.75" customHeight="1" x14ac:dyDescent="0.25">
      <c r="A731" s="7" t="s">
        <v>58</v>
      </c>
      <c r="B731" s="2" t="s">
        <v>9595</v>
      </c>
      <c r="C731" s="2" t="s">
        <v>9596</v>
      </c>
      <c r="D731" s="2" t="s">
        <v>9597</v>
      </c>
      <c r="F731" s="3" t="s">
        <v>58</v>
      </c>
      <c r="G731" s="3" t="s">
        <v>59</v>
      </c>
      <c r="H731" s="3" t="s">
        <v>58</v>
      </c>
      <c r="I731" s="3" t="s">
        <v>58</v>
      </c>
      <c r="J731" s="3" t="s">
        <v>60</v>
      </c>
      <c r="K731" s="2" t="s">
        <v>9598</v>
      </c>
      <c r="L731" s="2" t="s">
        <v>9599</v>
      </c>
      <c r="M731" s="3" t="s">
        <v>695</v>
      </c>
      <c r="N731" s="2" t="s">
        <v>1736</v>
      </c>
      <c r="O731" s="3" t="s">
        <v>64</v>
      </c>
      <c r="P731" s="3" t="s">
        <v>145</v>
      </c>
      <c r="R731" s="3" t="s">
        <v>67</v>
      </c>
      <c r="S731" s="4">
        <v>1</v>
      </c>
      <c r="T731" s="4">
        <v>1</v>
      </c>
      <c r="U731" s="5" t="s">
        <v>9600</v>
      </c>
      <c r="V731" s="5" t="s">
        <v>9600</v>
      </c>
      <c r="W731" s="5" t="s">
        <v>9601</v>
      </c>
      <c r="X731" s="5" t="s">
        <v>9601</v>
      </c>
      <c r="Y731" s="4">
        <v>398</v>
      </c>
      <c r="Z731" s="4">
        <v>340</v>
      </c>
      <c r="AA731" s="4">
        <v>395</v>
      </c>
      <c r="AB731" s="4">
        <v>2</v>
      </c>
      <c r="AC731" s="4">
        <v>3</v>
      </c>
      <c r="AD731" s="4">
        <v>14</v>
      </c>
      <c r="AE731" s="4">
        <v>19</v>
      </c>
      <c r="AF731" s="4">
        <v>6</v>
      </c>
      <c r="AG731" s="4">
        <v>8</v>
      </c>
      <c r="AH731" s="4">
        <v>0</v>
      </c>
      <c r="AI731" s="4">
        <v>0</v>
      </c>
      <c r="AJ731" s="4">
        <v>12</v>
      </c>
      <c r="AK731" s="4">
        <v>14</v>
      </c>
      <c r="AL731" s="4">
        <v>1</v>
      </c>
      <c r="AM731" s="4">
        <v>2</v>
      </c>
      <c r="AN731" s="4">
        <v>0</v>
      </c>
      <c r="AO731" s="4">
        <v>0</v>
      </c>
      <c r="AP731" s="3" t="s">
        <v>58</v>
      </c>
      <c r="AQ731" s="3" t="s">
        <v>58</v>
      </c>
      <c r="AS731" s="6" t="str">
        <f>HYPERLINK("https://creighton-primo.hosted.exlibrisgroup.com/primo-explore/search?tab=default_tab&amp;search_scope=EVERYTHING&amp;vid=01CRU&amp;lang=en_US&amp;offset=0&amp;query=any,contains,991002152989702656","Catalog Record")</f>
        <v>Catalog Record</v>
      </c>
      <c r="AT731" s="6" t="str">
        <f>HYPERLINK("http://www.worldcat.org/oclc/27729283","WorldCat Record")</f>
        <v>WorldCat Record</v>
      </c>
      <c r="AU731" s="3" t="s">
        <v>9602</v>
      </c>
      <c r="AV731" s="3" t="s">
        <v>9603</v>
      </c>
      <c r="AW731" s="3" t="s">
        <v>9604</v>
      </c>
      <c r="AX731" s="3" t="s">
        <v>9604</v>
      </c>
      <c r="AY731" s="3" t="s">
        <v>9605</v>
      </c>
      <c r="AZ731" s="3" t="s">
        <v>74</v>
      </c>
      <c r="BB731" s="3" t="s">
        <v>9606</v>
      </c>
      <c r="BC731" s="3" t="s">
        <v>9607</v>
      </c>
      <c r="BD731" s="3" t="s">
        <v>9608</v>
      </c>
    </row>
    <row r="732" spans="1:56" ht="42.75" customHeight="1" x14ac:dyDescent="0.25">
      <c r="A732" s="7" t="s">
        <v>58</v>
      </c>
      <c r="B732" s="2" t="s">
        <v>9609</v>
      </c>
      <c r="C732" s="2" t="s">
        <v>9610</v>
      </c>
      <c r="D732" s="2" t="s">
        <v>9611</v>
      </c>
      <c r="F732" s="3" t="s">
        <v>58</v>
      </c>
      <c r="G732" s="3" t="s">
        <v>59</v>
      </c>
      <c r="H732" s="3" t="s">
        <v>58</v>
      </c>
      <c r="I732" s="3" t="s">
        <v>58</v>
      </c>
      <c r="J732" s="3" t="s">
        <v>60</v>
      </c>
      <c r="K732" s="2" t="s">
        <v>8507</v>
      </c>
      <c r="L732" s="2" t="s">
        <v>9612</v>
      </c>
      <c r="M732" s="3" t="s">
        <v>329</v>
      </c>
      <c r="O732" s="3" t="s">
        <v>64</v>
      </c>
      <c r="P732" s="3" t="s">
        <v>115</v>
      </c>
      <c r="R732" s="3" t="s">
        <v>67</v>
      </c>
      <c r="S732" s="4">
        <v>2</v>
      </c>
      <c r="T732" s="4">
        <v>2</v>
      </c>
      <c r="U732" s="5" t="s">
        <v>9613</v>
      </c>
      <c r="V732" s="5" t="s">
        <v>9613</v>
      </c>
      <c r="W732" s="5" t="s">
        <v>9614</v>
      </c>
      <c r="X732" s="5" t="s">
        <v>9614</v>
      </c>
      <c r="Y732" s="4">
        <v>184</v>
      </c>
      <c r="Z732" s="4">
        <v>161</v>
      </c>
      <c r="AA732" s="4">
        <v>661</v>
      </c>
      <c r="AB732" s="4">
        <v>1</v>
      </c>
      <c r="AC732" s="4">
        <v>4</v>
      </c>
      <c r="AD732" s="4">
        <v>4</v>
      </c>
      <c r="AE732" s="4">
        <v>28</v>
      </c>
      <c r="AF732" s="4">
        <v>2</v>
      </c>
      <c r="AG732" s="4">
        <v>11</v>
      </c>
      <c r="AH732" s="4">
        <v>0</v>
      </c>
      <c r="AI732" s="4">
        <v>5</v>
      </c>
      <c r="AJ732" s="4">
        <v>3</v>
      </c>
      <c r="AK732" s="4">
        <v>16</v>
      </c>
      <c r="AL732" s="4">
        <v>0</v>
      </c>
      <c r="AM732" s="4">
        <v>2</v>
      </c>
      <c r="AN732" s="4">
        <v>0</v>
      </c>
      <c r="AO732" s="4">
        <v>0</v>
      </c>
      <c r="AP732" s="3" t="s">
        <v>58</v>
      </c>
      <c r="AQ732" s="3" t="s">
        <v>58</v>
      </c>
      <c r="AS732" s="6" t="str">
        <f>HYPERLINK("https://creighton-primo.hosted.exlibrisgroup.com/primo-explore/search?tab=default_tab&amp;search_scope=EVERYTHING&amp;vid=01CRU&amp;lang=en_US&amp;offset=0&amp;query=any,contains,991000247549702656","Catalog Record")</f>
        <v>Catalog Record</v>
      </c>
      <c r="AT732" s="6" t="str">
        <f>HYPERLINK("http://www.worldcat.org/oclc/9729178","WorldCat Record")</f>
        <v>WorldCat Record</v>
      </c>
      <c r="AU732" s="3" t="s">
        <v>9615</v>
      </c>
      <c r="AV732" s="3" t="s">
        <v>9616</v>
      </c>
      <c r="AW732" s="3" t="s">
        <v>9617</v>
      </c>
      <c r="AX732" s="3" t="s">
        <v>9617</v>
      </c>
      <c r="AY732" s="3" t="s">
        <v>9618</v>
      </c>
      <c r="AZ732" s="3" t="s">
        <v>74</v>
      </c>
      <c r="BC732" s="3" t="s">
        <v>9619</v>
      </c>
      <c r="BD732" s="3" t="s">
        <v>9620</v>
      </c>
    </row>
    <row r="733" spans="1:56" ht="42.75" customHeight="1" x14ac:dyDescent="0.25">
      <c r="A733" s="7" t="s">
        <v>58</v>
      </c>
      <c r="B733" s="2" t="s">
        <v>9621</v>
      </c>
      <c r="C733" s="2" t="s">
        <v>9622</v>
      </c>
      <c r="D733" s="2" t="s">
        <v>9623</v>
      </c>
      <c r="F733" s="3" t="s">
        <v>58</v>
      </c>
      <c r="G733" s="3" t="s">
        <v>59</v>
      </c>
      <c r="H733" s="3" t="s">
        <v>58</v>
      </c>
      <c r="I733" s="3" t="s">
        <v>58</v>
      </c>
      <c r="J733" s="3" t="s">
        <v>60</v>
      </c>
      <c r="K733" s="2" t="s">
        <v>9624</v>
      </c>
      <c r="L733" s="2" t="s">
        <v>9625</v>
      </c>
      <c r="M733" s="3" t="s">
        <v>3124</v>
      </c>
      <c r="O733" s="3" t="s">
        <v>64</v>
      </c>
      <c r="P733" s="3" t="s">
        <v>208</v>
      </c>
      <c r="R733" s="3" t="s">
        <v>67</v>
      </c>
      <c r="S733" s="4">
        <v>15</v>
      </c>
      <c r="T733" s="4">
        <v>15</v>
      </c>
      <c r="U733" s="5" t="s">
        <v>8405</v>
      </c>
      <c r="V733" s="5" t="s">
        <v>8405</v>
      </c>
      <c r="W733" s="5" t="s">
        <v>8352</v>
      </c>
      <c r="X733" s="5" t="s">
        <v>8352</v>
      </c>
      <c r="Y733" s="4">
        <v>564</v>
      </c>
      <c r="Z733" s="4">
        <v>460</v>
      </c>
      <c r="AA733" s="4">
        <v>463</v>
      </c>
      <c r="AB733" s="4">
        <v>3</v>
      </c>
      <c r="AC733" s="4">
        <v>3</v>
      </c>
      <c r="AD733" s="4">
        <v>22</v>
      </c>
      <c r="AE733" s="4">
        <v>22</v>
      </c>
      <c r="AF733" s="4">
        <v>10</v>
      </c>
      <c r="AG733" s="4">
        <v>10</v>
      </c>
      <c r="AH733" s="4">
        <v>3</v>
      </c>
      <c r="AI733" s="4">
        <v>3</v>
      </c>
      <c r="AJ733" s="4">
        <v>12</v>
      </c>
      <c r="AK733" s="4">
        <v>12</v>
      </c>
      <c r="AL733" s="4">
        <v>2</v>
      </c>
      <c r="AM733" s="4">
        <v>2</v>
      </c>
      <c r="AN733" s="4">
        <v>0</v>
      </c>
      <c r="AO733" s="4">
        <v>0</v>
      </c>
      <c r="AP733" s="3" t="s">
        <v>58</v>
      </c>
      <c r="AQ733" s="3" t="s">
        <v>86</v>
      </c>
      <c r="AR733" s="6" t="str">
        <f>HYPERLINK("http://catalog.hathitrust.org/Record/001564594","HathiTrust Record")</f>
        <v>HathiTrust Record</v>
      </c>
      <c r="AS733" s="6" t="str">
        <f>HYPERLINK("https://creighton-primo.hosted.exlibrisgroup.com/primo-explore/search?tab=default_tab&amp;search_scope=EVERYTHING&amp;vid=01CRU&amp;lang=en_US&amp;offset=0&amp;query=any,contains,991000528039702656","Catalog Record")</f>
        <v>Catalog Record</v>
      </c>
      <c r="AT733" s="6" t="str">
        <f>HYPERLINK("http://www.worldcat.org/oclc/89146","WorldCat Record")</f>
        <v>WorldCat Record</v>
      </c>
      <c r="AU733" s="3" t="s">
        <v>9626</v>
      </c>
      <c r="AV733" s="3" t="s">
        <v>9627</v>
      </c>
      <c r="AW733" s="3" t="s">
        <v>9628</v>
      </c>
      <c r="AX733" s="3" t="s">
        <v>9628</v>
      </c>
      <c r="AY733" s="3" t="s">
        <v>9629</v>
      </c>
      <c r="AZ733" s="3" t="s">
        <v>74</v>
      </c>
      <c r="BC733" s="3" t="s">
        <v>9630</v>
      </c>
      <c r="BD733" s="3" t="s">
        <v>9631</v>
      </c>
    </row>
    <row r="734" spans="1:56" ht="42.75" customHeight="1" x14ac:dyDescent="0.25">
      <c r="A734" s="7" t="s">
        <v>58</v>
      </c>
      <c r="B734" s="2" t="s">
        <v>9632</v>
      </c>
      <c r="C734" s="2" t="s">
        <v>9633</v>
      </c>
      <c r="D734" s="2" t="s">
        <v>9634</v>
      </c>
      <c r="F734" s="3" t="s">
        <v>58</v>
      </c>
      <c r="G734" s="3" t="s">
        <v>59</v>
      </c>
      <c r="H734" s="3" t="s">
        <v>58</v>
      </c>
      <c r="I734" s="3" t="s">
        <v>58</v>
      </c>
      <c r="J734" s="3" t="s">
        <v>60</v>
      </c>
      <c r="K734" s="2" t="s">
        <v>9635</v>
      </c>
      <c r="L734" s="2" t="s">
        <v>5488</v>
      </c>
      <c r="M734" s="3" t="s">
        <v>2386</v>
      </c>
      <c r="O734" s="3" t="s">
        <v>64</v>
      </c>
      <c r="P734" s="3" t="s">
        <v>115</v>
      </c>
      <c r="Q734" s="2" t="s">
        <v>6278</v>
      </c>
      <c r="R734" s="3" t="s">
        <v>67</v>
      </c>
      <c r="S734" s="4">
        <v>10</v>
      </c>
      <c r="T734" s="4">
        <v>10</v>
      </c>
      <c r="U734" s="5" t="s">
        <v>9636</v>
      </c>
      <c r="V734" s="5" t="s">
        <v>9636</v>
      </c>
      <c r="W734" s="5" t="s">
        <v>8352</v>
      </c>
      <c r="X734" s="5" t="s">
        <v>8352</v>
      </c>
      <c r="Y734" s="4">
        <v>509</v>
      </c>
      <c r="Z734" s="4">
        <v>374</v>
      </c>
      <c r="AA734" s="4">
        <v>381</v>
      </c>
      <c r="AB734" s="4">
        <v>5</v>
      </c>
      <c r="AC734" s="4">
        <v>5</v>
      </c>
      <c r="AD734" s="4">
        <v>15</v>
      </c>
      <c r="AE734" s="4">
        <v>15</v>
      </c>
      <c r="AF734" s="4">
        <v>5</v>
      </c>
      <c r="AG734" s="4">
        <v>5</v>
      </c>
      <c r="AH734" s="4">
        <v>1</v>
      </c>
      <c r="AI734" s="4">
        <v>1</v>
      </c>
      <c r="AJ734" s="4">
        <v>10</v>
      </c>
      <c r="AK734" s="4">
        <v>10</v>
      </c>
      <c r="AL734" s="4">
        <v>3</v>
      </c>
      <c r="AM734" s="4">
        <v>3</v>
      </c>
      <c r="AN734" s="4">
        <v>0</v>
      </c>
      <c r="AO734" s="4">
        <v>0</v>
      </c>
      <c r="AP734" s="3" t="s">
        <v>58</v>
      </c>
      <c r="AQ734" s="3" t="s">
        <v>86</v>
      </c>
      <c r="AR734" s="6" t="str">
        <f>HYPERLINK("http://catalog.hathitrust.org/Record/000014971","HathiTrust Record")</f>
        <v>HathiTrust Record</v>
      </c>
      <c r="AS734" s="6" t="str">
        <f>HYPERLINK("https://creighton-primo.hosted.exlibrisgroup.com/primo-explore/search?tab=default_tab&amp;search_scope=EVERYTHING&amp;vid=01CRU&amp;lang=en_US&amp;offset=0&amp;query=any,contains,991003396269702656","Catalog Record")</f>
        <v>Catalog Record</v>
      </c>
      <c r="AT734" s="6" t="str">
        <f>HYPERLINK("http://www.worldcat.org/oclc/934680","WorldCat Record")</f>
        <v>WorldCat Record</v>
      </c>
      <c r="AU734" s="3" t="s">
        <v>9637</v>
      </c>
      <c r="AV734" s="3" t="s">
        <v>9638</v>
      </c>
      <c r="AW734" s="3" t="s">
        <v>9639</v>
      </c>
      <c r="AX734" s="3" t="s">
        <v>9639</v>
      </c>
      <c r="AY734" s="3" t="s">
        <v>9640</v>
      </c>
      <c r="AZ734" s="3" t="s">
        <v>74</v>
      </c>
      <c r="BB734" s="3" t="s">
        <v>9641</v>
      </c>
      <c r="BC734" s="3" t="s">
        <v>9642</v>
      </c>
      <c r="BD734" s="3" t="s">
        <v>9643</v>
      </c>
    </row>
    <row r="735" spans="1:56" ht="42.75" customHeight="1" x14ac:dyDescent="0.25">
      <c r="A735" s="7" t="s">
        <v>58</v>
      </c>
      <c r="B735" s="2" t="s">
        <v>9644</v>
      </c>
      <c r="C735" s="2" t="s">
        <v>9645</v>
      </c>
      <c r="D735" s="2" t="s">
        <v>9646</v>
      </c>
      <c r="F735" s="3" t="s">
        <v>58</v>
      </c>
      <c r="G735" s="3" t="s">
        <v>59</v>
      </c>
      <c r="H735" s="3" t="s">
        <v>58</v>
      </c>
      <c r="I735" s="3" t="s">
        <v>86</v>
      </c>
      <c r="J735" s="3" t="s">
        <v>60</v>
      </c>
      <c r="L735" s="2" t="s">
        <v>7771</v>
      </c>
      <c r="M735" s="3" t="s">
        <v>765</v>
      </c>
      <c r="N735" s="2" t="s">
        <v>1736</v>
      </c>
      <c r="O735" s="3" t="s">
        <v>64</v>
      </c>
      <c r="P735" s="3" t="s">
        <v>145</v>
      </c>
      <c r="R735" s="3" t="s">
        <v>67</v>
      </c>
      <c r="S735" s="4">
        <v>49</v>
      </c>
      <c r="T735" s="4">
        <v>49</v>
      </c>
      <c r="U735" s="5" t="s">
        <v>8144</v>
      </c>
      <c r="V735" s="5" t="s">
        <v>8144</v>
      </c>
      <c r="W735" s="5" t="s">
        <v>9647</v>
      </c>
      <c r="X735" s="5" t="s">
        <v>9647</v>
      </c>
      <c r="Y735" s="4">
        <v>307</v>
      </c>
      <c r="Z735" s="4">
        <v>260</v>
      </c>
      <c r="AA735" s="4">
        <v>391</v>
      </c>
      <c r="AB735" s="4">
        <v>1</v>
      </c>
      <c r="AC735" s="4">
        <v>3</v>
      </c>
      <c r="AD735" s="4">
        <v>11</v>
      </c>
      <c r="AE735" s="4">
        <v>18</v>
      </c>
      <c r="AF735" s="4">
        <v>3</v>
      </c>
      <c r="AG735" s="4">
        <v>6</v>
      </c>
      <c r="AH735" s="4">
        <v>4</v>
      </c>
      <c r="AI735" s="4">
        <v>4</v>
      </c>
      <c r="AJ735" s="4">
        <v>8</v>
      </c>
      <c r="AK735" s="4">
        <v>12</v>
      </c>
      <c r="AL735" s="4">
        <v>0</v>
      </c>
      <c r="AM735" s="4">
        <v>1</v>
      </c>
      <c r="AN735" s="4">
        <v>0</v>
      </c>
      <c r="AO735" s="4">
        <v>1</v>
      </c>
      <c r="AP735" s="3" t="s">
        <v>58</v>
      </c>
      <c r="AQ735" s="3" t="s">
        <v>58</v>
      </c>
      <c r="AS735" s="6" t="str">
        <f>HYPERLINK("https://creighton-primo.hosted.exlibrisgroup.com/primo-explore/search?tab=default_tab&amp;search_scope=EVERYTHING&amp;vid=01CRU&amp;lang=en_US&amp;offset=0&amp;query=any,contains,991002441549702656","Catalog Record")</f>
        <v>Catalog Record</v>
      </c>
      <c r="AT735" s="6" t="str">
        <f>HYPERLINK("http://www.worldcat.org/oclc/31819707","WorldCat Record")</f>
        <v>WorldCat Record</v>
      </c>
      <c r="AU735" s="3" t="s">
        <v>9648</v>
      </c>
      <c r="AV735" s="3" t="s">
        <v>9649</v>
      </c>
      <c r="AW735" s="3" t="s">
        <v>9650</v>
      </c>
      <c r="AX735" s="3" t="s">
        <v>9650</v>
      </c>
      <c r="AY735" s="3" t="s">
        <v>9651</v>
      </c>
      <c r="AZ735" s="3" t="s">
        <v>74</v>
      </c>
      <c r="BB735" s="3" t="s">
        <v>9652</v>
      </c>
      <c r="BC735" s="3" t="s">
        <v>9653</v>
      </c>
      <c r="BD735" s="3" t="s">
        <v>9654</v>
      </c>
    </row>
    <row r="736" spans="1:56" ht="42.75" customHeight="1" x14ac:dyDescent="0.25">
      <c r="A736" s="7" t="s">
        <v>58</v>
      </c>
      <c r="B736" s="2" t="s">
        <v>9655</v>
      </c>
      <c r="C736" s="2" t="s">
        <v>9656</v>
      </c>
      <c r="D736" s="2" t="s">
        <v>9657</v>
      </c>
      <c r="F736" s="3" t="s">
        <v>58</v>
      </c>
      <c r="G736" s="3" t="s">
        <v>59</v>
      </c>
      <c r="H736" s="3" t="s">
        <v>58</v>
      </c>
      <c r="I736" s="3" t="s">
        <v>58</v>
      </c>
      <c r="J736" s="3" t="s">
        <v>60</v>
      </c>
      <c r="L736" s="2" t="s">
        <v>9658</v>
      </c>
      <c r="M736" s="3" t="s">
        <v>3914</v>
      </c>
      <c r="O736" s="3" t="s">
        <v>64</v>
      </c>
      <c r="P736" s="3" t="s">
        <v>115</v>
      </c>
      <c r="R736" s="3" t="s">
        <v>67</v>
      </c>
      <c r="S736" s="4">
        <v>11</v>
      </c>
      <c r="T736" s="4">
        <v>11</v>
      </c>
      <c r="U736" s="5" t="s">
        <v>6541</v>
      </c>
      <c r="V736" s="5" t="s">
        <v>6541</v>
      </c>
      <c r="W736" s="5" t="s">
        <v>9659</v>
      </c>
      <c r="X736" s="5" t="s">
        <v>9659</v>
      </c>
      <c r="Y736" s="4">
        <v>298</v>
      </c>
      <c r="Z736" s="4">
        <v>231</v>
      </c>
      <c r="AA736" s="4">
        <v>235</v>
      </c>
      <c r="AB736" s="4">
        <v>3</v>
      </c>
      <c r="AC736" s="4">
        <v>3</v>
      </c>
      <c r="AD736" s="4">
        <v>10</v>
      </c>
      <c r="AE736" s="4">
        <v>10</v>
      </c>
      <c r="AF736" s="4">
        <v>1</v>
      </c>
      <c r="AG736" s="4">
        <v>1</v>
      </c>
      <c r="AH736" s="4">
        <v>3</v>
      </c>
      <c r="AI736" s="4">
        <v>3</v>
      </c>
      <c r="AJ736" s="4">
        <v>7</v>
      </c>
      <c r="AK736" s="4">
        <v>7</v>
      </c>
      <c r="AL736" s="4">
        <v>2</v>
      </c>
      <c r="AM736" s="4">
        <v>2</v>
      </c>
      <c r="AN736" s="4">
        <v>0</v>
      </c>
      <c r="AO736" s="4">
        <v>0</v>
      </c>
      <c r="AP736" s="3" t="s">
        <v>58</v>
      </c>
      <c r="AQ736" s="3" t="s">
        <v>86</v>
      </c>
      <c r="AR736" s="6" t="str">
        <f>HYPERLINK("http://catalog.hathitrust.org/Record/000697394","HathiTrust Record")</f>
        <v>HathiTrust Record</v>
      </c>
      <c r="AS736" s="6" t="str">
        <f>HYPERLINK("https://creighton-primo.hosted.exlibrisgroup.com/primo-explore/search?tab=default_tab&amp;search_scope=EVERYTHING&amp;vid=01CRU&amp;lang=en_US&amp;offset=0&amp;query=any,contains,991003996789702656","Catalog Record")</f>
        <v>Catalog Record</v>
      </c>
      <c r="AT736" s="6" t="str">
        <f>HYPERLINK("http://www.worldcat.org/oclc/2063798","WorldCat Record")</f>
        <v>WorldCat Record</v>
      </c>
      <c r="AU736" s="3" t="s">
        <v>9660</v>
      </c>
      <c r="AV736" s="3" t="s">
        <v>9661</v>
      </c>
      <c r="AW736" s="3" t="s">
        <v>9662</v>
      </c>
      <c r="AX736" s="3" t="s">
        <v>9662</v>
      </c>
      <c r="AY736" s="3" t="s">
        <v>9663</v>
      </c>
      <c r="AZ736" s="3" t="s">
        <v>74</v>
      </c>
      <c r="BB736" s="3" t="s">
        <v>9664</v>
      </c>
      <c r="BC736" s="3" t="s">
        <v>9665</v>
      </c>
      <c r="BD736" s="3" t="s">
        <v>9666</v>
      </c>
    </row>
    <row r="737" spans="1:56" ht="42.75" customHeight="1" x14ac:dyDescent="0.25">
      <c r="A737" s="7" t="s">
        <v>58</v>
      </c>
      <c r="B737" s="2" t="s">
        <v>9667</v>
      </c>
      <c r="C737" s="2" t="s">
        <v>9668</v>
      </c>
      <c r="D737" s="2" t="s">
        <v>9669</v>
      </c>
      <c r="F737" s="3" t="s">
        <v>58</v>
      </c>
      <c r="G737" s="3" t="s">
        <v>59</v>
      </c>
      <c r="H737" s="3" t="s">
        <v>58</v>
      </c>
      <c r="I737" s="3" t="s">
        <v>58</v>
      </c>
      <c r="J737" s="3" t="s">
        <v>60</v>
      </c>
      <c r="K737" s="2" t="s">
        <v>9670</v>
      </c>
      <c r="L737" s="2" t="s">
        <v>9671</v>
      </c>
      <c r="M737" s="3" t="s">
        <v>888</v>
      </c>
      <c r="O737" s="3" t="s">
        <v>64</v>
      </c>
      <c r="P737" s="3" t="s">
        <v>2331</v>
      </c>
      <c r="R737" s="3" t="s">
        <v>67</v>
      </c>
      <c r="S737" s="4">
        <v>4</v>
      </c>
      <c r="T737" s="4">
        <v>4</v>
      </c>
      <c r="U737" s="5" t="s">
        <v>7075</v>
      </c>
      <c r="V737" s="5" t="s">
        <v>7075</v>
      </c>
      <c r="W737" s="5" t="s">
        <v>6172</v>
      </c>
      <c r="X737" s="5" t="s">
        <v>6172</v>
      </c>
      <c r="Y737" s="4">
        <v>188</v>
      </c>
      <c r="Z737" s="4">
        <v>167</v>
      </c>
      <c r="AA737" s="4">
        <v>169</v>
      </c>
      <c r="AB737" s="4">
        <v>1</v>
      </c>
      <c r="AC737" s="4">
        <v>1</v>
      </c>
      <c r="AD737" s="4">
        <v>11</v>
      </c>
      <c r="AE737" s="4">
        <v>11</v>
      </c>
      <c r="AF737" s="4">
        <v>4</v>
      </c>
      <c r="AG737" s="4">
        <v>4</v>
      </c>
      <c r="AH737" s="4">
        <v>1</v>
      </c>
      <c r="AI737" s="4">
        <v>1</v>
      </c>
      <c r="AJ737" s="4">
        <v>10</v>
      </c>
      <c r="AK737" s="4">
        <v>10</v>
      </c>
      <c r="AL737" s="4">
        <v>0</v>
      </c>
      <c r="AM737" s="4">
        <v>0</v>
      </c>
      <c r="AN737" s="4">
        <v>0</v>
      </c>
      <c r="AO737" s="4">
        <v>0</v>
      </c>
      <c r="AP737" s="3" t="s">
        <v>58</v>
      </c>
      <c r="AQ737" s="3" t="s">
        <v>86</v>
      </c>
      <c r="AR737" s="6" t="str">
        <f>HYPERLINK("http://catalog.hathitrust.org/Record/004026977","HathiTrust Record")</f>
        <v>HathiTrust Record</v>
      </c>
      <c r="AS737" s="6" t="str">
        <f>HYPERLINK("https://creighton-primo.hosted.exlibrisgroup.com/primo-explore/search?tab=default_tab&amp;search_scope=EVERYTHING&amp;vid=01CRU&amp;lang=en_US&amp;offset=0&amp;query=any,contains,991002863069702656","Catalog Record")</f>
        <v>Catalog Record</v>
      </c>
      <c r="AT737" s="6" t="str">
        <f>HYPERLINK("http://www.worldcat.org/oclc/37732050","WorldCat Record")</f>
        <v>WorldCat Record</v>
      </c>
      <c r="AU737" s="3" t="s">
        <v>9672</v>
      </c>
      <c r="AV737" s="3" t="s">
        <v>9673</v>
      </c>
      <c r="AW737" s="3" t="s">
        <v>9674</v>
      </c>
      <c r="AX737" s="3" t="s">
        <v>9674</v>
      </c>
      <c r="AY737" s="3" t="s">
        <v>9675</v>
      </c>
      <c r="AZ737" s="3" t="s">
        <v>74</v>
      </c>
      <c r="BB737" s="3" t="s">
        <v>9676</v>
      </c>
      <c r="BC737" s="3" t="s">
        <v>9677</v>
      </c>
      <c r="BD737" s="3" t="s">
        <v>9678</v>
      </c>
    </row>
    <row r="738" spans="1:56" ht="42.75" customHeight="1" x14ac:dyDescent="0.25">
      <c r="A738" s="7" t="s">
        <v>58</v>
      </c>
      <c r="B738" s="2" t="s">
        <v>9679</v>
      </c>
      <c r="C738" s="2" t="s">
        <v>9680</v>
      </c>
      <c r="D738" s="2" t="s">
        <v>9681</v>
      </c>
      <c r="F738" s="3" t="s">
        <v>58</v>
      </c>
      <c r="G738" s="3" t="s">
        <v>59</v>
      </c>
      <c r="H738" s="3" t="s">
        <v>58</v>
      </c>
      <c r="I738" s="3" t="s">
        <v>58</v>
      </c>
      <c r="J738" s="3" t="s">
        <v>60</v>
      </c>
      <c r="K738" s="2" t="s">
        <v>9682</v>
      </c>
      <c r="L738" s="2" t="s">
        <v>7810</v>
      </c>
      <c r="M738" s="3" t="s">
        <v>223</v>
      </c>
      <c r="O738" s="3" t="s">
        <v>64</v>
      </c>
      <c r="P738" s="3" t="s">
        <v>115</v>
      </c>
      <c r="R738" s="3" t="s">
        <v>67</v>
      </c>
      <c r="S738" s="4">
        <v>9</v>
      </c>
      <c r="T738" s="4">
        <v>9</v>
      </c>
      <c r="U738" s="5" t="s">
        <v>7785</v>
      </c>
      <c r="V738" s="5" t="s">
        <v>7785</v>
      </c>
      <c r="W738" s="5" t="s">
        <v>9683</v>
      </c>
      <c r="X738" s="5" t="s">
        <v>9683</v>
      </c>
      <c r="Y738" s="4">
        <v>193</v>
      </c>
      <c r="Z738" s="4">
        <v>167</v>
      </c>
      <c r="AA738" s="4">
        <v>171</v>
      </c>
      <c r="AB738" s="4">
        <v>1</v>
      </c>
      <c r="AC738" s="4">
        <v>1</v>
      </c>
      <c r="AD738" s="4">
        <v>6</v>
      </c>
      <c r="AE738" s="4">
        <v>6</v>
      </c>
      <c r="AF738" s="4">
        <v>1</v>
      </c>
      <c r="AG738" s="4">
        <v>1</v>
      </c>
      <c r="AH738" s="4">
        <v>3</v>
      </c>
      <c r="AI738" s="4">
        <v>3</v>
      </c>
      <c r="AJ738" s="4">
        <v>5</v>
      </c>
      <c r="AK738" s="4">
        <v>5</v>
      </c>
      <c r="AL738" s="4">
        <v>0</v>
      </c>
      <c r="AM738" s="4">
        <v>0</v>
      </c>
      <c r="AN738" s="4">
        <v>0</v>
      </c>
      <c r="AO738" s="4">
        <v>0</v>
      </c>
      <c r="AP738" s="3" t="s">
        <v>58</v>
      </c>
      <c r="AQ738" s="3" t="s">
        <v>86</v>
      </c>
      <c r="AR738" s="6" t="str">
        <f>HYPERLINK("http://catalog.hathitrust.org/Record/000750188","HathiTrust Record")</f>
        <v>HathiTrust Record</v>
      </c>
      <c r="AS738" s="6" t="str">
        <f>HYPERLINK("https://creighton-primo.hosted.exlibrisgroup.com/primo-explore/search?tab=default_tab&amp;search_scope=EVERYTHING&amp;vid=01CRU&amp;lang=en_US&amp;offset=0&amp;query=any,contains,991004415629702656","Catalog Record")</f>
        <v>Catalog Record</v>
      </c>
      <c r="AT738" s="6" t="str">
        <f>HYPERLINK("http://www.worldcat.org/oclc/3361555","WorldCat Record")</f>
        <v>WorldCat Record</v>
      </c>
      <c r="AU738" s="3" t="s">
        <v>9684</v>
      </c>
      <c r="AV738" s="3" t="s">
        <v>9685</v>
      </c>
      <c r="AW738" s="3" t="s">
        <v>9686</v>
      </c>
      <c r="AX738" s="3" t="s">
        <v>9686</v>
      </c>
      <c r="AY738" s="3" t="s">
        <v>9687</v>
      </c>
      <c r="AZ738" s="3" t="s">
        <v>74</v>
      </c>
      <c r="BB738" s="3" t="s">
        <v>9688</v>
      </c>
      <c r="BC738" s="3" t="s">
        <v>9689</v>
      </c>
      <c r="BD738" s="3" t="s">
        <v>9690</v>
      </c>
    </row>
    <row r="739" spans="1:56" ht="42.75" customHeight="1" x14ac:dyDescent="0.25">
      <c r="A739" s="7" t="s">
        <v>58</v>
      </c>
      <c r="B739" s="2" t="s">
        <v>9691</v>
      </c>
      <c r="C739" s="2" t="s">
        <v>9692</v>
      </c>
      <c r="D739" s="2" t="s">
        <v>9693</v>
      </c>
      <c r="F739" s="3" t="s">
        <v>58</v>
      </c>
      <c r="G739" s="3" t="s">
        <v>59</v>
      </c>
      <c r="H739" s="3" t="s">
        <v>58</v>
      </c>
      <c r="I739" s="3" t="s">
        <v>86</v>
      </c>
      <c r="J739" s="3" t="s">
        <v>60</v>
      </c>
      <c r="L739" s="2" t="s">
        <v>9694</v>
      </c>
      <c r="M739" s="3" t="s">
        <v>695</v>
      </c>
      <c r="N739" s="2" t="s">
        <v>1736</v>
      </c>
      <c r="O739" s="3" t="s">
        <v>64</v>
      </c>
      <c r="P739" s="3" t="s">
        <v>359</v>
      </c>
      <c r="R739" s="3" t="s">
        <v>67</v>
      </c>
      <c r="S739" s="4">
        <v>2</v>
      </c>
      <c r="T739" s="4">
        <v>2</v>
      </c>
      <c r="U739" s="5" t="s">
        <v>9695</v>
      </c>
      <c r="V739" s="5" t="s">
        <v>9695</v>
      </c>
      <c r="W739" s="5" t="s">
        <v>9696</v>
      </c>
      <c r="X739" s="5" t="s">
        <v>9696</v>
      </c>
      <c r="Y739" s="4">
        <v>194</v>
      </c>
      <c r="Z739" s="4">
        <v>139</v>
      </c>
      <c r="AA739" s="4">
        <v>731</v>
      </c>
      <c r="AB739" s="4">
        <v>1</v>
      </c>
      <c r="AC739" s="4">
        <v>8</v>
      </c>
      <c r="AD739" s="4">
        <v>6</v>
      </c>
      <c r="AE739" s="4">
        <v>36</v>
      </c>
      <c r="AF739" s="4">
        <v>3</v>
      </c>
      <c r="AG739" s="4">
        <v>13</v>
      </c>
      <c r="AH739" s="4">
        <v>1</v>
      </c>
      <c r="AI739" s="4">
        <v>9</v>
      </c>
      <c r="AJ739" s="4">
        <v>4</v>
      </c>
      <c r="AK739" s="4">
        <v>15</v>
      </c>
      <c r="AL739" s="4">
        <v>0</v>
      </c>
      <c r="AM739" s="4">
        <v>6</v>
      </c>
      <c r="AN739" s="4">
        <v>0</v>
      </c>
      <c r="AO739" s="4">
        <v>1</v>
      </c>
      <c r="AP739" s="3" t="s">
        <v>58</v>
      </c>
      <c r="AQ739" s="3" t="s">
        <v>86</v>
      </c>
      <c r="AR739" s="6" t="str">
        <f>HYPERLINK("http://catalog.hathitrust.org/Record/002710683","HathiTrust Record")</f>
        <v>HathiTrust Record</v>
      </c>
      <c r="AS739" s="6" t="str">
        <f>HYPERLINK("https://creighton-primo.hosted.exlibrisgroup.com/primo-explore/search?tab=default_tab&amp;search_scope=EVERYTHING&amp;vid=01CRU&amp;lang=en_US&amp;offset=0&amp;query=any,contains,991005416529702656","Catalog Record")</f>
        <v>Catalog Record</v>
      </c>
      <c r="AT739" s="6" t="str">
        <f>HYPERLINK("http://www.worldcat.org/oclc/27642929","WorldCat Record")</f>
        <v>WorldCat Record</v>
      </c>
      <c r="AU739" s="3" t="s">
        <v>9697</v>
      </c>
      <c r="AV739" s="3" t="s">
        <v>9698</v>
      </c>
      <c r="AW739" s="3" t="s">
        <v>9699</v>
      </c>
      <c r="AX739" s="3" t="s">
        <v>9699</v>
      </c>
      <c r="AY739" s="3" t="s">
        <v>9700</v>
      </c>
      <c r="AZ739" s="3" t="s">
        <v>74</v>
      </c>
      <c r="BB739" s="3" t="s">
        <v>9701</v>
      </c>
      <c r="BC739" s="3" t="s">
        <v>9702</v>
      </c>
      <c r="BD739" s="3" t="s">
        <v>9703</v>
      </c>
    </row>
    <row r="740" spans="1:56" ht="42.75" customHeight="1" x14ac:dyDescent="0.25">
      <c r="A740" s="7" t="s">
        <v>58</v>
      </c>
      <c r="B740" s="2" t="s">
        <v>9704</v>
      </c>
      <c r="C740" s="2" t="s">
        <v>9705</v>
      </c>
      <c r="D740" s="2" t="s">
        <v>9706</v>
      </c>
      <c r="F740" s="3" t="s">
        <v>58</v>
      </c>
      <c r="G740" s="3" t="s">
        <v>59</v>
      </c>
      <c r="H740" s="3" t="s">
        <v>58</v>
      </c>
      <c r="I740" s="3" t="s">
        <v>58</v>
      </c>
      <c r="J740" s="3" t="s">
        <v>60</v>
      </c>
      <c r="L740" s="2" t="s">
        <v>6567</v>
      </c>
      <c r="M740" s="3" t="s">
        <v>4296</v>
      </c>
      <c r="O740" s="3" t="s">
        <v>64</v>
      </c>
      <c r="P740" s="3" t="s">
        <v>115</v>
      </c>
      <c r="Q740" s="2" t="s">
        <v>6278</v>
      </c>
      <c r="R740" s="3" t="s">
        <v>67</v>
      </c>
      <c r="S740" s="4">
        <v>3</v>
      </c>
      <c r="T740" s="4">
        <v>3</v>
      </c>
      <c r="U740" s="5" t="s">
        <v>9707</v>
      </c>
      <c r="V740" s="5" t="s">
        <v>9707</v>
      </c>
      <c r="W740" s="5" t="s">
        <v>8083</v>
      </c>
      <c r="X740" s="5" t="s">
        <v>8083</v>
      </c>
      <c r="Y740" s="4">
        <v>251</v>
      </c>
      <c r="Z740" s="4">
        <v>180</v>
      </c>
      <c r="AA740" s="4">
        <v>188</v>
      </c>
      <c r="AB740" s="4">
        <v>3</v>
      </c>
      <c r="AC740" s="4">
        <v>3</v>
      </c>
      <c r="AD740" s="4">
        <v>7</v>
      </c>
      <c r="AE740" s="4">
        <v>7</v>
      </c>
      <c r="AF740" s="4">
        <v>3</v>
      </c>
      <c r="AG740" s="4">
        <v>3</v>
      </c>
      <c r="AH740" s="4">
        <v>0</v>
      </c>
      <c r="AI740" s="4">
        <v>0</v>
      </c>
      <c r="AJ740" s="4">
        <v>3</v>
      </c>
      <c r="AK740" s="4">
        <v>3</v>
      </c>
      <c r="AL740" s="4">
        <v>2</v>
      </c>
      <c r="AM740" s="4">
        <v>2</v>
      </c>
      <c r="AN740" s="4">
        <v>0</v>
      </c>
      <c r="AO740" s="4">
        <v>0</v>
      </c>
      <c r="AP740" s="3" t="s">
        <v>58</v>
      </c>
      <c r="AQ740" s="3" t="s">
        <v>86</v>
      </c>
      <c r="AR740" s="6" t="str">
        <f>HYPERLINK("http://catalog.hathitrust.org/Record/000018826","HathiTrust Record")</f>
        <v>HathiTrust Record</v>
      </c>
      <c r="AS740" s="6" t="str">
        <f>HYPERLINK("https://creighton-primo.hosted.exlibrisgroup.com/primo-explore/search?tab=default_tab&amp;search_scope=EVERYTHING&amp;vid=01CRU&amp;lang=en_US&amp;offset=0&amp;query=any,contains,991003721739702656","Catalog Record")</f>
        <v>Catalog Record</v>
      </c>
      <c r="AT740" s="6" t="str">
        <f>HYPERLINK("http://www.worldcat.org/oclc/1366312","WorldCat Record")</f>
        <v>WorldCat Record</v>
      </c>
      <c r="AU740" s="3" t="s">
        <v>9708</v>
      </c>
      <c r="AV740" s="3" t="s">
        <v>9709</v>
      </c>
      <c r="AW740" s="3" t="s">
        <v>9710</v>
      </c>
      <c r="AX740" s="3" t="s">
        <v>9710</v>
      </c>
      <c r="AY740" s="3" t="s">
        <v>9711</v>
      </c>
      <c r="AZ740" s="3" t="s">
        <v>74</v>
      </c>
      <c r="BB740" s="3" t="s">
        <v>9712</v>
      </c>
      <c r="BC740" s="3" t="s">
        <v>9713</v>
      </c>
      <c r="BD740" s="3" t="s">
        <v>9714</v>
      </c>
    </row>
    <row r="741" spans="1:56" ht="42.75" customHeight="1" x14ac:dyDescent="0.25">
      <c r="A741" s="7" t="s">
        <v>58</v>
      </c>
      <c r="B741" s="2" t="s">
        <v>9715</v>
      </c>
      <c r="C741" s="2" t="s">
        <v>9716</v>
      </c>
      <c r="D741" s="2" t="s">
        <v>9717</v>
      </c>
      <c r="F741" s="3" t="s">
        <v>58</v>
      </c>
      <c r="G741" s="3" t="s">
        <v>59</v>
      </c>
      <c r="H741" s="3" t="s">
        <v>58</v>
      </c>
      <c r="I741" s="3" t="s">
        <v>58</v>
      </c>
      <c r="J741" s="3" t="s">
        <v>60</v>
      </c>
      <c r="K741" s="2" t="s">
        <v>9718</v>
      </c>
      <c r="L741" s="2" t="s">
        <v>9719</v>
      </c>
      <c r="M741" s="3" t="s">
        <v>642</v>
      </c>
      <c r="O741" s="3" t="s">
        <v>64</v>
      </c>
      <c r="P741" s="3" t="s">
        <v>115</v>
      </c>
      <c r="R741" s="3" t="s">
        <v>67</v>
      </c>
      <c r="S741" s="4">
        <v>44</v>
      </c>
      <c r="T741" s="4">
        <v>44</v>
      </c>
      <c r="U741" s="5" t="s">
        <v>9720</v>
      </c>
      <c r="V741" s="5" t="s">
        <v>9720</v>
      </c>
      <c r="W741" s="5" t="s">
        <v>9721</v>
      </c>
      <c r="X741" s="5" t="s">
        <v>9721</v>
      </c>
      <c r="Y741" s="4">
        <v>2061</v>
      </c>
      <c r="Z741" s="4">
        <v>1961</v>
      </c>
      <c r="AA741" s="4">
        <v>2437</v>
      </c>
      <c r="AB741" s="4">
        <v>14</v>
      </c>
      <c r="AC741" s="4">
        <v>22</v>
      </c>
      <c r="AD741" s="4">
        <v>41</v>
      </c>
      <c r="AE741" s="4">
        <v>56</v>
      </c>
      <c r="AF741" s="4">
        <v>19</v>
      </c>
      <c r="AG741" s="4">
        <v>24</v>
      </c>
      <c r="AH741" s="4">
        <v>4</v>
      </c>
      <c r="AI741" s="4">
        <v>8</v>
      </c>
      <c r="AJ741" s="4">
        <v>20</v>
      </c>
      <c r="AK741" s="4">
        <v>22</v>
      </c>
      <c r="AL741" s="4">
        <v>5</v>
      </c>
      <c r="AM741" s="4">
        <v>11</v>
      </c>
      <c r="AN741" s="4">
        <v>2</v>
      </c>
      <c r="AO741" s="4">
        <v>2</v>
      </c>
      <c r="AP741" s="3" t="s">
        <v>58</v>
      </c>
      <c r="AQ741" s="3" t="s">
        <v>58</v>
      </c>
      <c r="AS741" s="6" t="str">
        <f>HYPERLINK("https://creighton-primo.hosted.exlibrisgroup.com/primo-explore/search?tab=default_tab&amp;search_scope=EVERYTHING&amp;vid=01CRU&amp;lang=en_US&amp;offset=0&amp;query=any,contains,991002116889702656","Catalog Record")</f>
        <v>Catalog Record</v>
      </c>
      <c r="AT741" s="6" t="str">
        <f>HYPERLINK("http://www.worldcat.org/oclc/27143771","WorldCat Record")</f>
        <v>WorldCat Record</v>
      </c>
      <c r="AU741" s="3" t="s">
        <v>9722</v>
      </c>
      <c r="AV741" s="3" t="s">
        <v>9723</v>
      </c>
      <c r="AW741" s="3" t="s">
        <v>9724</v>
      </c>
      <c r="AX741" s="3" t="s">
        <v>9724</v>
      </c>
      <c r="AY741" s="3" t="s">
        <v>9725</v>
      </c>
      <c r="AZ741" s="3" t="s">
        <v>74</v>
      </c>
      <c r="BB741" s="3" t="s">
        <v>9726</v>
      </c>
      <c r="BC741" s="3" t="s">
        <v>9727</v>
      </c>
      <c r="BD741" s="3" t="s">
        <v>9728</v>
      </c>
    </row>
    <row r="742" spans="1:56" ht="42.75" customHeight="1" x14ac:dyDescent="0.25">
      <c r="A742" s="7" t="s">
        <v>58</v>
      </c>
      <c r="B742" s="2" t="s">
        <v>9729</v>
      </c>
      <c r="C742" s="2" t="s">
        <v>9730</v>
      </c>
      <c r="D742" s="2" t="s">
        <v>9731</v>
      </c>
      <c r="F742" s="3" t="s">
        <v>58</v>
      </c>
      <c r="G742" s="3" t="s">
        <v>59</v>
      </c>
      <c r="H742" s="3" t="s">
        <v>58</v>
      </c>
      <c r="I742" s="3" t="s">
        <v>58</v>
      </c>
      <c r="J742" s="3" t="s">
        <v>60</v>
      </c>
      <c r="K742" s="2" t="s">
        <v>9732</v>
      </c>
      <c r="L742" s="2" t="s">
        <v>9733</v>
      </c>
      <c r="M742" s="3" t="s">
        <v>314</v>
      </c>
      <c r="O742" s="3" t="s">
        <v>64</v>
      </c>
      <c r="P742" s="3" t="s">
        <v>115</v>
      </c>
      <c r="R742" s="3" t="s">
        <v>67</v>
      </c>
      <c r="S742" s="4">
        <v>10</v>
      </c>
      <c r="T742" s="4">
        <v>10</v>
      </c>
      <c r="U742" s="5" t="s">
        <v>9734</v>
      </c>
      <c r="V742" s="5" t="s">
        <v>9734</v>
      </c>
      <c r="W742" s="5" t="s">
        <v>8083</v>
      </c>
      <c r="X742" s="5" t="s">
        <v>8083</v>
      </c>
      <c r="Y742" s="4">
        <v>363</v>
      </c>
      <c r="Z742" s="4">
        <v>333</v>
      </c>
      <c r="AA742" s="4">
        <v>346</v>
      </c>
      <c r="AB742" s="4">
        <v>4</v>
      </c>
      <c r="AC742" s="4">
        <v>4</v>
      </c>
      <c r="AD742" s="4">
        <v>15</v>
      </c>
      <c r="AE742" s="4">
        <v>16</v>
      </c>
      <c r="AF742" s="4">
        <v>4</v>
      </c>
      <c r="AG742" s="4">
        <v>4</v>
      </c>
      <c r="AH742" s="4">
        <v>1</v>
      </c>
      <c r="AI742" s="4">
        <v>2</v>
      </c>
      <c r="AJ742" s="4">
        <v>8</v>
      </c>
      <c r="AK742" s="4">
        <v>9</v>
      </c>
      <c r="AL742" s="4">
        <v>3</v>
      </c>
      <c r="AM742" s="4">
        <v>3</v>
      </c>
      <c r="AN742" s="4">
        <v>0</v>
      </c>
      <c r="AO742" s="4">
        <v>0</v>
      </c>
      <c r="AP742" s="3" t="s">
        <v>58</v>
      </c>
      <c r="AQ742" s="3" t="s">
        <v>58</v>
      </c>
      <c r="AS742" s="6" t="str">
        <f>HYPERLINK("https://creighton-primo.hosted.exlibrisgroup.com/primo-explore/search?tab=default_tab&amp;search_scope=EVERYTHING&amp;vid=01CRU&amp;lang=en_US&amp;offset=0&amp;query=any,contains,991002650119702656","Catalog Record")</f>
        <v>Catalog Record</v>
      </c>
      <c r="AT742" s="6" t="str">
        <f>HYPERLINK("http://www.worldcat.org/oclc/386839","WorldCat Record")</f>
        <v>WorldCat Record</v>
      </c>
      <c r="AU742" s="3" t="s">
        <v>9735</v>
      </c>
      <c r="AV742" s="3" t="s">
        <v>9736</v>
      </c>
      <c r="AW742" s="3" t="s">
        <v>9737</v>
      </c>
      <c r="AX742" s="3" t="s">
        <v>9737</v>
      </c>
      <c r="AY742" s="3" t="s">
        <v>9738</v>
      </c>
      <c r="AZ742" s="3" t="s">
        <v>74</v>
      </c>
      <c r="BC742" s="3" t="s">
        <v>9739</v>
      </c>
      <c r="BD742" s="3" t="s">
        <v>9740</v>
      </c>
    </row>
    <row r="743" spans="1:56" ht="42.75" customHeight="1" x14ac:dyDescent="0.25">
      <c r="A743" s="7" t="s">
        <v>58</v>
      </c>
      <c r="B743" s="2" t="s">
        <v>9741</v>
      </c>
      <c r="C743" s="2" t="s">
        <v>9742</v>
      </c>
      <c r="D743" s="2" t="s">
        <v>9743</v>
      </c>
      <c r="F743" s="3" t="s">
        <v>58</v>
      </c>
      <c r="G743" s="3" t="s">
        <v>59</v>
      </c>
      <c r="H743" s="3" t="s">
        <v>58</v>
      </c>
      <c r="I743" s="3" t="s">
        <v>58</v>
      </c>
      <c r="J743" s="3" t="s">
        <v>60</v>
      </c>
      <c r="L743" s="2" t="s">
        <v>4868</v>
      </c>
      <c r="M743" s="3" t="s">
        <v>238</v>
      </c>
      <c r="O743" s="3" t="s">
        <v>64</v>
      </c>
      <c r="P743" s="3" t="s">
        <v>1898</v>
      </c>
      <c r="R743" s="3" t="s">
        <v>67</v>
      </c>
      <c r="S743" s="4">
        <v>5</v>
      </c>
      <c r="T743" s="4">
        <v>5</v>
      </c>
      <c r="U743" s="5" t="s">
        <v>9744</v>
      </c>
      <c r="V743" s="5" t="s">
        <v>9744</v>
      </c>
      <c r="W743" s="5" t="s">
        <v>4459</v>
      </c>
      <c r="X743" s="5" t="s">
        <v>4459</v>
      </c>
      <c r="Y743" s="4">
        <v>297</v>
      </c>
      <c r="Z743" s="4">
        <v>218</v>
      </c>
      <c r="AA743" s="4">
        <v>221</v>
      </c>
      <c r="AB743" s="4">
        <v>2</v>
      </c>
      <c r="AC743" s="4">
        <v>2</v>
      </c>
      <c r="AD743" s="4">
        <v>9</v>
      </c>
      <c r="AE743" s="4">
        <v>9</v>
      </c>
      <c r="AF743" s="4">
        <v>3</v>
      </c>
      <c r="AG743" s="4">
        <v>3</v>
      </c>
      <c r="AH743" s="4">
        <v>1</v>
      </c>
      <c r="AI743" s="4">
        <v>1</v>
      </c>
      <c r="AJ743" s="4">
        <v>6</v>
      </c>
      <c r="AK743" s="4">
        <v>6</v>
      </c>
      <c r="AL743" s="4">
        <v>1</v>
      </c>
      <c r="AM743" s="4">
        <v>1</v>
      </c>
      <c r="AN743" s="4">
        <v>0</v>
      </c>
      <c r="AO743" s="4">
        <v>0</v>
      </c>
      <c r="AP743" s="3" t="s">
        <v>58</v>
      </c>
      <c r="AQ743" s="3" t="s">
        <v>86</v>
      </c>
      <c r="AR743" s="6" t="str">
        <f>HYPERLINK("http://catalog.hathitrust.org/Record/000303445","HathiTrust Record")</f>
        <v>HathiTrust Record</v>
      </c>
      <c r="AS743" s="6" t="str">
        <f>HYPERLINK("https://creighton-primo.hosted.exlibrisgroup.com/primo-explore/search?tab=default_tab&amp;search_scope=EVERYTHING&amp;vid=01CRU&amp;lang=en_US&amp;offset=0&amp;query=any,contains,991004777379702656","Catalog Record")</f>
        <v>Catalog Record</v>
      </c>
      <c r="AT743" s="6" t="str">
        <f>HYPERLINK("http://www.worldcat.org/oclc/5101609","WorldCat Record")</f>
        <v>WorldCat Record</v>
      </c>
      <c r="AU743" s="3" t="s">
        <v>9745</v>
      </c>
      <c r="AV743" s="3" t="s">
        <v>9746</v>
      </c>
      <c r="AW743" s="3" t="s">
        <v>9747</v>
      </c>
      <c r="AX743" s="3" t="s">
        <v>9747</v>
      </c>
      <c r="AY743" s="3" t="s">
        <v>9748</v>
      </c>
      <c r="AZ743" s="3" t="s">
        <v>74</v>
      </c>
      <c r="BB743" s="3" t="s">
        <v>9749</v>
      </c>
      <c r="BC743" s="3" t="s">
        <v>9750</v>
      </c>
      <c r="BD743" s="3" t="s">
        <v>9751</v>
      </c>
    </row>
    <row r="744" spans="1:56" ht="42.75" customHeight="1" x14ac:dyDescent="0.25">
      <c r="A744" s="7" t="s">
        <v>58</v>
      </c>
      <c r="B744" s="2" t="s">
        <v>9752</v>
      </c>
      <c r="C744" s="2" t="s">
        <v>9753</v>
      </c>
      <c r="D744" s="2" t="s">
        <v>9754</v>
      </c>
      <c r="F744" s="3" t="s">
        <v>58</v>
      </c>
      <c r="G744" s="3" t="s">
        <v>59</v>
      </c>
      <c r="H744" s="3" t="s">
        <v>58</v>
      </c>
      <c r="I744" s="3" t="s">
        <v>58</v>
      </c>
      <c r="J744" s="3" t="s">
        <v>60</v>
      </c>
      <c r="L744" s="2" t="s">
        <v>9755</v>
      </c>
      <c r="M744" s="3" t="s">
        <v>642</v>
      </c>
      <c r="O744" s="3" t="s">
        <v>64</v>
      </c>
      <c r="P744" s="3" t="s">
        <v>115</v>
      </c>
      <c r="R744" s="3" t="s">
        <v>67</v>
      </c>
      <c r="S744" s="4">
        <v>3</v>
      </c>
      <c r="T744" s="4">
        <v>3</v>
      </c>
      <c r="U744" s="5" t="s">
        <v>9756</v>
      </c>
      <c r="V744" s="5" t="s">
        <v>9756</v>
      </c>
      <c r="W744" s="5" t="s">
        <v>9757</v>
      </c>
      <c r="X744" s="5" t="s">
        <v>9757</v>
      </c>
      <c r="Y744" s="4">
        <v>204</v>
      </c>
      <c r="Z744" s="4">
        <v>166</v>
      </c>
      <c r="AA744" s="4">
        <v>166</v>
      </c>
      <c r="AB744" s="4">
        <v>2</v>
      </c>
      <c r="AC744" s="4">
        <v>2</v>
      </c>
      <c r="AD744" s="4">
        <v>9</v>
      </c>
      <c r="AE744" s="4">
        <v>9</v>
      </c>
      <c r="AF744" s="4">
        <v>3</v>
      </c>
      <c r="AG744" s="4">
        <v>3</v>
      </c>
      <c r="AH744" s="4">
        <v>1</v>
      </c>
      <c r="AI744" s="4">
        <v>1</v>
      </c>
      <c r="AJ744" s="4">
        <v>6</v>
      </c>
      <c r="AK744" s="4">
        <v>6</v>
      </c>
      <c r="AL744" s="4">
        <v>1</v>
      </c>
      <c r="AM744" s="4">
        <v>1</v>
      </c>
      <c r="AN744" s="4">
        <v>0</v>
      </c>
      <c r="AO744" s="4">
        <v>0</v>
      </c>
      <c r="AP744" s="3" t="s">
        <v>58</v>
      </c>
      <c r="AQ744" s="3" t="s">
        <v>58</v>
      </c>
      <c r="AS744" s="6" t="str">
        <f>HYPERLINK("https://creighton-primo.hosted.exlibrisgroup.com/primo-explore/search?tab=default_tab&amp;search_scope=EVERYTHING&amp;vid=01CRU&amp;lang=en_US&amp;offset=0&amp;query=any,contains,991001977399702656","Catalog Record")</f>
        <v>Catalog Record</v>
      </c>
      <c r="AT744" s="6" t="str">
        <f>HYPERLINK("http://www.worldcat.org/oclc/25091266","WorldCat Record")</f>
        <v>WorldCat Record</v>
      </c>
      <c r="AU744" s="3" t="s">
        <v>9758</v>
      </c>
      <c r="AV744" s="3" t="s">
        <v>9759</v>
      </c>
      <c r="AW744" s="3" t="s">
        <v>9760</v>
      </c>
      <c r="AX744" s="3" t="s">
        <v>9760</v>
      </c>
      <c r="AY744" s="3" t="s">
        <v>9761</v>
      </c>
      <c r="AZ744" s="3" t="s">
        <v>74</v>
      </c>
      <c r="BB744" s="3" t="s">
        <v>9762</v>
      </c>
      <c r="BC744" s="3" t="s">
        <v>9763</v>
      </c>
      <c r="BD744" s="3" t="s">
        <v>9764</v>
      </c>
    </row>
    <row r="745" spans="1:56" ht="42.75" customHeight="1" x14ac:dyDescent="0.25">
      <c r="A745" s="7" t="s">
        <v>58</v>
      </c>
      <c r="B745" s="2" t="s">
        <v>9765</v>
      </c>
      <c r="C745" s="2" t="s">
        <v>9766</v>
      </c>
      <c r="D745" s="2" t="s">
        <v>9767</v>
      </c>
      <c r="F745" s="3" t="s">
        <v>58</v>
      </c>
      <c r="G745" s="3" t="s">
        <v>59</v>
      </c>
      <c r="H745" s="3" t="s">
        <v>58</v>
      </c>
      <c r="I745" s="3" t="s">
        <v>58</v>
      </c>
      <c r="J745" s="3" t="s">
        <v>60</v>
      </c>
      <c r="K745" s="2" t="s">
        <v>9768</v>
      </c>
      <c r="L745" s="2" t="s">
        <v>5226</v>
      </c>
      <c r="M745" s="3" t="s">
        <v>238</v>
      </c>
      <c r="O745" s="3" t="s">
        <v>64</v>
      </c>
      <c r="P745" s="3" t="s">
        <v>115</v>
      </c>
      <c r="R745" s="3" t="s">
        <v>67</v>
      </c>
      <c r="S745" s="4">
        <v>4</v>
      </c>
      <c r="T745" s="4">
        <v>4</v>
      </c>
      <c r="U745" s="5" t="s">
        <v>9769</v>
      </c>
      <c r="V745" s="5" t="s">
        <v>9769</v>
      </c>
      <c r="W745" s="5" t="s">
        <v>3457</v>
      </c>
      <c r="X745" s="5" t="s">
        <v>3457</v>
      </c>
      <c r="Y745" s="4">
        <v>269</v>
      </c>
      <c r="Z745" s="4">
        <v>204</v>
      </c>
      <c r="AA745" s="4">
        <v>211</v>
      </c>
      <c r="AB745" s="4">
        <v>2</v>
      </c>
      <c r="AC745" s="4">
        <v>2</v>
      </c>
      <c r="AD745" s="4">
        <v>13</v>
      </c>
      <c r="AE745" s="4">
        <v>13</v>
      </c>
      <c r="AF745" s="4">
        <v>5</v>
      </c>
      <c r="AG745" s="4">
        <v>5</v>
      </c>
      <c r="AH745" s="4">
        <v>1</v>
      </c>
      <c r="AI745" s="4">
        <v>1</v>
      </c>
      <c r="AJ745" s="4">
        <v>11</v>
      </c>
      <c r="AK745" s="4">
        <v>11</v>
      </c>
      <c r="AL745" s="4">
        <v>1</v>
      </c>
      <c r="AM745" s="4">
        <v>1</v>
      </c>
      <c r="AN745" s="4">
        <v>0</v>
      </c>
      <c r="AO745" s="4">
        <v>0</v>
      </c>
      <c r="AP745" s="3" t="s">
        <v>58</v>
      </c>
      <c r="AQ745" s="3" t="s">
        <v>86</v>
      </c>
      <c r="AR745" s="6" t="str">
        <f>HYPERLINK("http://catalog.hathitrust.org/Record/000472676","HathiTrust Record")</f>
        <v>HathiTrust Record</v>
      </c>
      <c r="AS745" s="6" t="str">
        <f>HYPERLINK("https://creighton-primo.hosted.exlibrisgroup.com/primo-explore/search?tab=default_tab&amp;search_scope=EVERYTHING&amp;vid=01CRU&amp;lang=en_US&amp;offset=0&amp;query=any,contains,991004750859702656","Catalog Record")</f>
        <v>Catalog Record</v>
      </c>
      <c r="AT745" s="6" t="str">
        <f>HYPERLINK("http://www.worldcat.org/oclc/4933465","WorldCat Record")</f>
        <v>WorldCat Record</v>
      </c>
      <c r="AU745" s="3" t="s">
        <v>9770</v>
      </c>
      <c r="AV745" s="3" t="s">
        <v>9771</v>
      </c>
      <c r="AW745" s="3" t="s">
        <v>9772</v>
      </c>
      <c r="AX745" s="3" t="s">
        <v>9772</v>
      </c>
      <c r="AY745" s="3" t="s">
        <v>9773</v>
      </c>
      <c r="AZ745" s="3" t="s">
        <v>74</v>
      </c>
      <c r="BB745" s="3" t="s">
        <v>9774</v>
      </c>
      <c r="BC745" s="3" t="s">
        <v>9775</v>
      </c>
      <c r="BD745" s="3" t="s">
        <v>9776</v>
      </c>
    </row>
    <row r="746" spans="1:56" ht="42.75" customHeight="1" x14ac:dyDescent="0.25">
      <c r="A746" s="7" t="s">
        <v>58</v>
      </c>
      <c r="B746" s="2" t="s">
        <v>9777</v>
      </c>
      <c r="C746" s="2" t="s">
        <v>9778</v>
      </c>
      <c r="D746" s="2" t="s">
        <v>9779</v>
      </c>
      <c r="F746" s="3" t="s">
        <v>58</v>
      </c>
      <c r="G746" s="3" t="s">
        <v>59</v>
      </c>
      <c r="H746" s="3" t="s">
        <v>58</v>
      </c>
      <c r="I746" s="3" t="s">
        <v>58</v>
      </c>
      <c r="J746" s="3" t="s">
        <v>60</v>
      </c>
      <c r="K746" s="2" t="s">
        <v>9780</v>
      </c>
      <c r="L746" s="2" t="s">
        <v>9781</v>
      </c>
      <c r="M746" s="3" t="s">
        <v>371</v>
      </c>
      <c r="O746" s="3" t="s">
        <v>64</v>
      </c>
      <c r="P746" s="3" t="s">
        <v>1898</v>
      </c>
      <c r="R746" s="3" t="s">
        <v>67</v>
      </c>
      <c r="S746" s="4">
        <v>9</v>
      </c>
      <c r="T746" s="4">
        <v>9</v>
      </c>
      <c r="U746" s="5" t="s">
        <v>9782</v>
      </c>
      <c r="V746" s="5" t="s">
        <v>9782</v>
      </c>
      <c r="W746" s="5" t="s">
        <v>4730</v>
      </c>
      <c r="X746" s="5" t="s">
        <v>4730</v>
      </c>
      <c r="Y746" s="4">
        <v>301</v>
      </c>
      <c r="Z746" s="4">
        <v>262</v>
      </c>
      <c r="AA746" s="4">
        <v>269</v>
      </c>
      <c r="AB746" s="4">
        <v>2</v>
      </c>
      <c r="AC746" s="4">
        <v>2</v>
      </c>
      <c r="AD746" s="4">
        <v>15</v>
      </c>
      <c r="AE746" s="4">
        <v>15</v>
      </c>
      <c r="AF746" s="4">
        <v>7</v>
      </c>
      <c r="AG746" s="4">
        <v>7</v>
      </c>
      <c r="AH746" s="4">
        <v>3</v>
      </c>
      <c r="AI746" s="4">
        <v>3</v>
      </c>
      <c r="AJ746" s="4">
        <v>7</v>
      </c>
      <c r="AK746" s="4">
        <v>7</v>
      </c>
      <c r="AL746" s="4">
        <v>1</v>
      </c>
      <c r="AM746" s="4">
        <v>1</v>
      </c>
      <c r="AN746" s="4">
        <v>0</v>
      </c>
      <c r="AO746" s="4">
        <v>0</v>
      </c>
      <c r="AP746" s="3" t="s">
        <v>58</v>
      </c>
      <c r="AQ746" s="3" t="s">
        <v>86</v>
      </c>
      <c r="AR746" s="6" t="str">
        <f>HYPERLINK("http://catalog.hathitrust.org/Record/000631657","HathiTrust Record")</f>
        <v>HathiTrust Record</v>
      </c>
      <c r="AS746" s="6" t="str">
        <f>HYPERLINK("https://creighton-primo.hosted.exlibrisgroup.com/primo-explore/search?tab=default_tab&amp;search_scope=EVERYTHING&amp;vid=01CRU&amp;lang=en_US&amp;offset=0&amp;query=any,contains,991000707729702656","Catalog Record")</f>
        <v>Catalog Record</v>
      </c>
      <c r="AT746" s="6" t="str">
        <f>HYPERLINK("http://www.worldcat.org/oclc/12558381","WorldCat Record")</f>
        <v>WorldCat Record</v>
      </c>
      <c r="AU746" s="3" t="s">
        <v>9783</v>
      </c>
      <c r="AV746" s="3" t="s">
        <v>9784</v>
      </c>
      <c r="AW746" s="3" t="s">
        <v>9785</v>
      </c>
      <c r="AX746" s="3" t="s">
        <v>9785</v>
      </c>
      <c r="AY746" s="3" t="s">
        <v>9786</v>
      </c>
      <c r="AZ746" s="3" t="s">
        <v>74</v>
      </c>
      <c r="BB746" s="3" t="s">
        <v>9787</v>
      </c>
      <c r="BC746" s="3" t="s">
        <v>9788</v>
      </c>
      <c r="BD746" s="3" t="s">
        <v>9789</v>
      </c>
    </row>
    <row r="747" spans="1:56" ht="42.75" customHeight="1" x14ac:dyDescent="0.25">
      <c r="A747" s="7" t="s">
        <v>58</v>
      </c>
      <c r="B747" s="2" t="s">
        <v>9790</v>
      </c>
      <c r="C747" s="2" t="s">
        <v>9791</v>
      </c>
      <c r="D747" s="2" t="s">
        <v>9792</v>
      </c>
      <c r="F747" s="3" t="s">
        <v>58</v>
      </c>
      <c r="G747" s="3" t="s">
        <v>59</v>
      </c>
      <c r="H747" s="3" t="s">
        <v>58</v>
      </c>
      <c r="I747" s="3" t="s">
        <v>58</v>
      </c>
      <c r="J747" s="3" t="s">
        <v>60</v>
      </c>
      <c r="K747" s="2" t="s">
        <v>9793</v>
      </c>
      <c r="L747" s="2" t="s">
        <v>5340</v>
      </c>
      <c r="M747" s="3" t="s">
        <v>223</v>
      </c>
      <c r="N747" s="2" t="s">
        <v>4027</v>
      </c>
      <c r="O747" s="3" t="s">
        <v>64</v>
      </c>
      <c r="P747" s="3" t="s">
        <v>115</v>
      </c>
      <c r="R747" s="3" t="s">
        <v>67</v>
      </c>
      <c r="S747" s="4">
        <v>6</v>
      </c>
      <c r="T747" s="4">
        <v>6</v>
      </c>
      <c r="U747" s="5" t="s">
        <v>9794</v>
      </c>
      <c r="V747" s="5" t="s">
        <v>9794</v>
      </c>
      <c r="W747" s="5" t="s">
        <v>4730</v>
      </c>
      <c r="X747" s="5" t="s">
        <v>4730</v>
      </c>
      <c r="Y747" s="4">
        <v>405</v>
      </c>
      <c r="Z747" s="4">
        <v>329</v>
      </c>
      <c r="AA747" s="4">
        <v>559</v>
      </c>
      <c r="AB747" s="4">
        <v>3</v>
      </c>
      <c r="AC747" s="4">
        <v>3</v>
      </c>
      <c r="AD747" s="4">
        <v>13</v>
      </c>
      <c r="AE747" s="4">
        <v>18</v>
      </c>
      <c r="AF747" s="4">
        <v>2</v>
      </c>
      <c r="AG747" s="4">
        <v>4</v>
      </c>
      <c r="AH747" s="4">
        <v>4</v>
      </c>
      <c r="AI747" s="4">
        <v>6</v>
      </c>
      <c r="AJ747" s="4">
        <v>8</v>
      </c>
      <c r="AK747" s="4">
        <v>11</v>
      </c>
      <c r="AL747" s="4">
        <v>2</v>
      </c>
      <c r="AM747" s="4">
        <v>2</v>
      </c>
      <c r="AN747" s="4">
        <v>0</v>
      </c>
      <c r="AO747" s="4">
        <v>0</v>
      </c>
      <c r="AP747" s="3" t="s">
        <v>58</v>
      </c>
      <c r="AQ747" s="3" t="s">
        <v>86</v>
      </c>
      <c r="AR747" s="6" t="str">
        <f>HYPERLINK("http://catalog.hathitrust.org/Record/000178960","HathiTrust Record")</f>
        <v>HathiTrust Record</v>
      </c>
      <c r="AS747" s="6" t="str">
        <f>HYPERLINK("https://creighton-primo.hosted.exlibrisgroup.com/primo-explore/search?tab=default_tab&amp;search_scope=EVERYTHING&amp;vid=01CRU&amp;lang=en_US&amp;offset=0&amp;query=any,contains,991005265499702656","Catalog Record")</f>
        <v>Catalog Record</v>
      </c>
      <c r="AT747" s="6" t="str">
        <f>HYPERLINK("http://www.worldcat.org/oclc/4076845","WorldCat Record")</f>
        <v>WorldCat Record</v>
      </c>
      <c r="AU747" s="3" t="s">
        <v>9795</v>
      </c>
      <c r="AV747" s="3" t="s">
        <v>9796</v>
      </c>
      <c r="AW747" s="3" t="s">
        <v>9797</v>
      </c>
      <c r="AX747" s="3" t="s">
        <v>9797</v>
      </c>
      <c r="AY747" s="3" t="s">
        <v>9798</v>
      </c>
      <c r="AZ747" s="3" t="s">
        <v>74</v>
      </c>
      <c r="BB747" s="3" t="s">
        <v>9799</v>
      </c>
      <c r="BC747" s="3" t="s">
        <v>9800</v>
      </c>
      <c r="BD747" s="3" t="s">
        <v>9801</v>
      </c>
    </row>
    <row r="748" spans="1:56" ht="42.75" customHeight="1" x14ac:dyDescent="0.25">
      <c r="A748" s="7" t="s">
        <v>58</v>
      </c>
      <c r="B748" s="2" t="s">
        <v>9802</v>
      </c>
      <c r="C748" s="2" t="s">
        <v>9803</v>
      </c>
      <c r="D748" s="2" t="s">
        <v>9804</v>
      </c>
      <c r="F748" s="3" t="s">
        <v>58</v>
      </c>
      <c r="G748" s="3" t="s">
        <v>59</v>
      </c>
      <c r="H748" s="3" t="s">
        <v>58</v>
      </c>
      <c r="I748" s="3" t="s">
        <v>58</v>
      </c>
      <c r="J748" s="3" t="s">
        <v>60</v>
      </c>
      <c r="K748" s="2" t="s">
        <v>9805</v>
      </c>
      <c r="L748" s="2" t="s">
        <v>9806</v>
      </c>
      <c r="M748" s="3" t="s">
        <v>996</v>
      </c>
      <c r="O748" s="3" t="s">
        <v>64</v>
      </c>
      <c r="P748" s="3" t="s">
        <v>115</v>
      </c>
      <c r="Q748" s="2" t="s">
        <v>7207</v>
      </c>
      <c r="R748" s="3" t="s">
        <v>67</v>
      </c>
      <c r="S748" s="4">
        <v>5</v>
      </c>
      <c r="T748" s="4">
        <v>5</v>
      </c>
      <c r="U748" s="5" t="s">
        <v>9807</v>
      </c>
      <c r="V748" s="5" t="s">
        <v>9807</v>
      </c>
      <c r="W748" s="5" t="s">
        <v>1818</v>
      </c>
      <c r="X748" s="5" t="s">
        <v>1818</v>
      </c>
      <c r="Y748" s="4">
        <v>135</v>
      </c>
      <c r="Z748" s="4">
        <v>109</v>
      </c>
      <c r="AA748" s="4">
        <v>224</v>
      </c>
      <c r="AB748" s="4">
        <v>1</v>
      </c>
      <c r="AC748" s="4">
        <v>2</v>
      </c>
      <c r="AD748" s="4">
        <v>6</v>
      </c>
      <c r="AE748" s="4">
        <v>7</v>
      </c>
      <c r="AF748" s="4">
        <v>3</v>
      </c>
      <c r="AG748" s="4">
        <v>3</v>
      </c>
      <c r="AH748" s="4">
        <v>1</v>
      </c>
      <c r="AI748" s="4">
        <v>1</v>
      </c>
      <c r="AJ748" s="4">
        <v>4</v>
      </c>
      <c r="AK748" s="4">
        <v>4</v>
      </c>
      <c r="AL748" s="4">
        <v>0</v>
      </c>
      <c r="AM748" s="4">
        <v>1</v>
      </c>
      <c r="AN748" s="4">
        <v>0</v>
      </c>
      <c r="AO748" s="4">
        <v>0</v>
      </c>
      <c r="AP748" s="3" t="s">
        <v>58</v>
      </c>
      <c r="AQ748" s="3" t="s">
        <v>58</v>
      </c>
      <c r="AS748" s="6" t="str">
        <f>HYPERLINK("https://creighton-primo.hosted.exlibrisgroup.com/primo-explore/search?tab=default_tab&amp;search_scope=EVERYTHING&amp;vid=01CRU&amp;lang=en_US&amp;offset=0&amp;query=any,contains,991004007529702656","Catalog Record")</f>
        <v>Catalog Record</v>
      </c>
      <c r="AT748" s="6" t="str">
        <f>HYPERLINK("http://www.worldcat.org/oclc/41606190","WorldCat Record")</f>
        <v>WorldCat Record</v>
      </c>
      <c r="AU748" s="3" t="s">
        <v>9808</v>
      </c>
      <c r="AV748" s="3" t="s">
        <v>9809</v>
      </c>
      <c r="AW748" s="3" t="s">
        <v>9810</v>
      </c>
      <c r="AX748" s="3" t="s">
        <v>9810</v>
      </c>
      <c r="AY748" s="3" t="s">
        <v>9811</v>
      </c>
      <c r="AZ748" s="3" t="s">
        <v>74</v>
      </c>
      <c r="BB748" s="3" t="s">
        <v>9812</v>
      </c>
      <c r="BC748" s="3" t="s">
        <v>9813</v>
      </c>
      <c r="BD748" s="3" t="s">
        <v>9814</v>
      </c>
    </row>
    <row r="749" spans="1:56" ht="42.75" customHeight="1" x14ac:dyDescent="0.25">
      <c r="A749" s="7" t="s">
        <v>58</v>
      </c>
      <c r="B749" s="2" t="s">
        <v>9815</v>
      </c>
      <c r="C749" s="2" t="s">
        <v>9816</v>
      </c>
      <c r="D749" s="2" t="s">
        <v>9817</v>
      </c>
      <c r="F749" s="3" t="s">
        <v>58</v>
      </c>
      <c r="G749" s="3" t="s">
        <v>59</v>
      </c>
      <c r="H749" s="3" t="s">
        <v>58</v>
      </c>
      <c r="I749" s="3" t="s">
        <v>58</v>
      </c>
      <c r="J749" s="3" t="s">
        <v>60</v>
      </c>
      <c r="K749" s="2" t="s">
        <v>9818</v>
      </c>
      <c r="L749" s="2" t="s">
        <v>9819</v>
      </c>
      <c r="M749" s="3" t="s">
        <v>2770</v>
      </c>
      <c r="O749" s="3" t="s">
        <v>64</v>
      </c>
      <c r="P749" s="3" t="s">
        <v>1898</v>
      </c>
      <c r="R749" s="3" t="s">
        <v>67</v>
      </c>
      <c r="S749" s="4">
        <v>2</v>
      </c>
      <c r="T749" s="4">
        <v>2</v>
      </c>
      <c r="U749" s="5" t="s">
        <v>9820</v>
      </c>
      <c r="V749" s="5" t="s">
        <v>9820</v>
      </c>
      <c r="W749" s="5" t="s">
        <v>165</v>
      </c>
      <c r="X749" s="5" t="s">
        <v>165</v>
      </c>
      <c r="Y749" s="4">
        <v>647</v>
      </c>
      <c r="Z749" s="4">
        <v>510</v>
      </c>
      <c r="AA749" s="4">
        <v>512</v>
      </c>
      <c r="AB749" s="4">
        <v>9</v>
      </c>
      <c r="AC749" s="4">
        <v>9</v>
      </c>
      <c r="AD749" s="4">
        <v>26</v>
      </c>
      <c r="AE749" s="4">
        <v>26</v>
      </c>
      <c r="AF749" s="4">
        <v>10</v>
      </c>
      <c r="AG749" s="4">
        <v>10</v>
      </c>
      <c r="AH749" s="4">
        <v>4</v>
      </c>
      <c r="AI749" s="4">
        <v>4</v>
      </c>
      <c r="AJ749" s="4">
        <v>12</v>
      </c>
      <c r="AK749" s="4">
        <v>12</v>
      </c>
      <c r="AL749" s="4">
        <v>7</v>
      </c>
      <c r="AM749" s="4">
        <v>7</v>
      </c>
      <c r="AN749" s="4">
        <v>0</v>
      </c>
      <c r="AO749" s="4">
        <v>0</v>
      </c>
      <c r="AP749" s="3" t="s">
        <v>58</v>
      </c>
      <c r="AQ749" s="3" t="s">
        <v>86</v>
      </c>
      <c r="AR749" s="6" t="str">
        <f>HYPERLINK("http://catalog.hathitrust.org/Record/000145856","HathiTrust Record")</f>
        <v>HathiTrust Record</v>
      </c>
      <c r="AS749" s="6" t="str">
        <f>HYPERLINK("https://creighton-primo.hosted.exlibrisgroup.com/primo-explore/search?tab=default_tab&amp;search_scope=EVERYTHING&amp;vid=01CRU&amp;lang=en_US&amp;offset=0&amp;query=any,contains,991004107699702656","Catalog Record")</f>
        <v>Catalog Record</v>
      </c>
      <c r="AT749" s="6" t="str">
        <f>HYPERLINK("http://www.worldcat.org/oclc/2388087","WorldCat Record")</f>
        <v>WorldCat Record</v>
      </c>
      <c r="AU749" s="3" t="s">
        <v>9821</v>
      </c>
      <c r="AV749" s="3" t="s">
        <v>9822</v>
      </c>
      <c r="AW749" s="3" t="s">
        <v>9823</v>
      </c>
      <c r="AX749" s="3" t="s">
        <v>9823</v>
      </c>
      <c r="AY749" s="3" t="s">
        <v>9824</v>
      </c>
      <c r="AZ749" s="3" t="s">
        <v>74</v>
      </c>
      <c r="BB749" s="3" t="s">
        <v>9825</v>
      </c>
      <c r="BC749" s="3" t="s">
        <v>9826</v>
      </c>
      <c r="BD749" s="3" t="s">
        <v>9827</v>
      </c>
    </row>
    <row r="750" spans="1:56" ht="42.75" customHeight="1" x14ac:dyDescent="0.25">
      <c r="A750" s="7" t="s">
        <v>58</v>
      </c>
      <c r="B750" s="2" t="s">
        <v>9828</v>
      </c>
      <c r="C750" s="2" t="s">
        <v>9829</v>
      </c>
      <c r="D750" s="2" t="s">
        <v>9830</v>
      </c>
      <c r="F750" s="3" t="s">
        <v>58</v>
      </c>
      <c r="G750" s="3" t="s">
        <v>59</v>
      </c>
      <c r="H750" s="3" t="s">
        <v>58</v>
      </c>
      <c r="I750" s="3" t="s">
        <v>58</v>
      </c>
      <c r="J750" s="3" t="s">
        <v>60</v>
      </c>
      <c r="K750" s="2" t="s">
        <v>9831</v>
      </c>
      <c r="L750" s="2" t="s">
        <v>9832</v>
      </c>
      <c r="M750" s="3" t="s">
        <v>2853</v>
      </c>
      <c r="O750" s="3" t="s">
        <v>64</v>
      </c>
      <c r="P750" s="3" t="s">
        <v>115</v>
      </c>
      <c r="R750" s="3" t="s">
        <v>67</v>
      </c>
      <c r="S750" s="4">
        <v>3</v>
      </c>
      <c r="T750" s="4">
        <v>3</v>
      </c>
      <c r="U750" s="5" t="s">
        <v>9820</v>
      </c>
      <c r="V750" s="5" t="s">
        <v>9820</v>
      </c>
      <c r="W750" s="5" t="s">
        <v>165</v>
      </c>
      <c r="X750" s="5" t="s">
        <v>165</v>
      </c>
      <c r="Y750" s="4">
        <v>536</v>
      </c>
      <c r="Z750" s="4">
        <v>462</v>
      </c>
      <c r="AA750" s="4">
        <v>595</v>
      </c>
      <c r="AB750" s="4">
        <v>3</v>
      </c>
      <c r="AC750" s="4">
        <v>4</v>
      </c>
      <c r="AD750" s="4">
        <v>22</v>
      </c>
      <c r="AE750" s="4">
        <v>26</v>
      </c>
      <c r="AF750" s="4">
        <v>7</v>
      </c>
      <c r="AG750" s="4">
        <v>9</v>
      </c>
      <c r="AH750" s="4">
        <v>5</v>
      </c>
      <c r="AI750" s="4">
        <v>5</v>
      </c>
      <c r="AJ750" s="4">
        <v>12</v>
      </c>
      <c r="AK750" s="4">
        <v>16</v>
      </c>
      <c r="AL750" s="4">
        <v>2</v>
      </c>
      <c r="AM750" s="4">
        <v>2</v>
      </c>
      <c r="AN750" s="4">
        <v>0</v>
      </c>
      <c r="AO750" s="4">
        <v>0</v>
      </c>
      <c r="AP750" s="3" t="s">
        <v>58</v>
      </c>
      <c r="AQ750" s="3" t="s">
        <v>86</v>
      </c>
      <c r="AR750" s="6" t="str">
        <f>HYPERLINK("http://catalog.hathitrust.org/Record/001564671","HathiTrust Record")</f>
        <v>HathiTrust Record</v>
      </c>
      <c r="AS750" s="6" t="str">
        <f>HYPERLINK("https://creighton-primo.hosted.exlibrisgroup.com/primo-explore/search?tab=default_tab&amp;search_scope=EVERYTHING&amp;vid=01CRU&amp;lang=en_US&amp;offset=0&amp;query=any,contains,991003140469702656","Catalog Record")</f>
        <v>Catalog Record</v>
      </c>
      <c r="AT750" s="6" t="str">
        <f>HYPERLINK("http://www.worldcat.org/oclc/682014","WorldCat Record")</f>
        <v>WorldCat Record</v>
      </c>
      <c r="AU750" s="3" t="s">
        <v>9833</v>
      </c>
      <c r="AV750" s="3" t="s">
        <v>9834</v>
      </c>
      <c r="AW750" s="3" t="s">
        <v>9835</v>
      </c>
      <c r="AX750" s="3" t="s">
        <v>9835</v>
      </c>
      <c r="AY750" s="3" t="s">
        <v>9836</v>
      </c>
      <c r="AZ750" s="3" t="s">
        <v>74</v>
      </c>
      <c r="BC750" s="3" t="s">
        <v>9837</v>
      </c>
      <c r="BD750" s="3" t="s">
        <v>9838</v>
      </c>
    </row>
    <row r="751" spans="1:56" ht="42.75" customHeight="1" x14ac:dyDescent="0.25">
      <c r="A751" s="7" t="s">
        <v>58</v>
      </c>
      <c r="B751" s="2" t="s">
        <v>9839</v>
      </c>
      <c r="C751" s="2" t="s">
        <v>9840</v>
      </c>
      <c r="D751" s="2" t="s">
        <v>9841</v>
      </c>
      <c r="F751" s="3" t="s">
        <v>58</v>
      </c>
      <c r="G751" s="3" t="s">
        <v>59</v>
      </c>
      <c r="H751" s="3" t="s">
        <v>58</v>
      </c>
      <c r="I751" s="3" t="s">
        <v>58</v>
      </c>
      <c r="J751" s="3" t="s">
        <v>60</v>
      </c>
      <c r="K751" s="2" t="s">
        <v>9842</v>
      </c>
      <c r="L751" s="2" t="s">
        <v>9843</v>
      </c>
      <c r="M751" s="3" t="s">
        <v>82</v>
      </c>
      <c r="O751" s="3" t="s">
        <v>64</v>
      </c>
      <c r="P751" s="3" t="s">
        <v>1898</v>
      </c>
      <c r="R751" s="3" t="s">
        <v>67</v>
      </c>
      <c r="S751" s="4">
        <v>2</v>
      </c>
      <c r="T751" s="4">
        <v>2</v>
      </c>
      <c r="U751" s="5" t="s">
        <v>9844</v>
      </c>
      <c r="V751" s="5" t="s">
        <v>9844</v>
      </c>
      <c r="W751" s="5" t="s">
        <v>4730</v>
      </c>
      <c r="X751" s="5" t="s">
        <v>4730</v>
      </c>
      <c r="Y751" s="4">
        <v>136</v>
      </c>
      <c r="Z751" s="4">
        <v>105</v>
      </c>
      <c r="AA751" s="4">
        <v>140</v>
      </c>
      <c r="AB751" s="4">
        <v>1</v>
      </c>
      <c r="AC751" s="4">
        <v>1</v>
      </c>
      <c r="AD751" s="4">
        <v>6</v>
      </c>
      <c r="AE751" s="4">
        <v>7</v>
      </c>
      <c r="AF751" s="4">
        <v>2</v>
      </c>
      <c r="AG751" s="4">
        <v>3</v>
      </c>
      <c r="AH751" s="4">
        <v>1</v>
      </c>
      <c r="AI751" s="4">
        <v>2</v>
      </c>
      <c r="AJ751" s="4">
        <v>5</v>
      </c>
      <c r="AK751" s="4">
        <v>5</v>
      </c>
      <c r="AL751" s="4">
        <v>0</v>
      </c>
      <c r="AM751" s="4">
        <v>0</v>
      </c>
      <c r="AN751" s="4">
        <v>0</v>
      </c>
      <c r="AO751" s="4">
        <v>0</v>
      </c>
      <c r="AP751" s="3" t="s">
        <v>58</v>
      </c>
      <c r="AQ751" s="3" t="s">
        <v>86</v>
      </c>
      <c r="AR751" s="6" t="str">
        <f>HYPERLINK("http://catalog.hathitrust.org/Record/000871587","HathiTrust Record")</f>
        <v>HathiTrust Record</v>
      </c>
      <c r="AS751" s="6" t="str">
        <f>HYPERLINK("https://creighton-primo.hosted.exlibrisgroup.com/primo-explore/search?tab=default_tab&amp;search_scope=EVERYTHING&amp;vid=01CRU&amp;lang=en_US&amp;offset=0&amp;query=any,contains,991000683449702656","Catalog Record")</f>
        <v>Catalog Record</v>
      </c>
      <c r="AT751" s="6" t="str">
        <f>HYPERLINK("http://www.worldcat.org/oclc/12419058","WorldCat Record")</f>
        <v>WorldCat Record</v>
      </c>
      <c r="AU751" s="3" t="s">
        <v>9845</v>
      </c>
      <c r="AV751" s="3" t="s">
        <v>9846</v>
      </c>
      <c r="AW751" s="3" t="s">
        <v>9847</v>
      </c>
      <c r="AX751" s="3" t="s">
        <v>9847</v>
      </c>
      <c r="AY751" s="3" t="s">
        <v>9848</v>
      </c>
      <c r="AZ751" s="3" t="s">
        <v>74</v>
      </c>
      <c r="BB751" s="3" t="s">
        <v>9849</v>
      </c>
      <c r="BC751" s="3" t="s">
        <v>9850</v>
      </c>
      <c r="BD751" s="3" t="s">
        <v>9851</v>
      </c>
    </row>
    <row r="752" spans="1:56" ht="42.75" customHeight="1" x14ac:dyDescent="0.25">
      <c r="A752" s="7" t="s">
        <v>58</v>
      </c>
      <c r="B752" s="2" t="s">
        <v>9852</v>
      </c>
      <c r="C752" s="2" t="s">
        <v>9853</v>
      </c>
      <c r="D752" s="2" t="s">
        <v>9854</v>
      </c>
      <c r="F752" s="3" t="s">
        <v>58</v>
      </c>
      <c r="G752" s="3" t="s">
        <v>59</v>
      </c>
      <c r="H752" s="3" t="s">
        <v>58</v>
      </c>
      <c r="I752" s="3" t="s">
        <v>58</v>
      </c>
      <c r="J752" s="3" t="s">
        <v>60</v>
      </c>
      <c r="K752" s="2" t="s">
        <v>9855</v>
      </c>
      <c r="L752" s="2" t="s">
        <v>9856</v>
      </c>
      <c r="M752" s="3" t="s">
        <v>2386</v>
      </c>
      <c r="O752" s="3" t="s">
        <v>64</v>
      </c>
      <c r="P752" s="3" t="s">
        <v>1898</v>
      </c>
      <c r="Q752" s="2" t="s">
        <v>9857</v>
      </c>
      <c r="R752" s="3" t="s">
        <v>67</v>
      </c>
      <c r="S752" s="4">
        <v>1</v>
      </c>
      <c r="T752" s="4">
        <v>1</v>
      </c>
      <c r="U752" s="5" t="s">
        <v>9858</v>
      </c>
      <c r="V752" s="5" t="s">
        <v>9858</v>
      </c>
      <c r="W752" s="5" t="s">
        <v>165</v>
      </c>
      <c r="X752" s="5" t="s">
        <v>165</v>
      </c>
      <c r="Y752" s="4">
        <v>685</v>
      </c>
      <c r="Z752" s="4">
        <v>537</v>
      </c>
      <c r="AA752" s="4">
        <v>553</v>
      </c>
      <c r="AB752" s="4">
        <v>5</v>
      </c>
      <c r="AC752" s="4">
        <v>5</v>
      </c>
      <c r="AD752" s="4">
        <v>24</v>
      </c>
      <c r="AE752" s="4">
        <v>26</v>
      </c>
      <c r="AF752" s="4">
        <v>8</v>
      </c>
      <c r="AG752" s="4">
        <v>9</v>
      </c>
      <c r="AH752" s="4">
        <v>3</v>
      </c>
      <c r="AI752" s="4">
        <v>4</v>
      </c>
      <c r="AJ752" s="4">
        <v>15</v>
      </c>
      <c r="AK752" s="4">
        <v>15</v>
      </c>
      <c r="AL752" s="4">
        <v>4</v>
      </c>
      <c r="AM752" s="4">
        <v>4</v>
      </c>
      <c r="AN752" s="4">
        <v>0</v>
      </c>
      <c r="AO752" s="4">
        <v>0</v>
      </c>
      <c r="AP752" s="3" t="s">
        <v>58</v>
      </c>
      <c r="AQ752" s="3" t="s">
        <v>86</v>
      </c>
      <c r="AR752" s="6" t="str">
        <f>HYPERLINK("http://catalog.hathitrust.org/Record/001578215","HathiTrust Record")</f>
        <v>HathiTrust Record</v>
      </c>
      <c r="AS752" s="6" t="str">
        <f>HYPERLINK("https://creighton-primo.hosted.exlibrisgroup.com/primo-explore/search?tab=default_tab&amp;search_scope=EVERYTHING&amp;vid=01CRU&amp;lang=en_US&amp;offset=0&amp;query=any,contains,991003281159702656","Catalog Record")</f>
        <v>Catalog Record</v>
      </c>
      <c r="AT752" s="6" t="str">
        <f>HYPERLINK("http://www.worldcat.org/oclc/803754","WorldCat Record")</f>
        <v>WorldCat Record</v>
      </c>
      <c r="AU752" s="3" t="s">
        <v>9859</v>
      </c>
      <c r="AV752" s="3" t="s">
        <v>9860</v>
      </c>
      <c r="AW752" s="3" t="s">
        <v>9861</v>
      </c>
      <c r="AX752" s="3" t="s">
        <v>9861</v>
      </c>
      <c r="AY752" s="3" t="s">
        <v>9862</v>
      </c>
      <c r="AZ752" s="3" t="s">
        <v>74</v>
      </c>
      <c r="BB752" s="3" t="s">
        <v>9863</v>
      </c>
      <c r="BC752" s="3" t="s">
        <v>9864</v>
      </c>
      <c r="BD752" s="3" t="s">
        <v>9865</v>
      </c>
    </row>
    <row r="753" spans="1:56" ht="42.75" customHeight="1" x14ac:dyDescent="0.25">
      <c r="A753" s="7" t="s">
        <v>58</v>
      </c>
      <c r="B753" s="2" t="s">
        <v>9866</v>
      </c>
      <c r="C753" s="2" t="s">
        <v>9867</v>
      </c>
      <c r="D753" s="2" t="s">
        <v>9868</v>
      </c>
      <c r="F753" s="3" t="s">
        <v>58</v>
      </c>
      <c r="G753" s="3" t="s">
        <v>59</v>
      </c>
      <c r="H753" s="3" t="s">
        <v>58</v>
      </c>
      <c r="I753" s="3" t="s">
        <v>58</v>
      </c>
      <c r="J753" s="3" t="s">
        <v>60</v>
      </c>
      <c r="K753" s="2" t="s">
        <v>9869</v>
      </c>
      <c r="L753" s="2" t="s">
        <v>9870</v>
      </c>
      <c r="M753" s="3" t="s">
        <v>223</v>
      </c>
      <c r="O753" s="3" t="s">
        <v>64</v>
      </c>
      <c r="P753" s="3" t="s">
        <v>83</v>
      </c>
      <c r="R753" s="3" t="s">
        <v>67</v>
      </c>
      <c r="S753" s="4">
        <v>1</v>
      </c>
      <c r="T753" s="4">
        <v>1</v>
      </c>
      <c r="U753" s="5" t="s">
        <v>9871</v>
      </c>
      <c r="V753" s="5" t="s">
        <v>9871</v>
      </c>
      <c r="W753" s="5" t="s">
        <v>8983</v>
      </c>
      <c r="X753" s="5" t="s">
        <v>8983</v>
      </c>
      <c r="Y753" s="4">
        <v>248</v>
      </c>
      <c r="Z753" s="4">
        <v>194</v>
      </c>
      <c r="AA753" s="4">
        <v>196</v>
      </c>
      <c r="AB753" s="4">
        <v>2</v>
      </c>
      <c r="AC753" s="4">
        <v>2</v>
      </c>
      <c r="AD753" s="4">
        <v>9</v>
      </c>
      <c r="AE753" s="4">
        <v>9</v>
      </c>
      <c r="AF753" s="4">
        <v>4</v>
      </c>
      <c r="AG753" s="4">
        <v>4</v>
      </c>
      <c r="AH753" s="4">
        <v>0</v>
      </c>
      <c r="AI753" s="4">
        <v>0</v>
      </c>
      <c r="AJ753" s="4">
        <v>6</v>
      </c>
      <c r="AK753" s="4">
        <v>6</v>
      </c>
      <c r="AL753" s="4">
        <v>1</v>
      </c>
      <c r="AM753" s="4">
        <v>1</v>
      </c>
      <c r="AN753" s="4">
        <v>0</v>
      </c>
      <c r="AO753" s="4">
        <v>0</v>
      </c>
      <c r="AP753" s="3" t="s">
        <v>58</v>
      </c>
      <c r="AQ753" s="3" t="s">
        <v>86</v>
      </c>
      <c r="AR753" s="6" t="str">
        <f>HYPERLINK("http://catalog.hathitrust.org/Record/000715300","HathiTrust Record")</f>
        <v>HathiTrust Record</v>
      </c>
      <c r="AS753" s="6" t="str">
        <f>HYPERLINK("https://creighton-primo.hosted.exlibrisgroup.com/primo-explore/search?tab=default_tab&amp;search_scope=EVERYTHING&amp;vid=01CRU&amp;lang=en_US&amp;offset=0&amp;query=any,contains,991004621859702656","Catalog Record")</f>
        <v>Catalog Record</v>
      </c>
      <c r="AT753" s="6" t="str">
        <f>HYPERLINK("http://www.worldcat.org/oclc/4302833","WorldCat Record")</f>
        <v>WorldCat Record</v>
      </c>
      <c r="AU753" s="3" t="s">
        <v>9872</v>
      </c>
      <c r="AV753" s="3" t="s">
        <v>9873</v>
      </c>
      <c r="AW753" s="3" t="s">
        <v>9874</v>
      </c>
      <c r="AX753" s="3" t="s">
        <v>9874</v>
      </c>
      <c r="AY753" s="3" t="s">
        <v>9875</v>
      </c>
      <c r="AZ753" s="3" t="s">
        <v>74</v>
      </c>
      <c r="BB753" s="3" t="s">
        <v>9876</v>
      </c>
      <c r="BC753" s="3" t="s">
        <v>9877</v>
      </c>
      <c r="BD753" s="3" t="s">
        <v>9878</v>
      </c>
    </row>
    <row r="754" spans="1:56" ht="42.75" customHeight="1" x14ac:dyDescent="0.25">
      <c r="A754" s="7" t="s">
        <v>58</v>
      </c>
      <c r="B754" s="2" t="s">
        <v>9879</v>
      </c>
      <c r="C754" s="2" t="s">
        <v>9880</v>
      </c>
      <c r="D754" s="2" t="s">
        <v>9881</v>
      </c>
      <c r="F754" s="3" t="s">
        <v>58</v>
      </c>
      <c r="G754" s="3" t="s">
        <v>59</v>
      </c>
      <c r="H754" s="3" t="s">
        <v>58</v>
      </c>
      <c r="I754" s="3" t="s">
        <v>58</v>
      </c>
      <c r="J754" s="3" t="s">
        <v>60</v>
      </c>
      <c r="L754" s="2" t="s">
        <v>9882</v>
      </c>
      <c r="M754" s="3" t="s">
        <v>805</v>
      </c>
      <c r="O754" s="3" t="s">
        <v>64</v>
      </c>
      <c r="P754" s="3" t="s">
        <v>115</v>
      </c>
      <c r="Q754" s="2" t="s">
        <v>9883</v>
      </c>
      <c r="R754" s="3" t="s">
        <v>67</v>
      </c>
      <c r="S754" s="4">
        <v>5</v>
      </c>
      <c r="T754" s="4">
        <v>5</v>
      </c>
      <c r="U754" s="5" t="s">
        <v>9884</v>
      </c>
      <c r="V754" s="5" t="s">
        <v>9884</v>
      </c>
      <c r="W754" s="5" t="s">
        <v>9885</v>
      </c>
      <c r="X754" s="5" t="s">
        <v>9885</v>
      </c>
      <c r="Y754" s="4">
        <v>181</v>
      </c>
      <c r="Z754" s="4">
        <v>142</v>
      </c>
      <c r="AA754" s="4">
        <v>183</v>
      </c>
      <c r="AB754" s="4">
        <v>2</v>
      </c>
      <c r="AC754" s="4">
        <v>2</v>
      </c>
      <c r="AD754" s="4">
        <v>11</v>
      </c>
      <c r="AE754" s="4">
        <v>11</v>
      </c>
      <c r="AF754" s="4">
        <v>6</v>
      </c>
      <c r="AG754" s="4">
        <v>6</v>
      </c>
      <c r="AH754" s="4">
        <v>1</v>
      </c>
      <c r="AI754" s="4">
        <v>1</v>
      </c>
      <c r="AJ754" s="4">
        <v>5</v>
      </c>
      <c r="AK754" s="4">
        <v>5</v>
      </c>
      <c r="AL754" s="4">
        <v>1</v>
      </c>
      <c r="AM754" s="4">
        <v>1</v>
      </c>
      <c r="AN754" s="4">
        <v>0</v>
      </c>
      <c r="AO754" s="4">
        <v>0</v>
      </c>
      <c r="AP754" s="3" t="s">
        <v>58</v>
      </c>
      <c r="AQ754" s="3" t="s">
        <v>86</v>
      </c>
      <c r="AR754" s="6" t="str">
        <f>HYPERLINK("http://catalog.hathitrust.org/Record/003043223","HathiTrust Record")</f>
        <v>HathiTrust Record</v>
      </c>
      <c r="AS754" s="6" t="str">
        <f>HYPERLINK("https://creighton-primo.hosted.exlibrisgroup.com/primo-explore/search?tab=default_tab&amp;search_scope=EVERYTHING&amp;vid=01CRU&amp;lang=en_US&amp;offset=0&amp;query=any,contains,991002508079702656","Catalog Record")</f>
        <v>Catalog Record</v>
      </c>
      <c r="AT754" s="6" t="str">
        <f>HYPERLINK("http://www.worldcat.org/oclc/32625073","WorldCat Record")</f>
        <v>WorldCat Record</v>
      </c>
      <c r="AU754" s="3" t="s">
        <v>9886</v>
      </c>
      <c r="AV754" s="3" t="s">
        <v>9887</v>
      </c>
      <c r="AW754" s="3" t="s">
        <v>9888</v>
      </c>
      <c r="AX754" s="3" t="s">
        <v>9888</v>
      </c>
      <c r="AY754" s="3" t="s">
        <v>9889</v>
      </c>
      <c r="AZ754" s="3" t="s">
        <v>74</v>
      </c>
      <c r="BB754" s="3" t="s">
        <v>9890</v>
      </c>
      <c r="BC754" s="3" t="s">
        <v>9891</v>
      </c>
      <c r="BD754" s="3" t="s">
        <v>9892</v>
      </c>
    </row>
    <row r="755" spans="1:56" ht="42.75" customHeight="1" x14ac:dyDescent="0.25">
      <c r="A755" s="7" t="s">
        <v>58</v>
      </c>
      <c r="B755" s="2" t="s">
        <v>9893</v>
      </c>
      <c r="C755" s="2" t="s">
        <v>9894</v>
      </c>
      <c r="D755" s="2" t="s">
        <v>9895</v>
      </c>
      <c r="F755" s="3" t="s">
        <v>58</v>
      </c>
      <c r="G755" s="3" t="s">
        <v>59</v>
      </c>
      <c r="H755" s="3" t="s">
        <v>58</v>
      </c>
      <c r="I755" s="3" t="s">
        <v>58</v>
      </c>
      <c r="J755" s="3" t="s">
        <v>60</v>
      </c>
      <c r="K755" s="2" t="s">
        <v>9896</v>
      </c>
      <c r="L755" s="2" t="s">
        <v>9897</v>
      </c>
      <c r="M755" s="3" t="s">
        <v>4218</v>
      </c>
      <c r="O755" s="3" t="s">
        <v>64</v>
      </c>
      <c r="P755" s="3" t="s">
        <v>115</v>
      </c>
      <c r="Q755" s="2" t="s">
        <v>9898</v>
      </c>
      <c r="R755" s="3" t="s">
        <v>67</v>
      </c>
      <c r="S755" s="4">
        <v>1</v>
      </c>
      <c r="T755" s="4">
        <v>1</v>
      </c>
      <c r="U755" s="5" t="s">
        <v>9899</v>
      </c>
      <c r="V755" s="5" t="s">
        <v>9899</v>
      </c>
      <c r="W755" s="5" t="s">
        <v>165</v>
      </c>
      <c r="X755" s="5" t="s">
        <v>165</v>
      </c>
      <c r="Y755" s="4">
        <v>510</v>
      </c>
      <c r="Z755" s="4">
        <v>447</v>
      </c>
      <c r="AA755" s="4">
        <v>500</v>
      </c>
      <c r="AB755" s="4">
        <v>4</v>
      </c>
      <c r="AC755" s="4">
        <v>4</v>
      </c>
      <c r="AD755" s="4">
        <v>19</v>
      </c>
      <c r="AE755" s="4">
        <v>19</v>
      </c>
      <c r="AF755" s="4">
        <v>3</v>
      </c>
      <c r="AG755" s="4">
        <v>3</v>
      </c>
      <c r="AH755" s="4">
        <v>6</v>
      </c>
      <c r="AI755" s="4">
        <v>6</v>
      </c>
      <c r="AJ755" s="4">
        <v>12</v>
      </c>
      <c r="AK755" s="4">
        <v>12</v>
      </c>
      <c r="AL755" s="4">
        <v>2</v>
      </c>
      <c r="AM755" s="4">
        <v>2</v>
      </c>
      <c r="AN755" s="4">
        <v>0</v>
      </c>
      <c r="AO755" s="4">
        <v>0</v>
      </c>
      <c r="AP755" s="3" t="s">
        <v>58</v>
      </c>
      <c r="AQ755" s="3" t="s">
        <v>86</v>
      </c>
      <c r="AR755" s="6" t="str">
        <f>HYPERLINK("http://catalog.hathitrust.org/Record/001564682","HathiTrust Record")</f>
        <v>HathiTrust Record</v>
      </c>
      <c r="AS755" s="6" t="str">
        <f>HYPERLINK("https://creighton-primo.hosted.exlibrisgroup.com/primo-explore/search?tab=default_tab&amp;search_scope=EVERYTHING&amp;vid=01CRU&amp;lang=en_US&amp;offset=0&amp;query=any,contains,991005265529702656","Catalog Record")</f>
        <v>Catalog Record</v>
      </c>
      <c r="AT755" s="6" t="str">
        <f>HYPERLINK("http://www.worldcat.org/oclc/588084","WorldCat Record")</f>
        <v>WorldCat Record</v>
      </c>
      <c r="AU755" s="3" t="s">
        <v>9900</v>
      </c>
      <c r="AV755" s="3" t="s">
        <v>9901</v>
      </c>
      <c r="AW755" s="3" t="s">
        <v>9902</v>
      </c>
      <c r="AX755" s="3" t="s">
        <v>9902</v>
      </c>
      <c r="AY755" s="3" t="s">
        <v>9903</v>
      </c>
      <c r="AZ755" s="3" t="s">
        <v>74</v>
      </c>
      <c r="BC755" s="3" t="s">
        <v>9904</v>
      </c>
      <c r="BD755" s="3" t="s">
        <v>9905</v>
      </c>
    </row>
    <row r="756" spans="1:56" ht="42.75" customHeight="1" x14ac:dyDescent="0.25">
      <c r="A756" s="7" t="s">
        <v>58</v>
      </c>
      <c r="B756" s="2" t="s">
        <v>9906</v>
      </c>
      <c r="C756" s="2" t="s">
        <v>9907</v>
      </c>
      <c r="D756" s="2" t="s">
        <v>9908</v>
      </c>
      <c r="F756" s="3" t="s">
        <v>58</v>
      </c>
      <c r="G756" s="3" t="s">
        <v>59</v>
      </c>
      <c r="H756" s="3" t="s">
        <v>58</v>
      </c>
      <c r="I756" s="3" t="s">
        <v>86</v>
      </c>
      <c r="J756" s="3" t="s">
        <v>60</v>
      </c>
      <c r="K756" s="2" t="s">
        <v>9909</v>
      </c>
      <c r="L756" s="2" t="s">
        <v>9910</v>
      </c>
      <c r="M756" s="3" t="s">
        <v>4296</v>
      </c>
      <c r="N756" s="2" t="s">
        <v>4027</v>
      </c>
      <c r="O756" s="3" t="s">
        <v>64</v>
      </c>
      <c r="P756" s="3" t="s">
        <v>115</v>
      </c>
      <c r="R756" s="3" t="s">
        <v>67</v>
      </c>
      <c r="S756" s="4">
        <v>3</v>
      </c>
      <c r="T756" s="4">
        <v>3</v>
      </c>
      <c r="U756" s="5" t="s">
        <v>9911</v>
      </c>
      <c r="V756" s="5" t="s">
        <v>9911</v>
      </c>
      <c r="W756" s="5" t="s">
        <v>4419</v>
      </c>
      <c r="X756" s="5" t="s">
        <v>4419</v>
      </c>
      <c r="Y756" s="4">
        <v>693</v>
      </c>
      <c r="Z756" s="4">
        <v>551</v>
      </c>
      <c r="AA756" s="4">
        <v>1960</v>
      </c>
      <c r="AB756" s="4">
        <v>6</v>
      </c>
      <c r="AC756" s="4">
        <v>16</v>
      </c>
      <c r="AD756" s="4">
        <v>17</v>
      </c>
      <c r="AE756" s="4">
        <v>55</v>
      </c>
      <c r="AF756" s="4">
        <v>7</v>
      </c>
      <c r="AG756" s="4">
        <v>24</v>
      </c>
      <c r="AH756" s="4">
        <v>1</v>
      </c>
      <c r="AI756" s="4">
        <v>9</v>
      </c>
      <c r="AJ756" s="4">
        <v>6</v>
      </c>
      <c r="AK756" s="4">
        <v>22</v>
      </c>
      <c r="AL756" s="4">
        <v>5</v>
      </c>
      <c r="AM756" s="4">
        <v>11</v>
      </c>
      <c r="AN756" s="4">
        <v>0</v>
      </c>
      <c r="AO756" s="4">
        <v>0</v>
      </c>
      <c r="AP756" s="3" t="s">
        <v>58</v>
      </c>
      <c r="AQ756" s="3" t="s">
        <v>86</v>
      </c>
      <c r="AR756" s="6" t="str">
        <f>HYPERLINK("http://catalog.hathitrust.org/Record/000017825","HathiTrust Record")</f>
        <v>HathiTrust Record</v>
      </c>
      <c r="AS756" s="6" t="str">
        <f>HYPERLINK("https://creighton-primo.hosted.exlibrisgroup.com/primo-explore/search?tab=default_tab&amp;search_scope=EVERYTHING&amp;vid=01CRU&amp;lang=en_US&amp;offset=0&amp;query=any,contains,991005244529702656","Catalog Record")</f>
        <v>Catalog Record</v>
      </c>
      <c r="AT756" s="6" t="str">
        <f>HYPERLINK("http://www.worldcat.org/oclc/1611222","WorldCat Record")</f>
        <v>WorldCat Record</v>
      </c>
      <c r="AU756" s="3" t="s">
        <v>9912</v>
      </c>
      <c r="AV756" s="3" t="s">
        <v>9913</v>
      </c>
      <c r="AW756" s="3" t="s">
        <v>9914</v>
      </c>
      <c r="AX756" s="3" t="s">
        <v>9914</v>
      </c>
      <c r="AY756" s="3" t="s">
        <v>9915</v>
      </c>
      <c r="AZ756" s="3" t="s">
        <v>74</v>
      </c>
      <c r="BB756" s="3" t="s">
        <v>9916</v>
      </c>
      <c r="BC756" s="3" t="s">
        <v>9917</v>
      </c>
      <c r="BD756" s="3" t="s">
        <v>9918</v>
      </c>
    </row>
    <row r="757" spans="1:56" ht="42.75" customHeight="1" x14ac:dyDescent="0.25">
      <c r="A757" s="7" t="s">
        <v>58</v>
      </c>
      <c r="B757" s="2" t="s">
        <v>9919</v>
      </c>
      <c r="C757" s="2" t="s">
        <v>9920</v>
      </c>
      <c r="D757" s="2" t="s">
        <v>9921</v>
      </c>
      <c r="F757" s="3" t="s">
        <v>58</v>
      </c>
      <c r="G757" s="3" t="s">
        <v>59</v>
      </c>
      <c r="H757" s="3" t="s">
        <v>58</v>
      </c>
      <c r="I757" s="3" t="s">
        <v>58</v>
      </c>
      <c r="J757" s="3" t="s">
        <v>60</v>
      </c>
      <c r="K757" s="2" t="s">
        <v>9922</v>
      </c>
      <c r="L757" s="2" t="s">
        <v>9923</v>
      </c>
      <c r="M757" s="3" t="s">
        <v>2770</v>
      </c>
      <c r="N757" s="2" t="s">
        <v>1736</v>
      </c>
      <c r="O757" s="3" t="s">
        <v>64</v>
      </c>
      <c r="P757" s="3" t="s">
        <v>99</v>
      </c>
      <c r="Q757" s="2" t="s">
        <v>9924</v>
      </c>
      <c r="R757" s="3" t="s">
        <v>67</v>
      </c>
      <c r="S757" s="4">
        <v>2</v>
      </c>
      <c r="T757" s="4">
        <v>2</v>
      </c>
      <c r="U757" s="5" t="s">
        <v>9925</v>
      </c>
      <c r="V757" s="5" t="s">
        <v>9925</v>
      </c>
      <c r="W757" s="5" t="s">
        <v>9926</v>
      </c>
      <c r="X757" s="5" t="s">
        <v>9926</v>
      </c>
      <c r="Y757" s="4">
        <v>591</v>
      </c>
      <c r="Z757" s="4">
        <v>493</v>
      </c>
      <c r="AA757" s="4">
        <v>523</v>
      </c>
      <c r="AB757" s="4">
        <v>3</v>
      </c>
      <c r="AC757" s="4">
        <v>3</v>
      </c>
      <c r="AD757" s="4">
        <v>22</v>
      </c>
      <c r="AE757" s="4">
        <v>27</v>
      </c>
      <c r="AF757" s="4">
        <v>9</v>
      </c>
      <c r="AG757" s="4">
        <v>12</v>
      </c>
      <c r="AH757" s="4">
        <v>3</v>
      </c>
      <c r="AI757" s="4">
        <v>5</v>
      </c>
      <c r="AJ757" s="4">
        <v>15</v>
      </c>
      <c r="AK757" s="4">
        <v>17</v>
      </c>
      <c r="AL757" s="4">
        <v>2</v>
      </c>
      <c r="AM757" s="4">
        <v>2</v>
      </c>
      <c r="AN757" s="4">
        <v>0</v>
      </c>
      <c r="AO757" s="4">
        <v>0</v>
      </c>
      <c r="AP757" s="3" t="s">
        <v>58</v>
      </c>
      <c r="AQ757" s="3" t="s">
        <v>86</v>
      </c>
      <c r="AR757" s="6" t="str">
        <f>HYPERLINK("http://catalog.hathitrust.org/Record/000213181","HathiTrust Record")</f>
        <v>HathiTrust Record</v>
      </c>
      <c r="AS757" s="6" t="str">
        <f>HYPERLINK("https://creighton-primo.hosted.exlibrisgroup.com/primo-explore/search?tab=default_tab&amp;search_scope=EVERYTHING&amp;vid=01CRU&amp;lang=en_US&amp;offset=0&amp;query=any,contains,991004293219702656","Catalog Record")</f>
        <v>Catalog Record</v>
      </c>
      <c r="AT757" s="6" t="str">
        <f>HYPERLINK("http://www.worldcat.org/oclc/2954959","WorldCat Record")</f>
        <v>WorldCat Record</v>
      </c>
      <c r="AU757" s="3" t="s">
        <v>9927</v>
      </c>
      <c r="AV757" s="3" t="s">
        <v>9928</v>
      </c>
      <c r="AW757" s="3" t="s">
        <v>9929</v>
      </c>
      <c r="AX757" s="3" t="s">
        <v>9929</v>
      </c>
      <c r="AY757" s="3" t="s">
        <v>9930</v>
      </c>
      <c r="AZ757" s="3" t="s">
        <v>74</v>
      </c>
      <c r="BB757" s="3" t="s">
        <v>9931</v>
      </c>
      <c r="BC757" s="3" t="s">
        <v>9932</v>
      </c>
      <c r="BD757" s="3" t="s">
        <v>9933</v>
      </c>
    </row>
    <row r="758" spans="1:56" ht="42.75" customHeight="1" x14ac:dyDescent="0.25">
      <c r="A758" s="7" t="s">
        <v>58</v>
      </c>
      <c r="B758" s="2" t="s">
        <v>9934</v>
      </c>
      <c r="C758" s="2" t="s">
        <v>9935</v>
      </c>
      <c r="D758" s="2" t="s">
        <v>9936</v>
      </c>
      <c r="F758" s="3" t="s">
        <v>58</v>
      </c>
      <c r="G758" s="3" t="s">
        <v>59</v>
      </c>
      <c r="H758" s="3" t="s">
        <v>58</v>
      </c>
      <c r="I758" s="3" t="s">
        <v>58</v>
      </c>
      <c r="J758" s="3" t="s">
        <v>60</v>
      </c>
      <c r="K758" s="2" t="s">
        <v>9937</v>
      </c>
      <c r="L758" s="2" t="s">
        <v>9938</v>
      </c>
      <c r="M758" s="3" t="s">
        <v>114</v>
      </c>
      <c r="O758" s="3" t="s">
        <v>64</v>
      </c>
      <c r="P758" s="3" t="s">
        <v>115</v>
      </c>
      <c r="R758" s="3" t="s">
        <v>67</v>
      </c>
      <c r="S758" s="4">
        <v>12</v>
      </c>
      <c r="T758" s="4">
        <v>12</v>
      </c>
      <c r="U758" s="5" t="s">
        <v>9939</v>
      </c>
      <c r="V758" s="5" t="s">
        <v>9939</v>
      </c>
      <c r="W758" s="5" t="s">
        <v>5638</v>
      </c>
      <c r="X758" s="5" t="s">
        <v>5638</v>
      </c>
      <c r="Y758" s="4">
        <v>258</v>
      </c>
      <c r="Z758" s="4">
        <v>198</v>
      </c>
      <c r="AA758" s="4">
        <v>205</v>
      </c>
      <c r="AB758" s="4">
        <v>3</v>
      </c>
      <c r="AC758" s="4">
        <v>3</v>
      </c>
      <c r="AD758" s="4">
        <v>8</v>
      </c>
      <c r="AE758" s="4">
        <v>8</v>
      </c>
      <c r="AF758" s="4">
        <v>3</v>
      </c>
      <c r="AG758" s="4">
        <v>3</v>
      </c>
      <c r="AH758" s="4">
        <v>1</v>
      </c>
      <c r="AI758" s="4">
        <v>1</v>
      </c>
      <c r="AJ758" s="4">
        <v>4</v>
      </c>
      <c r="AK758" s="4">
        <v>4</v>
      </c>
      <c r="AL758" s="4">
        <v>2</v>
      </c>
      <c r="AM758" s="4">
        <v>2</v>
      </c>
      <c r="AN758" s="4">
        <v>0</v>
      </c>
      <c r="AO758" s="4">
        <v>0</v>
      </c>
      <c r="AP758" s="3" t="s">
        <v>58</v>
      </c>
      <c r="AQ758" s="3" t="s">
        <v>58</v>
      </c>
      <c r="AS758" s="6" t="str">
        <f>HYPERLINK("https://creighton-primo.hosted.exlibrisgroup.com/primo-explore/search?tab=default_tab&amp;search_scope=EVERYTHING&amp;vid=01CRU&amp;lang=en_US&amp;offset=0&amp;query=any,contains,991000196989702656","Catalog Record")</f>
        <v>Catalog Record</v>
      </c>
      <c r="AT758" s="6" t="str">
        <f>HYPERLINK("http://www.worldcat.org/oclc/9441976","WorldCat Record")</f>
        <v>WorldCat Record</v>
      </c>
      <c r="AU758" s="3" t="s">
        <v>9940</v>
      </c>
      <c r="AV758" s="3" t="s">
        <v>9941</v>
      </c>
      <c r="AW758" s="3" t="s">
        <v>9942</v>
      </c>
      <c r="AX758" s="3" t="s">
        <v>9942</v>
      </c>
      <c r="AY758" s="3" t="s">
        <v>9943</v>
      </c>
      <c r="AZ758" s="3" t="s">
        <v>74</v>
      </c>
      <c r="BB758" s="3" t="s">
        <v>9944</v>
      </c>
      <c r="BC758" s="3" t="s">
        <v>9945</v>
      </c>
      <c r="BD758" s="3" t="s">
        <v>9946</v>
      </c>
    </row>
    <row r="759" spans="1:56" ht="42.75" customHeight="1" x14ac:dyDescent="0.25">
      <c r="A759" s="7" t="s">
        <v>58</v>
      </c>
      <c r="B759" s="2" t="s">
        <v>9947</v>
      </c>
      <c r="C759" s="2" t="s">
        <v>9948</v>
      </c>
      <c r="D759" s="2" t="s">
        <v>9949</v>
      </c>
      <c r="F759" s="3" t="s">
        <v>58</v>
      </c>
      <c r="G759" s="3" t="s">
        <v>59</v>
      </c>
      <c r="H759" s="3" t="s">
        <v>58</v>
      </c>
      <c r="I759" s="3" t="s">
        <v>58</v>
      </c>
      <c r="J759" s="3" t="s">
        <v>60</v>
      </c>
      <c r="K759" s="2" t="s">
        <v>9950</v>
      </c>
      <c r="L759" s="2" t="s">
        <v>9951</v>
      </c>
      <c r="M759" s="3" t="s">
        <v>1404</v>
      </c>
      <c r="O759" s="3" t="s">
        <v>64</v>
      </c>
      <c r="P759" s="3" t="s">
        <v>208</v>
      </c>
      <c r="R759" s="3" t="s">
        <v>67</v>
      </c>
      <c r="S759" s="4">
        <v>3</v>
      </c>
      <c r="T759" s="4">
        <v>3</v>
      </c>
      <c r="U759" s="5" t="s">
        <v>9807</v>
      </c>
      <c r="V759" s="5" t="s">
        <v>9807</v>
      </c>
      <c r="W759" s="5" t="s">
        <v>9952</v>
      </c>
      <c r="X759" s="5" t="s">
        <v>9952</v>
      </c>
      <c r="Y759" s="4">
        <v>116</v>
      </c>
      <c r="Z759" s="4">
        <v>76</v>
      </c>
      <c r="AA759" s="4">
        <v>77</v>
      </c>
      <c r="AB759" s="4">
        <v>1</v>
      </c>
      <c r="AC759" s="4">
        <v>1</v>
      </c>
      <c r="AD759" s="4">
        <v>5</v>
      </c>
      <c r="AE759" s="4">
        <v>5</v>
      </c>
      <c r="AF759" s="4">
        <v>2</v>
      </c>
      <c r="AG759" s="4">
        <v>2</v>
      </c>
      <c r="AH759" s="4">
        <v>0</v>
      </c>
      <c r="AI759" s="4">
        <v>0</v>
      </c>
      <c r="AJ759" s="4">
        <v>5</v>
      </c>
      <c r="AK759" s="4">
        <v>5</v>
      </c>
      <c r="AL759" s="4">
        <v>0</v>
      </c>
      <c r="AM759" s="4">
        <v>0</v>
      </c>
      <c r="AN759" s="4">
        <v>0</v>
      </c>
      <c r="AO759" s="4">
        <v>0</v>
      </c>
      <c r="AP759" s="3" t="s">
        <v>58</v>
      </c>
      <c r="AQ759" s="3" t="s">
        <v>86</v>
      </c>
      <c r="AR759" s="6" t="str">
        <f>HYPERLINK("http://catalog.hathitrust.org/Record/008513905","HathiTrust Record")</f>
        <v>HathiTrust Record</v>
      </c>
      <c r="AS759" s="6" t="str">
        <f>HYPERLINK("https://creighton-primo.hosted.exlibrisgroup.com/primo-explore/search?tab=default_tab&amp;search_scope=EVERYTHING&amp;vid=01CRU&amp;lang=en_US&amp;offset=0&amp;query=any,contains,991005150609702656","Catalog Record")</f>
        <v>Catalog Record</v>
      </c>
      <c r="AT759" s="6" t="str">
        <f>HYPERLINK("http://www.worldcat.org/oclc/85885348","WorldCat Record")</f>
        <v>WorldCat Record</v>
      </c>
      <c r="AU759" s="3" t="s">
        <v>9953</v>
      </c>
      <c r="AV759" s="3" t="s">
        <v>9954</v>
      </c>
      <c r="AW759" s="3" t="s">
        <v>9955</v>
      </c>
      <c r="AX759" s="3" t="s">
        <v>9955</v>
      </c>
      <c r="AY759" s="3" t="s">
        <v>9956</v>
      </c>
      <c r="AZ759" s="3" t="s">
        <v>74</v>
      </c>
      <c r="BB759" s="3" t="s">
        <v>9957</v>
      </c>
      <c r="BC759" s="3" t="s">
        <v>9958</v>
      </c>
      <c r="BD759" s="3" t="s">
        <v>9959</v>
      </c>
    </row>
    <row r="760" spans="1:56" ht="42.75" customHeight="1" x14ac:dyDescent="0.25">
      <c r="A760" s="7" t="s">
        <v>58</v>
      </c>
      <c r="B760" s="2" t="s">
        <v>9960</v>
      </c>
      <c r="C760" s="2" t="s">
        <v>9961</v>
      </c>
      <c r="D760" s="2" t="s">
        <v>9962</v>
      </c>
      <c r="F760" s="3" t="s">
        <v>58</v>
      </c>
      <c r="G760" s="3" t="s">
        <v>59</v>
      </c>
      <c r="H760" s="3" t="s">
        <v>58</v>
      </c>
      <c r="I760" s="3" t="s">
        <v>58</v>
      </c>
      <c r="J760" s="3" t="s">
        <v>60</v>
      </c>
      <c r="K760" s="2" t="s">
        <v>9963</v>
      </c>
      <c r="L760" s="2" t="s">
        <v>9964</v>
      </c>
      <c r="M760" s="3" t="s">
        <v>737</v>
      </c>
      <c r="O760" s="3" t="s">
        <v>64</v>
      </c>
      <c r="P760" s="3" t="s">
        <v>145</v>
      </c>
      <c r="R760" s="3" t="s">
        <v>67</v>
      </c>
      <c r="S760" s="4">
        <v>5</v>
      </c>
      <c r="T760" s="4">
        <v>5</v>
      </c>
      <c r="U760" s="5" t="s">
        <v>9782</v>
      </c>
      <c r="V760" s="5" t="s">
        <v>9782</v>
      </c>
      <c r="W760" s="5" t="s">
        <v>2425</v>
      </c>
      <c r="X760" s="5" t="s">
        <v>2425</v>
      </c>
      <c r="Y760" s="4">
        <v>231</v>
      </c>
      <c r="Z760" s="4">
        <v>198</v>
      </c>
      <c r="AA760" s="4">
        <v>199</v>
      </c>
      <c r="AB760" s="4">
        <v>2</v>
      </c>
      <c r="AC760" s="4">
        <v>2</v>
      </c>
      <c r="AD760" s="4">
        <v>10</v>
      </c>
      <c r="AE760" s="4">
        <v>10</v>
      </c>
      <c r="AF760" s="4">
        <v>3</v>
      </c>
      <c r="AG760" s="4">
        <v>3</v>
      </c>
      <c r="AH760" s="4">
        <v>0</v>
      </c>
      <c r="AI760" s="4">
        <v>0</v>
      </c>
      <c r="AJ760" s="4">
        <v>8</v>
      </c>
      <c r="AK760" s="4">
        <v>8</v>
      </c>
      <c r="AL760" s="4">
        <v>1</v>
      </c>
      <c r="AM760" s="4">
        <v>1</v>
      </c>
      <c r="AN760" s="4">
        <v>0</v>
      </c>
      <c r="AO760" s="4">
        <v>0</v>
      </c>
      <c r="AP760" s="3" t="s">
        <v>58</v>
      </c>
      <c r="AQ760" s="3" t="s">
        <v>58</v>
      </c>
      <c r="AS760" s="6" t="str">
        <f>HYPERLINK("https://creighton-primo.hosted.exlibrisgroup.com/primo-explore/search?tab=default_tab&amp;search_scope=EVERYTHING&amp;vid=01CRU&amp;lang=en_US&amp;offset=0&amp;query=any,contains,991002378349702656","Catalog Record")</f>
        <v>Catalog Record</v>
      </c>
      <c r="AT760" s="6" t="str">
        <f>HYPERLINK("http://www.worldcat.org/oclc/30913180","WorldCat Record")</f>
        <v>WorldCat Record</v>
      </c>
      <c r="AU760" s="3" t="s">
        <v>9965</v>
      </c>
      <c r="AV760" s="3" t="s">
        <v>9966</v>
      </c>
      <c r="AW760" s="3" t="s">
        <v>9967</v>
      </c>
      <c r="AX760" s="3" t="s">
        <v>9967</v>
      </c>
      <c r="AY760" s="3" t="s">
        <v>9968</v>
      </c>
      <c r="AZ760" s="3" t="s">
        <v>74</v>
      </c>
      <c r="BB760" s="3" t="s">
        <v>9969</v>
      </c>
      <c r="BC760" s="3" t="s">
        <v>9970</v>
      </c>
      <c r="BD760" s="3" t="s">
        <v>9971</v>
      </c>
    </row>
    <row r="761" spans="1:56" ht="42.75" customHeight="1" x14ac:dyDescent="0.25">
      <c r="A761" s="7" t="s">
        <v>58</v>
      </c>
      <c r="B761" s="2" t="s">
        <v>9972</v>
      </c>
      <c r="C761" s="2" t="s">
        <v>9973</v>
      </c>
      <c r="D761" s="2" t="s">
        <v>9974</v>
      </c>
      <c r="F761" s="3" t="s">
        <v>58</v>
      </c>
      <c r="G761" s="3" t="s">
        <v>59</v>
      </c>
      <c r="H761" s="3" t="s">
        <v>58</v>
      </c>
      <c r="I761" s="3" t="s">
        <v>58</v>
      </c>
      <c r="J761" s="3" t="s">
        <v>60</v>
      </c>
      <c r="L761" s="2" t="s">
        <v>9975</v>
      </c>
      <c r="M761" s="3" t="s">
        <v>642</v>
      </c>
      <c r="O761" s="3" t="s">
        <v>64</v>
      </c>
      <c r="P761" s="3" t="s">
        <v>83</v>
      </c>
      <c r="R761" s="3" t="s">
        <v>67</v>
      </c>
      <c r="S761" s="4">
        <v>20</v>
      </c>
      <c r="T761" s="4">
        <v>20</v>
      </c>
      <c r="U761" s="5" t="s">
        <v>9976</v>
      </c>
      <c r="V761" s="5" t="s">
        <v>9976</v>
      </c>
      <c r="W761" s="5" t="s">
        <v>3515</v>
      </c>
      <c r="X761" s="5" t="s">
        <v>3515</v>
      </c>
      <c r="Y761" s="4">
        <v>250</v>
      </c>
      <c r="Z761" s="4">
        <v>223</v>
      </c>
      <c r="AA761" s="4">
        <v>225</v>
      </c>
      <c r="AB761" s="4">
        <v>2</v>
      </c>
      <c r="AC761" s="4">
        <v>2</v>
      </c>
      <c r="AD761" s="4">
        <v>10</v>
      </c>
      <c r="AE761" s="4">
        <v>10</v>
      </c>
      <c r="AF761" s="4">
        <v>3</v>
      </c>
      <c r="AG761" s="4">
        <v>3</v>
      </c>
      <c r="AH761" s="4">
        <v>1</v>
      </c>
      <c r="AI761" s="4">
        <v>1</v>
      </c>
      <c r="AJ761" s="4">
        <v>7</v>
      </c>
      <c r="AK761" s="4">
        <v>7</v>
      </c>
      <c r="AL761" s="4">
        <v>1</v>
      </c>
      <c r="AM761" s="4">
        <v>1</v>
      </c>
      <c r="AN761" s="4">
        <v>0</v>
      </c>
      <c r="AO761" s="4">
        <v>0</v>
      </c>
      <c r="AP761" s="3" t="s">
        <v>58</v>
      </c>
      <c r="AQ761" s="3" t="s">
        <v>86</v>
      </c>
      <c r="AR761" s="6" t="str">
        <f>HYPERLINK("http://catalog.hathitrust.org/Record/003164805","HathiTrust Record")</f>
        <v>HathiTrust Record</v>
      </c>
      <c r="AS761" s="6" t="str">
        <f>HYPERLINK("https://creighton-primo.hosted.exlibrisgroup.com/primo-explore/search?tab=default_tab&amp;search_scope=EVERYTHING&amp;vid=01CRU&amp;lang=en_US&amp;offset=0&amp;query=any,contains,991001969369702656","Catalog Record")</f>
        <v>Catalog Record</v>
      </c>
      <c r="AT761" s="6" t="str">
        <f>HYPERLINK("http://www.worldcat.org/oclc/24954721","WorldCat Record")</f>
        <v>WorldCat Record</v>
      </c>
      <c r="AU761" s="3" t="s">
        <v>9977</v>
      </c>
      <c r="AV761" s="3" t="s">
        <v>9978</v>
      </c>
      <c r="AW761" s="3" t="s">
        <v>9979</v>
      </c>
      <c r="AX761" s="3" t="s">
        <v>9979</v>
      </c>
      <c r="AY761" s="3" t="s">
        <v>9980</v>
      </c>
      <c r="AZ761" s="3" t="s">
        <v>74</v>
      </c>
      <c r="BB761" s="3" t="s">
        <v>9981</v>
      </c>
      <c r="BC761" s="3" t="s">
        <v>9982</v>
      </c>
      <c r="BD761" s="3" t="s">
        <v>9983</v>
      </c>
    </row>
    <row r="762" spans="1:56" ht="42.75" customHeight="1" x14ac:dyDescent="0.25">
      <c r="A762" s="7" t="s">
        <v>58</v>
      </c>
      <c r="B762" s="2" t="s">
        <v>9984</v>
      </c>
      <c r="C762" s="2" t="s">
        <v>9985</v>
      </c>
      <c r="D762" s="2" t="s">
        <v>9986</v>
      </c>
      <c r="F762" s="3" t="s">
        <v>58</v>
      </c>
      <c r="G762" s="3" t="s">
        <v>59</v>
      </c>
      <c r="H762" s="3" t="s">
        <v>86</v>
      </c>
      <c r="I762" s="3" t="s">
        <v>58</v>
      </c>
      <c r="J762" s="3" t="s">
        <v>60</v>
      </c>
      <c r="K762" s="2" t="s">
        <v>9987</v>
      </c>
      <c r="L762" s="2" t="s">
        <v>1883</v>
      </c>
      <c r="M762" s="3" t="s">
        <v>238</v>
      </c>
      <c r="O762" s="3" t="s">
        <v>64</v>
      </c>
      <c r="P762" s="3" t="s">
        <v>83</v>
      </c>
      <c r="R762" s="3" t="s">
        <v>67</v>
      </c>
      <c r="S762" s="4">
        <v>3</v>
      </c>
      <c r="T762" s="4">
        <v>7</v>
      </c>
      <c r="U762" s="5" t="s">
        <v>9988</v>
      </c>
      <c r="V762" s="5" t="s">
        <v>9988</v>
      </c>
      <c r="W762" s="5" t="s">
        <v>4730</v>
      </c>
      <c r="X762" s="5" t="s">
        <v>4730</v>
      </c>
      <c r="Y762" s="4">
        <v>369</v>
      </c>
      <c r="Z762" s="4">
        <v>324</v>
      </c>
      <c r="AA762" s="4">
        <v>331</v>
      </c>
      <c r="AB762" s="4">
        <v>5</v>
      </c>
      <c r="AC762" s="4">
        <v>5</v>
      </c>
      <c r="AD762" s="4">
        <v>19</v>
      </c>
      <c r="AE762" s="4">
        <v>19</v>
      </c>
      <c r="AF762" s="4">
        <v>7</v>
      </c>
      <c r="AG762" s="4">
        <v>7</v>
      </c>
      <c r="AH762" s="4">
        <v>4</v>
      </c>
      <c r="AI762" s="4">
        <v>4</v>
      </c>
      <c r="AJ762" s="4">
        <v>12</v>
      </c>
      <c r="AK762" s="4">
        <v>12</v>
      </c>
      <c r="AL762" s="4">
        <v>2</v>
      </c>
      <c r="AM762" s="4">
        <v>2</v>
      </c>
      <c r="AN762" s="4">
        <v>0</v>
      </c>
      <c r="AO762" s="4">
        <v>0</v>
      </c>
      <c r="AP762" s="3" t="s">
        <v>58</v>
      </c>
      <c r="AQ762" s="3" t="s">
        <v>86</v>
      </c>
      <c r="AR762" s="6" t="str">
        <f>HYPERLINK("http://catalog.hathitrust.org/Record/000697139","HathiTrust Record")</f>
        <v>HathiTrust Record</v>
      </c>
      <c r="AS762" s="6" t="str">
        <f>HYPERLINK("https://creighton-primo.hosted.exlibrisgroup.com/primo-explore/search?tab=default_tab&amp;search_scope=EVERYTHING&amp;vid=01CRU&amp;lang=en_US&amp;offset=0&amp;query=any,contains,991001786969702656","Catalog Record")</f>
        <v>Catalog Record</v>
      </c>
      <c r="AT762" s="6" t="str">
        <f>HYPERLINK("http://www.worldcat.org/oclc/4496127","WorldCat Record")</f>
        <v>WorldCat Record</v>
      </c>
      <c r="AU762" s="3" t="s">
        <v>9989</v>
      </c>
      <c r="AV762" s="3" t="s">
        <v>9990</v>
      </c>
      <c r="AW762" s="3" t="s">
        <v>9991</v>
      </c>
      <c r="AX762" s="3" t="s">
        <v>9991</v>
      </c>
      <c r="AY762" s="3" t="s">
        <v>9992</v>
      </c>
      <c r="AZ762" s="3" t="s">
        <v>74</v>
      </c>
      <c r="BB762" s="3" t="s">
        <v>9993</v>
      </c>
      <c r="BC762" s="3" t="s">
        <v>9994</v>
      </c>
      <c r="BD762" s="3" t="s">
        <v>9995</v>
      </c>
    </row>
    <row r="763" spans="1:56" ht="42.75" customHeight="1" x14ac:dyDescent="0.25">
      <c r="A763" s="7" t="s">
        <v>58</v>
      </c>
      <c r="B763" s="2" t="s">
        <v>9996</v>
      </c>
      <c r="C763" s="2" t="s">
        <v>9997</v>
      </c>
      <c r="D763" s="2" t="s">
        <v>9998</v>
      </c>
      <c r="F763" s="3" t="s">
        <v>58</v>
      </c>
      <c r="G763" s="3" t="s">
        <v>59</v>
      </c>
      <c r="H763" s="3" t="s">
        <v>58</v>
      </c>
      <c r="I763" s="3" t="s">
        <v>58</v>
      </c>
      <c r="J763" s="3" t="s">
        <v>60</v>
      </c>
      <c r="K763" s="2" t="s">
        <v>9999</v>
      </c>
      <c r="L763" s="2" t="s">
        <v>10000</v>
      </c>
      <c r="M763" s="3" t="s">
        <v>534</v>
      </c>
      <c r="O763" s="3" t="s">
        <v>64</v>
      </c>
      <c r="P763" s="3" t="s">
        <v>115</v>
      </c>
      <c r="Q763" s="2" t="s">
        <v>10001</v>
      </c>
      <c r="R763" s="3" t="s">
        <v>67</v>
      </c>
      <c r="S763" s="4">
        <v>3</v>
      </c>
      <c r="T763" s="4">
        <v>3</v>
      </c>
      <c r="U763" s="5" t="s">
        <v>10002</v>
      </c>
      <c r="V763" s="5" t="s">
        <v>10002</v>
      </c>
      <c r="W763" s="5" t="s">
        <v>7882</v>
      </c>
      <c r="X763" s="5" t="s">
        <v>7882</v>
      </c>
      <c r="Y763" s="4">
        <v>315</v>
      </c>
      <c r="Z763" s="4">
        <v>256</v>
      </c>
      <c r="AA763" s="4">
        <v>285</v>
      </c>
      <c r="AB763" s="4">
        <v>5</v>
      </c>
      <c r="AC763" s="4">
        <v>5</v>
      </c>
      <c r="AD763" s="4">
        <v>18</v>
      </c>
      <c r="AE763" s="4">
        <v>18</v>
      </c>
      <c r="AF763" s="4">
        <v>3</v>
      </c>
      <c r="AG763" s="4">
        <v>3</v>
      </c>
      <c r="AH763" s="4">
        <v>4</v>
      </c>
      <c r="AI763" s="4">
        <v>4</v>
      </c>
      <c r="AJ763" s="4">
        <v>11</v>
      </c>
      <c r="AK763" s="4">
        <v>11</v>
      </c>
      <c r="AL763" s="4">
        <v>4</v>
      </c>
      <c r="AM763" s="4">
        <v>4</v>
      </c>
      <c r="AN763" s="4">
        <v>0</v>
      </c>
      <c r="AO763" s="4">
        <v>0</v>
      </c>
      <c r="AP763" s="3" t="s">
        <v>58</v>
      </c>
      <c r="AQ763" s="3" t="s">
        <v>58</v>
      </c>
      <c r="AS763" s="6" t="str">
        <f>HYPERLINK("https://creighton-primo.hosted.exlibrisgroup.com/primo-explore/search?tab=default_tab&amp;search_scope=EVERYTHING&amp;vid=01CRU&amp;lang=en_US&amp;offset=0&amp;query=any,contains,991001477179702656","Catalog Record")</f>
        <v>Catalog Record</v>
      </c>
      <c r="AT763" s="6" t="str">
        <f>HYPERLINK("http://www.worldcat.org/oclc/19589044","WorldCat Record")</f>
        <v>WorldCat Record</v>
      </c>
      <c r="AU763" s="3" t="s">
        <v>10003</v>
      </c>
      <c r="AV763" s="3" t="s">
        <v>10004</v>
      </c>
      <c r="AW763" s="3" t="s">
        <v>10005</v>
      </c>
      <c r="AX763" s="3" t="s">
        <v>10005</v>
      </c>
      <c r="AY763" s="3" t="s">
        <v>10006</v>
      </c>
      <c r="AZ763" s="3" t="s">
        <v>74</v>
      </c>
      <c r="BB763" s="3" t="s">
        <v>10007</v>
      </c>
      <c r="BC763" s="3" t="s">
        <v>10008</v>
      </c>
      <c r="BD763" s="3" t="s">
        <v>10009</v>
      </c>
    </row>
    <row r="764" spans="1:56" ht="42.75" customHeight="1" x14ac:dyDescent="0.25">
      <c r="A764" s="7" t="s">
        <v>58</v>
      </c>
      <c r="B764" s="2" t="s">
        <v>10010</v>
      </c>
      <c r="C764" s="2" t="s">
        <v>10011</v>
      </c>
      <c r="D764" s="2" t="s">
        <v>10012</v>
      </c>
      <c r="F764" s="3" t="s">
        <v>58</v>
      </c>
      <c r="G764" s="3" t="s">
        <v>59</v>
      </c>
      <c r="H764" s="3" t="s">
        <v>58</v>
      </c>
      <c r="I764" s="3" t="s">
        <v>58</v>
      </c>
      <c r="J764" s="3" t="s">
        <v>60</v>
      </c>
      <c r="K764" s="2" t="s">
        <v>10013</v>
      </c>
      <c r="L764" s="2" t="s">
        <v>7732</v>
      </c>
      <c r="M764" s="3" t="s">
        <v>534</v>
      </c>
      <c r="N764" s="2" t="s">
        <v>1736</v>
      </c>
      <c r="O764" s="3" t="s">
        <v>64</v>
      </c>
      <c r="P764" s="3" t="s">
        <v>115</v>
      </c>
      <c r="R764" s="3" t="s">
        <v>67</v>
      </c>
      <c r="S764" s="4">
        <v>1</v>
      </c>
      <c r="T764" s="4">
        <v>1</v>
      </c>
      <c r="U764" s="5" t="s">
        <v>10014</v>
      </c>
      <c r="V764" s="5" t="s">
        <v>10014</v>
      </c>
      <c r="W764" s="5" t="s">
        <v>9393</v>
      </c>
      <c r="X764" s="5" t="s">
        <v>9393</v>
      </c>
      <c r="Y764" s="4">
        <v>554</v>
      </c>
      <c r="Z764" s="4">
        <v>474</v>
      </c>
      <c r="AA764" s="4">
        <v>477</v>
      </c>
      <c r="AB764" s="4">
        <v>3</v>
      </c>
      <c r="AC764" s="4">
        <v>3</v>
      </c>
      <c r="AD764" s="4">
        <v>20</v>
      </c>
      <c r="AE764" s="4">
        <v>20</v>
      </c>
      <c r="AF764" s="4">
        <v>8</v>
      </c>
      <c r="AG764" s="4">
        <v>8</v>
      </c>
      <c r="AH764" s="4">
        <v>4</v>
      </c>
      <c r="AI764" s="4">
        <v>4</v>
      </c>
      <c r="AJ764" s="4">
        <v>12</v>
      </c>
      <c r="AK764" s="4">
        <v>12</v>
      </c>
      <c r="AL764" s="4">
        <v>2</v>
      </c>
      <c r="AM764" s="4">
        <v>2</v>
      </c>
      <c r="AN764" s="4">
        <v>0</v>
      </c>
      <c r="AO764" s="4">
        <v>0</v>
      </c>
      <c r="AP764" s="3" t="s">
        <v>58</v>
      </c>
      <c r="AQ764" s="3" t="s">
        <v>58</v>
      </c>
      <c r="AS764" s="6" t="str">
        <f>HYPERLINK("https://creighton-primo.hosted.exlibrisgroup.com/primo-explore/search?tab=default_tab&amp;search_scope=EVERYTHING&amp;vid=01CRU&amp;lang=en_US&amp;offset=0&amp;query=any,contains,991001660969702656","Catalog Record")</f>
        <v>Catalog Record</v>
      </c>
      <c r="AT764" s="6" t="str">
        <f>HYPERLINK("http://www.worldcat.org/oclc/21164033","WorldCat Record")</f>
        <v>WorldCat Record</v>
      </c>
      <c r="AU764" s="3" t="s">
        <v>10015</v>
      </c>
      <c r="AV764" s="3" t="s">
        <v>10016</v>
      </c>
      <c r="AW764" s="3" t="s">
        <v>10017</v>
      </c>
      <c r="AX764" s="3" t="s">
        <v>10017</v>
      </c>
      <c r="AY764" s="3" t="s">
        <v>10018</v>
      </c>
      <c r="AZ764" s="3" t="s">
        <v>74</v>
      </c>
      <c r="BB764" s="3" t="s">
        <v>10019</v>
      </c>
      <c r="BC764" s="3" t="s">
        <v>10020</v>
      </c>
      <c r="BD764" s="3" t="s">
        <v>10021</v>
      </c>
    </row>
    <row r="765" spans="1:56" ht="42.75" customHeight="1" x14ac:dyDescent="0.25">
      <c r="A765" s="7" t="s">
        <v>58</v>
      </c>
      <c r="B765" s="2" t="s">
        <v>10022</v>
      </c>
      <c r="C765" s="2" t="s">
        <v>10023</v>
      </c>
      <c r="D765" s="2" t="s">
        <v>10024</v>
      </c>
      <c r="F765" s="3" t="s">
        <v>58</v>
      </c>
      <c r="G765" s="3" t="s">
        <v>59</v>
      </c>
      <c r="H765" s="3" t="s">
        <v>58</v>
      </c>
      <c r="I765" s="3" t="s">
        <v>58</v>
      </c>
      <c r="J765" s="3" t="s">
        <v>60</v>
      </c>
      <c r="K765" s="2" t="s">
        <v>10013</v>
      </c>
      <c r="L765" s="2" t="s">
        <v>9281</v>
      </c>
      <c r="M765" s="3" t="s">
        <v>2227</v>
      </c>
      <c r="N765" s="2" t="s">
        <v>1736</v>
      </c>
      <c r="O765" s="3" t="s">
        <v>64</v>
      </c>
      <c r="P765" s="3" t="s">
        <v>115</v>
      </c>
      <c r="R765" s="3" t="s">
        <v>67</v>
      </c>
      <c r="S765" s="4">
        <v>12</v>
      </c>
      <c r="T765" s="4">
        <v>12</v>
      </c>
      <c r="U765" s="5" t="s">
        <v>10025</v>
      </c>
      <c r="V765" s="5" t="s">
        <v>10025</v>
      </c>
      <c r="W765" s="5" t="s">
        <v>4730</v>
      </c>
      <c r="X765" s="5" t="s">
        <v>4730</v>
      </c>
      <c r="Y765" s="4">
        <v>489</v>
      </c>
      <c r="Z765" s="4">
        <v>411</v>
      </c>
      <c r="AA765" s="4">
        <v>412</v>
      </c>
      <c r="AB765" s="4">
        <v>2</v>
      </c>
      <c r="AC765" s="4">
        <v>2</v>
      </c>
      <c r="AD765" s="4">
        <v>15</v>
      </c>
      <c r="AE765" s="4">
        <v>15</v>
      </c>
      <c r="AF765" s="4">
        <v>7</v>
      </c>
      <c r="AG765" s="4">
        <v>7</v>
      </c>
      <c r="AH765" s="4">
        <v>4</v>
      </c>
      <c r="AI765" s="4">
        <v>4</v>
      </c>
      <c r="AJ765" s="4">
        <v>7</v>
      </c>
      <c r="AK765" s="4">
        <v>7</v>
      </c>
      <c r="AL765" s="4">
        <v>1</v>
      </c>
      <c r="AM765" s="4">
        <v>1</v>
      </c>
      <c r="AN765" s="4">
        <v>0</v>
      </c>
      <c r="AO765" s="4">
        <v>0</v>
      </c>
      <c r="AP765" s="3" t="s">
        <v>58</v>
      </c>
      <c r="AQ765" s="3" t="s">
        <v>58</v>
      </c>
      <c r="AS765" s="6" t="str">
        <f>HYPERLINK("https://creighton-primo.hosted.exlibrisgroup.com/primo-explore/search?tab=default_tab&amp;search_scope=EVERYTHING&amp;vid=01CRU&amp;lang=en_US&amp;offset=0&amp;query=any,contains,991000550629702656","Catalog Record")</f>
        <v>Catalog Record</v>
      </c>
      <c r="AT765" s="6" t="str">
        <f>HYPERLINK("http://www.worldcat.org/oclc/11533066","WorldCat Record")</f>
        <v>WorldCat Record</v>
      </c>
      <c r="AU765" s="3" t="s">
        <v>10026</v>
      </c>
      <c r="AV765" s="3" t="s">
        <v>10027</v>
      </c>
      <c r="AW765" s="3" t="s">
        <v>10028</v>
      </c>
      <c r="AX765" s="3" t="s">
        <v>10028</v>
      </c>
      <c r="AY765" s="3" t="s">
        <v>10029</v>
      </c>
      <c r="AZ765" s="3" t="s">
        <v>74</v>
      </c>
      <c r="BB765" s="3" t="s">
        <v>10030</v>
      </c>
      <c r="BC765" s="3" t="s">
        <v>10031</v>
      </c>
      <c r="BD765" s="3" t="s">
        <v>10032</v>
      </c>
    </row>
    <row r="766" spans="1:56" ht="42.75" customHeight="1" x14ac:dyDescent="0.25">
      <c r="A766" s="7" t="s">
        <v>58</v>
      </c>
      <c r="B766" s="2" t="s">
        <v>10033</v>
      </c>
      <c r="C766" s="2" t="s">
        <v>10034</v>
      </c>
      <c r="D766" s="2" t="s">
        <v>10035</v>
      </c>
      <c r="F766" s="3" t="s">
        <v>58</v>
      </c>
      <c r="G766" s="3" t="s">
        <v>59</v>
      </c>
      <c r="H766" s="3" t="s">
        <v>58</v>
      </c>
      <c r="I766" s="3" t="s">
        <v>58</v>
      </c>
      <c r="J766" s="3" t="s">
        <v>60</v>
      </c>
      <c r="K766" s="2" t="s">
        <v>10036</v>
      </c>
      <c r="L766" s="2" t="s">
        <v>5263</v>
      </c>
      <c r="M766" s="3" t="s">
        <v>1574</v>
      </c>
      <c r="O766" s="3" t="s">
        <v>64</v>
      </c>
      <c r="P766" s="3" t="s">
        <v>145</v>
      </c>
      <c r="R766" s="3" t="s">
        <v>67</v>
      </c>
      <c r="S766" s="4">
        <v>8</v>
      </c>
      <c r="T766" s="4">
        <v>8</v>
      </c>
      <c r="U766" s="5" t="s">
        <v>10037</v>
      </c>
      <c r="V766" s="5" t="s">
        <v>10037</v>
      </c>
      <c r="W766" s="5" t="s">
        <v>8433</v>
      </c>
      <c r="X766" s="5" t="s">
        <v>8433</v>
      </c>
      <c r="Y766" s="4">
        <v>392</v>
      </c>
      <c r="Z766" s="4">
        <v>355</v>
      </c>
      <c r="AA766" s="4">
        <v>459</v>
      </c>
      <c r="AB766" s="4">
        <v>3</v>
      </c>
      <c r="AC766" s="4">
        <v>3</v>
      </c>
      <c r="AD766" s="4">
        <v>18</v>
      </c>
      <c r="AE766" s="4">
        <v>23</v>
      </c>
      <c r="AF766" s="4">
        <v>7</v>
      </c>
      <c r="AG766" s="4">
        <v>10</v>
      </c>
      <c r="AH766" s="4">
        <v>3</v>
      </c>
      <c r="AI766" s="4">
        <v>4</v>
      </c>
      <c r="AJ766" s="4">
        <v>10</v>
      </c>
      <c r="AK766" s="4">
        <v>13</v>
      </c>
      <c r="AL766" s="4">
        <v>2</v>
      </c>
      <c r="AM766" s="4">
        <v>2</v>
      </c>
      <c r="AN766" s="4">
        <v>0</v>
      </c>
      <c r="AO766" s="4">
        <v>0</v>
      </c>
      <c r="AP766" s="3" t="s">
        <v>58</v>
      </c>
      <c r="AQ766" s="3" t="s">
        <v>86</v>
      </c>
      <c r="AR766" s="6" t="str">
        <f>HYPERLINK("http://catalog.hathitrust.org/Record/000201539","HathiTrust Record")</f>
        <v>HathiTrust Record</v>
      </c>
      <c r="AS766" s="6" t="str">
        <f>HYPERLINK("https://creighton-primo.hosted.exlibrisgroup.com/primo-explore/search?tab=default_tab&amp;search_scope=EVERYTHING&amp;vid=01CRU&amp;lang=en_US&amp;offset=0&amp;query=any,contains,991005265589702656","Catalog Record")</f>
        <v>Catalog Record</v>
      </c>
      <c r="AT766" s="6" t="str">
        <f>HYPERLINK("http://www.worldcat.org/oclc/8386660","WorldCat Record")</f>
        <v>WorldCat Record</v>
      </c>
      <c r="AU766" s="3" t="s">
        <v>10038</v>
      </c>
      <c r="AV766" s="3" t="s">
        <v>10039</v>
      </c>
      <c r="AW766" s="3" t="s">
        <v>10040</v>
      </c>
      <c r="AX766" s="3" t="s">
        <v>10040</v>
      </c>
      <c r="AY766" s="3" t="s">
        <v>10041</v>
      </c>
      <c r="AZ766" s="3" t="s">
        <v>74</v>
      </c>
      <c r="BB766" s="3" t="s">
        <v>10042</v>
      </c>
      <c r="BC766" s="3" t="s">
        <v>10043</v>
      </c>
      <c r="BD766" s="3" t="s">
        <v>10044</v>
      </c>
    </row>
    <row r="767" spans="1:56" ht="42.75" customHeight="1" x14ac:dyDescent="0.25">
      <c r="A767" s="7" t="s">
        <v>58</v>
      </c>
      <c r="B767" s="2" t="s">
        <v>10045</v>
      </c>
      <c r="C767" s="2" t="s">
        <v>10046</v>
      </c>
      <c r="D767" s="2" t="s">
        <v>10047</v>
      </c>
      <c r="F767" s="3" t="s">
        <v>58</v>
      </c>
      <c r="G767" s="3" t="s">
        <v>59</v>
      </c>
      <c r="H767" s="3" t="s">
        <v>58</v>
      </c>
      <c r="I767" s="3" t="s">
        <v>58</v>
      </c>
      <c r="J767" s="3" t="s">
        <v>60</v>
      </c>
      <c r="K767" s="2" t="s">
        <v>10048</v>
      </c>
      <c r="L767" s="2" t="s">
        <v>8508</v>
      </c>
      <c r="M767" s="3" t="s">
        <v>114</v>
      </c>
      <c r="N767" s="2" t="s">
        <v>1736</v>
      </c>
      <c r="O767" s="3" t="s">
        <v>64</v>
      </c>
      <c r="P767" s="3" t="s">
        <v>99</v>
      </c>
      <c r="Q767" s="2" t="s">
        <v>7599</v>
      </c>
      <c r="R767" s="3" t="s">
        <v>67</v>
      </c>
      <c r="S767" s="4">
        <v>1</v>
      </c>
      <c r="T767" s="4">
        <v>1</v>
      </c>
      <c r="U767" s="5" t="s">
        <v>10049</v>
      </c>
      <c r="V767" s="5" t="s">
        <v>10049</v>
      </c>
      <c r="W767" s="5" t="s">
        <v>4730</v>
      </c>
      <c r="X767" s="5" t="s">
        <v>4730</v>
      </c>
      <c r="Y767" s="4">
        <v>265</v>
      </c>
      <c r="Z767" s="4">
        <v>204</v>
      </c>
      <c r="AA767" s="4">
        <v>220</v>
      </c>
      <c r="AB767" s="4">
        <v>3</v>
      </c>
      <c r="AC767" s="4">
        <v>3</v>
      </c>
      <c r="AD767" s="4">
        <v>8</v>
      </c>
      <c r="AE767" s="4">
        <v>9</v>
      </c>
      <c r="AF767" s="4">
        <v>2</v>
      </c>
      <c r="AG767" s="4">
        <v>2</v>
      </c>
      <c r="AH767" s="4">
        <v>1</v>
      </c>
      <c r="AI767" s="4">
        <v>1</v>
      </c>
      <c r="AJ767" s="4">
        <v>5</v>
      </c>
      <c r="AK767" s="4">
        <v>6</v>
      </c>
      <c r="AL767" s="4">
        <v>2</v>
      </c>
      <c r="AM767" s="4">
        <v>2</v>
      </c>
      <c r="AN767" s="4">
        <v>0</v>
      </c>
      <c r="AO767" s="4">
        <v>0</v>
      </c>
      <c r="AP767" s="3" t="s">
        <v>58</v>
      </c>
      <c r="AQ767" s="3" t="s">
        <v>86</v>
      </c>
      <c r="AR767" s="6" t="str">
        <f>HYPERLINK("http://catalog.hathitrust.org/Record/000782983","HathiTrust Record")</f>
        <v>HathiTrust Record</v>
      </c>
      <c r="AS767" s="6" t="str">
        <f>HYPERLINK("https://creighton-primo.hosted.exlibrisgroup.com/primo-explore/search?tab=default_tab&amp;search_scope=EVERYTHING&amp;vid=01CRU&amp;lang=en_US&amp;offset=0&amp;query=any,contains,991000362439702656","Catalog Record")</f>
        <v>Catalog Record</v>
      </c>
      <c r="AT767" s="6" t="str">
        <f>HYPERLINK("http://www.worldcat.org/oclc/10375096","WorldCat Record")</f>
        <v>WorldCat Record</v>
      </c>
      <c r="AU767" s="3" t="s">
        <v>10050</v>
      </c>
      <c r="AV767" s="3" t="s">
        <v>10051</v>
      </c>
      <c r="AW767" s="3" t="s">
        <v>10052</v>
      </c>
      <c r="AX767" s="3" t="s">
        <v>10052</v>
      </c>
      <c r="AY767" s="3" t="s">
        <v>10053</v>
      </c>
      <c r="AZ767" s="3" t="s">
        <v>74</v>
      </c>
      <c r="BB767" s="3" t="s">
        <v>10054</v>
      </c>
      <c r="BC767" s="3" t="s">
        <v>10055</v>
      </c>
      <c r="BD767" s="3" t="s">
        <v>10056</v>
      </c>
    </row>
    <row r="768" spans="1:56" ht="42.75" customHeight="1" x14ac:dyDescent="0.25">
      <c r="A768" s="7" t="s">
        <v>58</v>
      </c>
      <c r="B768" s="2" t="s">
        <v>10057</v>
      </c>
      <c r="C768" s="2" t="s">
        <v>10058</v>
      </c>
      <c r="D768" s="2" t="s">
        <v>10059</v>
      </c>
      <c r="F768" s="3" t="s">
        <v>58</v>
      </c>
      <c r="G768" s="3" t="s">
        <v>59</v>
      </c>
      <c r="H768" s="3" t="s">
        <v>58</v>
      </c>
      <c r="I768" s="3" t="s">
        <v>58</v>
      </c>
      <c r="J768" s="3" t="s">
        <v>60</v>
      </c>
      <c r="K768" s="2" t="s">
        <v>10060</v>
      </c>
      <c r="L768" s="2" t="s">
        <v>10061</v>
      </c>
      <c r="M768" s="3" t="s">
        <v>371</v>
      </c>
      <c r="O768" s="3" t="s">
        <v>64</v>
      </c>
      <c r="P768" s="3" t="s">
        <v>115</v>
      </c>
      <c r="Q768" s="2" t="s">
        <v>4445</v>
      </c>
      <c r="R768" s="3" t="s">
        <v>67</v>
      </c>
      <c r="S768" s="4">
        <v>3</v>
      </c>
      <c r="T768" s="4">
        <v>3</v>
      </c>
      <c r="U768" s="5" t="s">
        <v>10062</v>
      </c>
      <c r="V768" s="5" t="s">
        <v>10062</v>
      </c>
      <c r="W768" s="5" t="s">
        <v>4730</v>
      </c>
      <c r="X768" s="5" t="s">
        <v>4730</v>
      </c>
      <c r="Y768" s="4">
        <v>392</v>
      </c>
      <c r="Z768" s="4">
        <v>317</v>
      </c>
      <c r="AA768" s="4">
        <v>329</v>
      </c>
      <c r="AB768" s="4">
        <v>4</v>
      </c>
      <c r="AC768" s="4">
        <v>4</v>
      </c>
      <c r="AD768" s="4">
        <v>16</v>
      </c>
      <c r="AE768" s="4">
        <v>16</v>
      </c>
      <c r="AF768" s="4">
        <v>7</v>
      </c>
      <c r="AG768" s="4">
        <v>7</v>
      </c>
      <c r="AH768" s="4">
        <v>2</v>
      </c>
      <c r="AI768" s="4">
        <v>2</v>
      </c>
      <c r="AJ768" s="4">
        <v>8</v>
      </c>
      <c r="AK768" s="4">
        <v>8</v>
      </c>
      <c r="AL768" s="4">
        <v>3</v>
      </c>
      <c r="AM768" s="4">
        <v>3</v>
      </c>
      <c r="AN768" s="4">
        <v>0</v>
      </c>
      <c r="AO768" s="4">
        <v>0</v>
      </c>
      <c r="AP768" s="3" t="s">
        <v>58</v>
      </c>
      <c r="AQ768" s="3" t="s">
        <v>86</v>
      </c>
      <c r="AR768" s="6" t="str">
        <f>HYPERLINK("http://catalog.hathitrust.org/Record/000592121","HathiTrust Record")</f>
        <v>HathiTrust Record</v>
      </c>
      <c r="AS768" s="6" t="str">
        <f>HYPERLINK("https://creighton-primo.hosted.exlibrisgroup.com/primo-explore/search?tab=default_tab&amp;search_scope=EVERYTHING&amp;vid=01CRU&amp;lang=en_US&amp;offset=0&amp;query=any,contains,991000653759702656","Catalog Record")</f>
        <v>Catalog Record</v>
      </c>
      <c r="AT768" s="6" t="str">
        <f>HYPERLINK("http://www.worldcat.org/oclc/12189615","WorldCat Record")</f>
        <v>WorldCat Record</v>
      </c>
      <c r="AU768" s="3" t="s">
        <v>10063</v>
      </c>
      <c r="AV768" s="3" t="s">
        <v>10064</v>
      </c>
      <c r="AW768" s="3" t="s">
        <v>10065</v>
      </c>
      <c r="AX768" s="3" t="s">
        <v>10065</v>
      </c>
      <c r="AY768" s="3" t="s">
        <v>10066</v>
      </c>
      <c r="AZ768" s="3" t="s">
        <v>74</v>
      </c>
      <c r="BB768" s="3" t="s">
        <v>10067</v>
      </c>
      <c r="BC768" s="3" t="s">
        <v>10068</v>
      </c>
      <c r="BD768" s="3" t="s">
        <v>10069</v>
      </c>
    </row>
    <row r="769" spans="1:56" ht="42.75" customHeight="1" x14ac:dyDescent="0.25">
      <c r="A769" s="7" t="s">
        <v>58</v>
      </c>
      <c r="B769" s="2" t="s">
        <v>10070</v>
      </c>
      <c r="C769" s="2" t="s">
        <v>10071</v>
      </c>
      <c r="D769" s="2" t="s">
        <v>10072</v>
      </c>
      <c r="F769" s="3" t="s">
        <v>58</v>
      </c>
      <c r="G769" s="3" t="s">
        <v>59</v>
      </c>
      <c r="H769" s="3" t="s">
        <v>58</v>
      </c>
      <c r="I769" s="3" t="s">
        <v>58</v>
      </c>
      <c r="J769" s="3" t="s">
        <v>60</v>
      </c>
      <c r="K769" s="2" t="s">
        <v>10073</v>
      </c>
      <c r="L769" s="2" t="s">
        <v>10074</v>
      </c>
      <c r="M769" s="3" t="s">
        <v>642</v>
      </c>
      <c r="N769" s="2" t="s">
        <v>1736</v>
      </c>
      <c r="O769" s="3" t="s">
        <v>64</v>
      </c>
      <c r="P769" s="3" t="s">
        <v>99</v>
      </c>
      <c r="Q769" s="2" t="s">
        <v>7599</v>
      </c>
      <c r="R769" s="3" t="s">
        <v>67</v>
      </c>
      <c r="S769" s="4">
        <v>4</v>
      </c>
      <c r="T769" s="4">
        <v>4</v>
      </c>
      <c r="U769" s="5" t="s">
        <v>1406</v>
      </c>
      <c r="V769" s="5" t="s">
        <v>1406</v>
      </c>
      <c r="W769" s="5" t="s">
        <v>8997</v>
      </c>
      <c r="X769" s="5" t="s">
        <v>8997</v>
      </c>
      <c r="Y769" s="4">
        <v>284</v>
      </c>
      <c r="Z769" s="4">
        <v>228</v>
      </c>
      <c r="AA769" s="4">
        <v>291</v>
      </c>
      <c r="AB769" s="4">
        <v>1</v>
      </c>
      <c r="AC769" s="4">
        <v>1</v>
      </c>
      <c r="AD769" s="4">
        <v>11</v>
      </c>
      <c r="AE769" s="4">
        <v>14</v>
      </c>
      <c r="AF769" s="4">
        <v>5</v>
      </c>
      <c r="AG769" s="4">
        <v>8</v>
      </c>
      <c r="AH769" s="4">
        <v>2</v>
      </c>
      <c r="AI769" s="4">
        <v>2</v>
      </c>
      <c r="AJ769" s="4">
        <v>7</v>
      </c>
      <c r="AK769" s="4">
        <v>7</v>
      </c>
      <c r="AL769" s="4">
        <v>0</v>
      </c>
      <c r="AM769" s="4">
        <v>0</v>
      </c>
      <c r="AN769" s="4">
        <v>0</v>
      </c>
      <c r="AO769" s="4">
        <v>0</v>
      </c>
      <c r="AP769" s="3" t="s">
        <v>58</v>
      </c>
      <c r="AQ769" s="3" t="s">
        <v>86</v>
      </c>
      <c r="AR769" s="6" t="str">
        <f>HYPERLINK("http://catalog.hathitrust.org/Record/002530536","HathiTrust Record")</f>
        <v>HathiTrust Record</v>
      </c>
      <c r="AS769" s="6" t="str">
        <f>HYPERLINK("https://creighton-primo.hosted.exlibrisgroup.com/primo-explore/search?tab=default_tab&amp;search_scope=EVERYTHING&amp;vid=01CRU&amp;lang=en_US&amp;offset=0&amp;query=any,contains,991001945849702656","Catalog Record")</f>
        <v>Catalog Record</v>
      </c>
      <c r="AT769" s="6" t="str">
        <f>HYPERLINK("http://www.worldcat.org/oclc/24590165","WorldCat Record")</f>
        <v>WorldCat Record</v>
      </c>
      <c r="AU769" s="3" t="s">
        <v>10075</v>
      </c>
      <c r="AV769" s="3" t="s">
        <v>10076</v>
      </c>
      <c r="AW769" s="3" t="s">
        <v>10077</v>
      </c>
      <c r="AX769" s="3" t="s">
        <v>10077</v>
      </c>
      <c r="AY769" s="3" t="s">
        <v>10078</v>
      </c>
      <c r="AZ769" s="3" t="s">
        <v>74</v>
      </c>
      <c r="BB769" s="3" t="s">
        <v>10079</v>
      </c>
      <c r="BC769" s="3" t="s">
        <v>10080</v>
      </c>
      <c r="BD769" s="3" t="s">
        <v>10081</v>
      </c>
    </row>
    <row r="770" spans="1:56" ht="42.75" customHeight="1" x14ac:dyDescent="0.25">
      <c r="A770" s="7" t="s">
        <v>58</v>
      </c>
      <c r="B770" s="2" t="s">
        <v>10082</v>
      </c>
      <c r="C770" s="2" t="s">
        <v>10083</v>
      </c>
      <c r="D770" s="2" t="s">
        <v>10084</v>
      </c>
      <c r="F770" s="3" t="s">
        <v>58</v>
      </c>
      <c r="G770" s="3" t="s">
        <v>59</v>
      </c>
      <c r="H770" s="3" t="s">
        <v>58</v>
      </c>
      <c r="I770" s="3" t="s">
        <v>58</v>
      </c>
      <c r="J770" s="3" t="s">
        <v>60</v>
      </c>
      <c r="L770" s="2" t="s">
        <v>10085</v>
      </c>
      <c r="M770" s="3" t="s">
        <v>888</v>
      </c>
      <c r="O770" s="3" t="s">
        <v>64</v>
      </c>
      <c r="P770" s="3" t="s">
        <v>316</v>
      </c>
      <c r="R770" s="3" t="s">
        <v>67</v>
      </c>
      <c r="S770" s="4">
        <v>14</v>
      </c>
      <c r="T770" s="4">
        <v>14</v>
      </c>
      <c r="U770" s="5" t="s">
        <v>10086</v>
      </c>
      <c r="V770" s="5" t="s">
        <v>10086</v>
      </c>
      <c r="W770" s="5" t="s">
        <v>10087</v>
      </c>
      <c r="X770" s="5" t="s">
        <v>10087</v>
      </c>
      <c r="Y770" s="4">
        <v>380</v>
      </c>
      <c r="Z770" s="4">
        <v>343</v>
      </c>
      <c r="AA770" s="4">
        <v>410</v>
      </c>
      <c r="AB770" s="4">
        <v>3</v>
      </c>
      <c r="AC770" s="4">
        <v>3</v>
      </c>
      <c r="AD770" s="4">
        <v>18</v>
      </c>
      <c r="AE770" s="4">
        <v>20</v>
      </c>
      <c r="AF770" s="4">
        <v>5</v>
      </c>
      <c r="AG770" s="4">
        <v>6</v>
      </c>
      <c r="AH770" s="4">
        <v>4</v>
      </c>
      <c r="AI770" s="4">
        <v>4</v>
      </c>
      <c r="AJ770" s="4">
        <v>11</v>
      </c>
      <c r="AK770" s="4">
        <v>12</v>
      </c>
      <c r="AL770" s="4">
        <v>2</v>
      </c>
      <c r="AM770" s="4">
        <v>2</v>
      </c>
      <c r="AN770" s="4">
        <v>0</v>
      </c>
      <c r="AO770" s="4">
        <v>0</v>
      </c>
      <c r="AP770" s="3" t="s">
        <v>58</v>
      </c>
      <c r="AQ770" s="3" t="s">
        <v>58</v>
      </c>
      <c r="AS770" s="6" t="str">
        <f>HYPERLINK("https://creighton-primo.hosted.exlibrisgroup.com/primo-explore/search?tab=default_tab&amp;search_scope=EVERYTHING&amp;vid=01CRU&amp;lang=en_US&amp;offset=0&amp;query=any,contains,991002830849702656","Catalog Record")</f>
        <v>Catalog Record</v>
      </c>
      <c r="AT770" s="6" t="str">
        <f>HYPERLINK("http://www.worldcat.org/oclc/37277505","WorldCat Record")</f>
        <v>WorldCat Record</v>
      </c>
      <c r="AU770" s="3" t="s">
        <v>10088</v>
      </c>
      <c r="AV770" s="3" t="s">
        <v>10089</v>
      </c>
      <c r="AW770" s="3" t="s">
        <v>10090</v>
      </c>
      <c r="AX770" s="3" t="s">
        <v>10090</v>
      </c>
      <c r="AY770" s="3" t="s">
        <v>10091</v>
      </c>
      <c r="AZ770" s="3" t="s">
        <v>74</v>
      </c>
      <c r="BB770" s="3" t="s">
        <v>10092</v>
      </c>
      <c r="BC770" s="3" t="s">
        <v>10093</v>
      </c>
      <c r="BD770" s="3" t="s">
        <v>10094</v>
      </c>
    </row>
    <row r="771" spans="1:56" ht="42.75" customHeight="1" x14ac:dyDescent="0.25">
      <c r="A771" s="7" t="s">
        <v>58</v>
      </c>
      <c r="B771" s="2" t="s">
        <v>10095</v>
      </c>
      <c r="C771" s="2" t="s">
        <v>10096</v>
      </c>
      <c r="D771" s="2" t="s">
        <v>10097</v>
      </c>
      <c r="F771" s="3" t="s">
        <v>58</v>
      </c>
      <c r="G771" s="3" t="s">
        <v>59</v>
      </c>
      <c r="H771" s="3" t="s">
        <v>58</v>
      </c>
      <c r="I771" s="3" t="s">
        <v>58</v>
      </c>
      <c r="J771" s="3" t="s">
        <v>60</v>
      </c>
      <c r="K771" s="2" t="s">
        <v>10098</v>
      </c>
      <c r="L771" s="2" t="s">
        <v>10099</v>
      </c>
      <c r="M771" s="3" t="s">
        <v>2770</v>
      </c>
      <c r="O771" s="3" t="s">
        <v>64</v>
      </c>
      <c r="P771" s="3" t="s">
        <v>2144</v>
      </c>
      <c r="R771" s="3" t="s">
        <v>67</v>
      </c>
      <c r="S771" s="4">
        <v>11</v>
      </c>
      <c r="T771" s="4">
        <v>11</v>
      </c>
      <c r="U771" s="5" t="s">
        <v>5703</v>
      </c>
      <c r="V771" s="5" t="s">
        <v>5703</v>
      </c>
      <c r="W771" s="5" t="s">
        <v>10100</v>
      </c>
      <c r="X771" s="5" t="s">
        <v>10100</v>
      </c>
      <c r="Y771" s="4">
        <v>309</v>
      </c>
      <c r="Z771" s="4">
        <v>279</v>
      </c>
      <c r="AA771" s="4">
        <v>305</v>
      </c>
      <c r="AB771" s="4">
        <v>3</v>
      </c>
      <c r="AC771" s="4">
        <v>3</v>
      </c>
      <c r="AD771" s="4">
        <v>12</v>
      </c>
      <c r="AE771" s="4">
        <v>12</v>
      </c>
      <c r="AF771" s="4">
        <v>8</v>
      </c>
      <c r="AG771" s="4">
        <v>8</v>
      </c>
      <c r="AH771" s="4">
        <v>1</v>
      </c>
      <c r="AI771" s="4">
        <v>1</v>
      </c>
      <c r="AJ771" s="4">
        <v>6</v>
      </c>
      <c r="AK771" s="4">
        <v>6</v>
      </c>
      <c r="AL771" s="4">
        <v>2</v>
      </c>
      <c r="AM771" s="4">
        <v>2</v>
      </c>
      <c r="AN771" s="4">
        <v>0</v>
      </c>
      <c r="AO771" s="4">
        <v>0</v>
      </c>
      <c r="AP771" s="3" t="s">
        <v>58</v>
      </c>
      <c r="AQ771" s="3" t="s">
        <v>58</v>
      </c>
      <c r="AS771" s="6" t="str">
        <f>HYPERLINK("https://creighton-primo.hosted.exlibrisgroup.com/primo-explore/search?tab=default_tab&amp;search_scope=EVERYTHING&amp;vid=01CRU&amp;lang=en_US&amp;offset=0&amp;query=any,contains,991004354219702656","Catalog Record")</f>
        <v>Catalog Record</v>
      </c>
      <c r="AT771" s="6" t="str">
        <f>HYPERLINK("http://www.worldcat.org/oclc/3129301","WorldCat Record")</f>
        <v>WorldCat Record</v>
      </c>
      <c r="AU771" s="3" t="s">
        <v>10101</v>
      </c>
      <c r="AV771" s="3" t="s">
        <v>10102</v>
      </c>
      <c r="AW771" s="3" t="s">
        <v>10103</v>
      </c>
      <c r="AX771" s="3" t="s">
        <v>10103</v>
      </c>
      <c r="AY771" s="3" t="s">
        <v>10104</v>
      </c>
      <c r="AZ771" s="3" t="s">
        <v>74</v>
      </c>
      <c r="BB771" s="3" t="s">
        <v>10105</v>
      </c>
      <c r="BC771" s="3" t="s">
        <v>10106</v>
      </c>
      <c r="BD771" s="3" t="s">
        <v>10107</v>
      </c>
    </row>
    <row r="772" spans="1:56" ht="42.75" customHeight="1" x14ac:dyDescent="0.25">
      <c r="A772" s="7" t="s">
        <v>58</v>
      </c>
      <c r="B772" s="2" t="s">
        <v>10108</v>
      </c>
      <c r="C772" s="2" t="s">
        <v>10109</v>
      </c>
      <c r="D772" s="2" t="s">
        <v>10110</v>
      </c>
      <c r="F772" s="3" t="s">
        <v>58</v>
      </c>
      <c r="G772" s="3" t="s">
        <v>59</v>
      </c>
      <c r="H772" s="3" t="s">
        <v>58</v>
      </c>
      <c r="I772" s="3" t="s">
        <v>58</v>
      </c>
      <c r="J772" s="3" t="s">
        <v>60</v>
      </c>
      <c r="K772" s="2" t="s">
        <v>10111</v>
      </c>
      <c r="L772" s="2" t="s">
        <v>10112</v>
      </c>
      <c r="M772" s="3" t="s">
        <v>805</v>
      </c>
      <c r="O772" s="3" t="s">
        <v>64</v>
      </c>
      <c r="P772" s="3" t="s">
        <v>115</v>
      </c>
      <c r="Q772" s="2" t="s">
        <v>6131</v>
      </c>
      <c r="R772" s="3" t="s">
        <v>67</v>
      </c>
      <c r="S772" s="4">
        <v>3</v>
      </c>
      <c r="T772" s="4">
        <v>3</v>
      </c>
      <c r="U772" s="5" t="s">
        <v>10113</v>
      </c>
      <c r="V772" s="5" t="s">
        <v>10113</v>
      </c>
      <c r="W772" s="5" t="s">
        <v>10114</v>
      </c>
      <c r="X772" s="5" t="s">
        <v>10114</v>
      </c>
      <c r="Y772" s="4">
        <v>336</v>
      </c>
      <c r="Z772" s="4">
        <v>265</v>
      </c>
      <c r="AA772" s="4">
        <v>265</v>
      </c>
      <c r="AB772" s="4">
        <v>2</v>
      </c>
      <c r="AC772" s="4">
        <v>2</v>
      </c>
      <c r="AD772" s="4">
        <v>12</v>
      </c>
      <c r="AE772" s="4">
        <v>12</v>
      </c>
      <c r="AF772" s="4">
        <v>5</v>
      </c>
      <c r="AG772" s="4">
        <v>5</v>
      </c>
      <c r="AH772" s="4">
        <v>1</v>
      </c>
      <c r="AI772" s="4">
        <v>1</v>
      </c>
      <c r="AJ772" s="4">
        <v>10</v>
      </c>
      <c r="AK772" s="4">
        <v>10</v>
      </c>
      <c r="AL772" s="4">
        <v>1</v>
      </c>
      <c r="AM772" s="4">
        <v>1</v>
      </c>
      <c r="AN772" s="4">
        <v>0</v>
      </c>
      <c r="AO772" s="4">
        <v>0</v>
      </c>
      <c r="AP772" s="3" t="s">
        <v>58</v>
      </c>
      <c r="AQ772" s="3" t="s">
        <v>58</v>
      </c>
      <c r="AS772" s="6" t="str">
        <f>HYPERLINK("https://creighton-primo.hosted.exlibrisgroup.com/primo-explore/search?tab=default_tab&amp;search_scope=EVERYTHING&amp;vid=01CRU&amp;lang=en_US&amp;offset=0&amp;query=any,contains,991002624649702656","Catalog Record")</f>
        <v>Catalog Record</v>
      </c>
      <c r="AT772" s="6" t="str">
        <f>HYPERLINK("http://www.worldcat.org/oclc/34410504","WorldCat Record")</f>
        <v>WorldCat Record</v>
      </c>
      <c r="AU772" s="3" t="s">
        <v>10115</v>
      </c>
      <c r="AV772" s="3" t="s">
        <v>10116</v>
      </c>
      <c r="AW772" s="3" t="s">
        <v>10117</v>
      </c>
      <c r="AX772" s="3" t="s">
        <v>10117</v>
      </c>
      <c r="AY772" s="3" t="s">
        <v>10118</v>
      </c>
      <c r="AZ772" s="3" t="s">
        <v>74</v>
      </c>
      <c r="BB772" s="3" t="s">
        <v>10119</v>
      </c>
      <c r="BC772" s="3" t="s">
        <v>10120</v>
      </c>
      <c r="BD772" s="3" t="s">
        <v>10121</v>
      </c>
    </row>
    <row r="773" spans="1:56" ht="42.75" customHeight="1" x14ac:dyDescent="0.25">
      <c r="A773" s="7" t="s">
        <v>58</v>
      </c>
      <c r="B773" s="2" t="s">
        <v>10122</v>
      </c>
      <c r="C773" s="2" t="s">
        <v>10123</v>
      </c>
      <c r="D773" s="2" t="s">
        <v>10124</v>
      </c>
      <c r="F773" s="3" t="s">
        <v>58</v>
      </c>
      <c r="G773" s="3" t="s">
        <v>59</v>
      </c>
      <c r="H773" s="3" t="s">
        <v>58</v>
      </c>
      <c r="I773" s="3" t="s">
        <v>58</v>
      </c>
      <c r="J773" s="3" t="s">
        <v>60</v>
      </c>
      <c r="L773" s="2" t="s">
        <v>8094</v>
      </c>
      <c r="M773" s="3" t="s">
        <v>98</v>
      </c>
      <c r="O773" s="3" t="s">
        <v>64</v>
      </c>
      <c r="P773" s="3" t="s">
        <v>115</v>
      </c>
      <c r="Q773" s="2" t="s">
        <v>6131</v>
      </c>
      <c r="R773" s="3" t="s">
        <v>67</v>
      </c>
      <c r="S773" s="4">
        <v>4</v>
      </c>
      <c r="T773" s="4">
        <v>4</v>
      </c>
      <c r="U773" s="5" t="s">
        <v>10125</v>
      </c>
      <c r="V773" s="5" t="s">
        <v>10125</v>
      </c>
      <c r="W773" s="5" t="s">
        <v>10126</v>
      </c>
      <c r="X773" s="5" t="s">
        <v>10126</v>
      </c>
      <c r="Y773" s="4">
        <v>434</v>
      </c>
      <c r="Z773" s="4">
        <v>335</v>
      </c>
      <c r="AA773" s="4">
        <v>344</v>
      </c>
      <c r="AB773" s="4">
        <v>2</v>
      </c>
      <c r="AC773" s="4">
        <v>2</v>
      </c>
      <c r="AD773" s="4">
        <v>20</v>
      </c>
      <c r="AE773" s="4">
        <v>20</v>
      </c>
      <c r="AF773" s="4">
        <v>10</v>
      </c>
      <c r="AG773" s="4">
        <v>10</v>
      </c>
      <c r="AH773" s="4">
        <v>3</v>
      </c>
      <c r="AI773" s="4">
        <v>3</v>
      </c>
      <c r="AJ773" s="4">
        <v>12</v>
      </c>
      <c r="AK773" s="4">
        <v>12</v>
      </c>
      <c r="AL773" s="4">
        <v>1</v>
      </c>
      <c r="AM773" s="4">
        <v>1</v>
      </c>
      <c r="AN773" s="4">
        <v>0</v>
      </c>
      <c r="AO773" s="4">
        <v>0</v>
      </c>
      <c r="AP773" s="3" t="s">
        <v>58</v>
      </c>
      <c r="AQ773" s="3" t="s">
        <v>58</v>
      </c>
      <c r="AS773" s="6" t="str">
        <f>HYPERLINK("https://creighton-primo.hosted.exlibrisgroup.com/primo-explore/search?tab=default_tab&amp;search_scope=EVERYTHING&amp;vid=01CRU&amp;lang=en_US&amp;offset=0&amp;query=any,contains,991001148019702656","Catalog Record")</f>
        <v>Catalog Record</v>
      </c>
      <c r="AT773" s="6" t="str">
        <f>HYPERLINK("http://www.worldcat.org/oclc/16801425","WorldCat Record")</f>
        <v>WorldCat Record</v>
      </c>
      <c r="AU773" s="3" t="s">
        <v>10127</v>
      </c>
      <c r="AV773" s="3" t="s">
        <v>10128</v>
      </c>
      <c r="AW773" s="3" t="s">
        <v>10129</v>
      </c>
      <c r="AX773" s="3" t="s">
        <v>10129</v>
      </c>
      <c r="AY773" s="3" t="s">
        <v>10130</v>
      </c>
      <c r="AZ773" s="3" t="s">
        <v>74</v>
      </c>
      <c r="BB773" s="3" t="s">
        <v>10131</v>
      </c>
      <c r="BC773" s="3" t="s">
        <v>10132</v>
      </c>
      <c r="BD773" s="3" t="s">
        <v>10133</v>
      </c>
    </row>
    <row r="774" spans="1:56" ht="42.75" customHeight="1" x14ac:dyDescent="0.25">
      <c r="A774" s="7" t="s">
        <v>58</v>
      </c>
      <c r="B774" s="2" t="s">
        <v>10134</v>
      </c>
      <c r="C774" s="2" t="s">
        <v>10135</v>
      </c>
      <c r="D774" s="2" t="s">
        <v>10136</v>
      </c>
      <c r="F774" s="3" t="s">
        <v>58</v>
      </c>
      <c r="G774" s="3" t="s">
        <v>59</v>
      </c>
      <c r="H774" s="3" t="s">
        <v>58</v>
      </c>
      <c r="I774" s="3" t="s">
        <v>58</v>
      </c>
      <c r="J774" s="3" t="s">
        <v>60</v>
      </c>
      <c r="L774" s="2" t="s">
        <v>10137</v>
      </c>
      <c r="M774" s="3" t="s">
        <v>98</v>
      </c>
      <c r="N774" s="2" t="s">
        <v>1736</v>
      </c>
      <c r="O774" s="3" t="s">
        <v>64</v>
      </c>
      <c r="P774" s="3" t="s">
        <v>115</v>
      </c>
      <c r="R774" s="3" t="s">
        <v>67</v>
      </c>
      <c r="S774" s="4">
        <v>4</v>
      </c>
      <c r="T774" s="4">
        <v>4</v>
      </c>
      <c r="U774" s="5" t="s">
        <v>6812</v>
      </c>
      <c r="V774" s="5" t="s">
        <v>6812</v>
      </c>
      <c r="W774" s="5" t="s">
        <v>10138</v>
      </c>
      <c r="X774" s="5" t="s">
        <v>10138</v>
      </c>
      <c r="Y774" s="4">
        <v>417</v>
      </c>
      <c r="Z774" s="4">
        <v>338</v>
      </c>
      <c r="AA774" s="4">
        <v>342</v>
      </c>
      <c r="AB774" s="4">
        <v>4</v>
      </c>
      <c r="AC774" s="4">
        <v>4</v>
      </c>
      <c r="AD774" s="4">
        <v>18</v>
      </c>
      <c r="AE774" s="4">
        <v>18</v>
      </c>
      <c r="AF774" s="4">
        <v>5</v>
      </c>
      <c r="AG774" s="4">
        <v>5</v>
      </c>
      <c r="AH774" s="4">
        <v>5</v>
      </c>
      <c r="AI774" s="4">
        <v>5</v>
      </c>
      <c r="AJ774" s="4">
        <v>9</v>
      </c>
      <c r="AK774" s="4">
        <v>9</v>
      </c>
      <c r="AL774" s="4">
        <v>3</v>
      </c>
      <c r="AM774" s="4">
        <v>3</v>
      </c>
      <c r="AN774" s="4">
        <v>0</v>
      </c>
      <c r="AO774" s="4">
        <v>0</v>
      </c>
      <c r="AP774" s="3" t="s">
        <v>58</v>
      </c>
      <c r="AQ774" s="3" t="s">
        <v>58</v>
      </c>
      <c r="AS774" s="6" t="str">
        <f>HYPERLINK("https://creighton-primo.hosted.exlibrisgroup.com/primo-explore/search?tab=default_tab&amp;search_scope=EVERYTHING&amp;vid=01CRU&amp;lang=en_US&amp;offset=0&amp;query=any,contains,991001173779702656","Catalog Record")</f>
        <v>Catalog Record</v>
      </c>
      <c r="AT774" s="6" t="str">
        <f>HYPERLINK("http://www.worldcat.org/oclc/16984367","WorldCat Record")</f>
        <v>WorldCat Record</v>
      </c>
      <c r="AU774" s="3" t="s">
        <v>10139</v>
      </c>
      <c r="AV774" s="3" t="s">
        <v>10140</v>
      </c>
      <c r="AW774" s="3" t="s">
        <v>10141</v>
      </c>
      <c r="AX774" s="3" t="s">
        <v>10141</v>
      </c>
      <c r="AY774" s="3" t="s">
        <v>10142</v>
      </c>
      <c r="AZ774" s="3" t="s">
        <v>74</v>
      </c>
      <c r="BB774" s="3" t="s">
        <v>10143</v>
      </c>
      <c r="BC774" s="3" t="s">
        <v>10144</v>
      </c>
      <c r="BD774" s="3" t="s">
        <v>10145</v>
      </c>
    </row>
    <row r="775" spans="1:56" ht="42.75" customHeight="1" x14ac:dyDescent="0.25">
      <c r="A775" s="7" t="s">
        <v>58</v>
      </c>
      <c r="B775" s="2" t="s">
        <v>10146</v>
      </c>
      <c r="C775" s="2" t="s">
        <v>10147</v>
      </c>
      <c r="D775" s="2" t="s">
        <v>10148</v>
      </c>
      <c r="F775" s="3" t="s">
        <v>58</v>
      </c>
      <c r="G775" s="3" t="s">
        <v>59</v>
      </c>
      <c r="H775" s="3" t="s">
        <v>58</v>
      </c>
      <c r="I775" s="3" t="s">
        <v>58</v>
      </c>
      <c r="J775" s="3" t="s">
        <v>60</v>
      </c>
      <c r="K775" s="2" t="s">
        <v>10149</v>
      </c>
      <c r="L775" s="2" t="s">
        <v>10150</v>
      </c>
      <c r="M775" s="3" t="s">
        <v>1574</v>
      </c>
      <c r="O775" s="3" t="s">
        <v>64</v>
      </c>
      <c r="P775" s="3" t="s">
        <v>115</v>
      </c>
      <c r="R775" s="3" t="s">
        <v>67</v>
      </c>
      <c r="S775" s="4">
        <v>15</v>
      </c>
      <c r="T775" s="4">
        <v>15</v>
      </c>
      <c r="U775" s="5" t="s">
        <v>10151</v>
      </c>
      <c r="V775" s="5" t="s">
        <v>10151</v>
      </c>
      <c r="W775" s="5" t="s">
        <v>1641</v>
      </c>
      <c r="X775" s="5" t="s">
        <v>1641</v>
      </c>
      <c r="Y775" s="4">
        <v>405</v>
      </c>
      <c r="Z775" s="4">
        <v>351</v>
      </c>
      <c r="AA775" s="4">
        <v>356</v>
      </c>
      <c r="AB775" s="4">
        <v>3</v>
      </c>
      <c r="AC775" s="4">
        <v>3</v>
      </c>
      <c r="AD775" s="4">
        <v>13</v>
      </c>
      <c r="AE775" s="4">
        <v>13</v>
      </c>
      <c r="AF775" s="4">
        <v>3</v>
      </c>
      <c r="AG775" s="4">
        <v>3</v>
      </c>
      <c r="AH775" s="4">
        <v>4</v>
      </c>
      <c r="AI775" s="4">
        <v>4</v>
      </c>
      <c r="AJ775" s="4">
        <v>9</v>
      </c>
      <c r="AK775" s="4">
        <v>9</v>
      </c>
      <c r="AL775" s="4">
        <v>2</v>
      </c>
      <c r="AM775" s="4">
        <v>2</v>
      </c>
      <c r="AN775" s="4">
        <v>0</v>
      </c>
      <c r="AO775" s="4">
        <v>0</v>
      </c>
      <c r="AP775" s="3" t="s">
        <v>58</v>
      </c>
      <c r="AQ775" s="3" t="s">
        <v>58</v>
      </c>
      <c r="AS775" s="6" t="str">
        <f>HYPERLINK("https://creighton-primo.hosted.exlibrisgroup.com/primo-explore/search?tab=default_tab&amp;search_scope=EVERYTHING&amp;vid=01CRU&amp;lang=en_US&amp;offset=0&amp;query=any,contains,991005265599702656","Catalog Record")</f>
        <v>Catalog Record</v>
      </c>
      <c r="AT775" s="6" t="str">
        <f>HYPERLINK("http://www.worldcat.org/oclc/7975504","WorldCat Record")</f>
        <v>WorldCat Record</v>
      </c>
      <c r="AU775" s="3" t="s">
        <v>10152</v>
      </c>
      <c r="AV775" s="3" t="s">
        <v>10153</v>
      </c>
      <c r="AW775" s="3" t="s">
        <v>10154</v>
      </c>
      <c r="AX775" s="3" t="s">
        <v>10154</v>
      </c>
      <c r="AY775" s="3" t="s">
        <v>10155</v>
      </c>
      <c r="AZ775" s="3" t="s">
        <v>74</v>
      </c>
      <c r="BB775" s="3" t="s">
        <v>10156</v>
      </c>
      <c r="BC775" s="3" t="s">
        <v>10157</v>
      </c>
      <c r="BD775" s="3" t="s">
        <v>10158</v>
      </c>
    </row>
    <row r="776" spans="1:56" ht="42.75" customHeight="1" x14ac:dyDescent="0.25">
      <c r="A776" s="7" t="s">
        <v>58</v>
      </c>
      <c r="B776" s="2" t="s">
        <v>10159</v>
      </c>
      <c r="C776" s="2" t="s">
        <v>10160</v>
      </c>
      <c r="D776" s="2" t="s">
        <v>10161</v>
      </c>
      <c r="F776" s="3" t="s">
        <v>58</v>
      </c>
      <c r="G776" s="3" t="s">
        <v>59</v>
      </c>
      <c r="H776" s="3" t="s">
        <v>58</v>
      </c>
      <c r="I776" s="3" t="s">
        <v>58</v>
      </c>
      <c r="J776" s="3" t="s">
        <v>60</v>
      </c>
      <c r="K776" s="2" t="s">
        <v>10162</v>
      </c>
      <c r="L776" s="2" t="s">
        <v>10163</v>
      </c>
      <c r="M776" s="3" t="s">
        <v>82</v>
      </c>
      <c r="O776" s="3" t="s">
        <v>64</v>
      </c>
      <c r="P776" s="3" t="s">
        <v>115</v>
      </c>
      <c r="R776" s="3" t="s">
        <v>67</v>
      </c>
      <c r="S776" s="4">
        <v>3</v>
      </c>
      <c r="T776" s="4">
        <v>3</v>
      </c>
      <c r="U776" s="5" t="s">
        <v>10164</v>
      </c>
      <c r="V776" s="5" t="s">
        <v>10164</v>
      </c>
      <c r="W776" s="5" t="s">
        <v>10165</v>
      </c>
      <c r="X776" s="5" t="s">
        <v>10165</v>
      </c>
      <c r="Y776" s="4">
        <v>557</v>
      </c>
      <c r="Z776" s="4">
        <v>476</v>
      </c>
      <c r="AA776" s="4">
        <v>561</v>
      </c>
      <c r="AB776" s="4">
        <v>4</v>
      </c>
      <c r="AC776" s="4">
        <v>5</v>
      </c>
      <c r="AD776" s="4">
        <v>24</v>
      </c>
      <c r="AE776" s="4">
        <v>28</v>
      </c>
      <c r="AF776" s="4">
        <v>8</v>
      </c>
      <c r="AG776" s="4">
        <v>9</v>
      </c>
      <c r="AH776" s="4">
        <v>4</v>
      </c>
      <c r="AI776" s="4">
        <v>6</v>
      </c>
      <c r="AJ776" s="4">
        <v>13</v>
      </c>
      <c r="AK776" s="4">
        <v>13</v>
      </c>
      <c r="AL776" s="4">
        <v>3</v>
      </c>
      <c r="AM776" s="4">
        <v>4</v>
      </c>
      <c r="AN776" s="4">
        <v>0</v>
      </c>
      <c r="AO776" s="4">
        <v>0</v>
      </c>
      <c r="AP776" s="3" t="s">
        <v>58</v>
      </c>
      <c r="AQ776" s="3" t="s">
        <v>58</v>
      </c>
      <c r="AS776" s="6" t="str">
        <f>HYPERLINK("https://creighton-primo.hosted.exlibrisgroup.com/primo-explore/search?tab=default_tab&amp;search_scope=EVERYTHING&amp;vid=01CRU&amp;lang=en_US&amp;offset=0&amp;query=any,contains,991001038129702656","Catalog Record")</f>
        <v>Catalog Record</v>
      </c>
      <c r="AT776" s="6" t="str">
        <f>HYPERLINK("http://www.worldcat.org/oclc/15550627","WorldCat Record")</f>
        <v>WorldCat Record</v>
      </c>
      <c r="AU776" s="3" t="s">
        <v>10166</v>
      </c>
      <c r="AV776" s="3" t="s">
        <v>10167</v>
      </c>
      <c r="AW776" s="3" t="s">
        <v>10168</v>
      </c>
      <c r="AX776" s="3" t="s">
        <v>10168</v>
      </c>
      <c r="AY776" s="3" t="s">
        <v>10169</v>
      </c>
      <c r="AZ776" s="3" t="s">
        <v>74</v>
      </c>
      <c r="BB776" s="3" t="s">
        <v>10170</v>
      </c>
      <c r="BC776" s="3" t="s">
        <v>10171</v>
      </c>
      <c r="BD776" s="3" t="s">
        <v>10172</v>
      </c>
    </row>
    <row r="777" spans="1:56" ht="42.75" customHeight="1" x14ac:dyDescent="0.25">
      <c r="A777" s="7" t="s">
        <v>58</v>
      </c>
      <c r="B777" s="2" t="s">
        <v>10173</v>
      </c>
      <c r="C777" s="2" t="s">
        <v>10174</v>
      </c>
      <c r="D777" s="2" t="s">
        <v>10175</v>
      </c>
      <c r="F777" s="3" t="s">
        <v>58</v>
      </c>
      <c r="G777" s="3" t="s">
        <v>59</v>
      </c>
      <c r="H777" s="3" t="s">
        <v>58</v>
      </c>
      <c r="I777" s="3" t="s">
        <v>58</v>
      </c>
      <c r="J777" s="3" t="s">
        <v>60</v>
      </c>
      <c r="K777" s="2" t="s">
        <v>10176</v>
      </c>
      <c r="L777" s="2" t="s">
        <v>10177</v>
      </c>
      <c r="M777" s="3" t="s">
        <v>737</v>
      </c>
      <c r="O777" s="3" t="s">
        <v>64</v>
      </c>
      <c r="P777" s="3" t="s">
        <v>115</v>
      </c>
      <c r="R777" s="3" t="s">
        <v>67</v>
      </c>
      <c r="S777" s="4">
        <v>13</v>
      </c>
      <c r="T777" s="4">
        <v>13</v>
      </c>
      <c r="U777" s="5" t="s">
        <v>3707</v>
      </c>
      <c r="V777" s="5" t="s">
        <v>3707</v>
      </c>
      <c r="W777" s="5" t="s">
        <v>10178</v>
      </c>
      <c r="X777" s="5" t="s">
        <v>10178</v>
      </c>
      <c r="Y777" s="4">
        <v>455</v>
      </c>
      <c r="Z777" s="4">
        <v>365</v>
      </c>
      <c r="AA777" s="4">
        <v>469</v>
      </c>
      <c r="AB777" s="4">
        <v>4</v>
      </c>
      <c r="AC777" s="4">
        <v>5</v>
      </c>
      <c r="AD777" s="4">
        <v>23</v>
      </c>
      <c r="AE777" s="4">
        <v>27</v>
      </c>
      <c r="AF777" s="4">
        <v>11</v>
      </c>
      <c r="AG777" s="4">
        <v>12</v>
      </c>
      <c r="AH777" s="4">
        <v>4</v>
      </c>
      <c r="AI777" s="4">
        <v>5</v>
      </c>
      <c r="AJ777" s="4">
        <v>8</v>
      </c>
      <c r="AK777" s="4">
        <v>10</v>
      </c>
      <c r="AL777" s="4">
        <v>3</v>
      </c>
      <c r="AM777" s="4">
        <v>4</v>
      </c>
      <c r="AN777" s="4">
        <v>0</v>
      </c>
      <c r="AO777" s="4">
        <v>0</v>
      </c>
      <c r="AP777" s="3" t="s">
        <v>58</v>
      </c>
      <c r="AQ777" s="3" t="s">
        <v>58</v>
      </c>
      <c r="AS777" s="6" t="str">
        <f>HYPERLINK("https://creighton-primo.hosted.exlibrisgroup.com/primo-explore/search?tab=default_tab&amp;search_scope=EVERYTHING&amp;vid=01CRU&amp;lang=en_US&amp;offset=0&amp;query=any,contains,991002270269702656","Catalog Record")</f>
        <v>Catalog Record</v>
      </c>
      <c r="AT777" s="6" t="str">
        <f>HYPERLINK("http://www.worldcat.org/oclc/29467002","WorldCat Record")</f>
        <v>WorldCat Record</v>
      </c>
      <c r="AU777" s="3" t="s">
        <v>10179</v>
      </c>
      <c r="AV777" s="3" t="s">
        <v>10180</v>
      </c>
      <c r="AW777" s="3" t="s">
        <v>10181</v>
      </c>
      <c r="AX777" s="3" t="s">
        <v>10181</v>
      </c>
      <c r="AY777" s="3" t="s">
        <v>10182</v>
      </c>
      <c r="AZ777" s="3" t="s">
        <v>74</v>
      </c>
      <c r="BB777" s="3" t="s">
        <v>10183</v>
      </c>
      <c r="BC777" s="3" t="s">
        <v>10184</v>
      </c>
      <c r="BD777" s="3" t="s">
        <v>10185</v>
      </c>
    </row>
    <row r="778" spans="1:56" ht="42.75" customHeight="1" x14ac:dyDescent="0.25">
      <c r="A778" s="7" t="s">
        <v>58</v>
      </c>
      <c r="B778" s="2" t="s">
        <v>10186</v>
      </c>
      <c r="C778" s="2" t="s">
        <v>10187</v>
      </c>
      <c r="D778" s="2" t="s">
        <v>10188</v>
      </c>
      <c r="F778" s="3" t="s">
        <v>58</v>
      </c>
      <c r="G778" s="3" t="s">
        <v>59</v>
      </c>
      <c r="H778" s="3" t="s">
        <v>58</v>
      </c>
      <c r="I778" s="3" t="s">
        <v>58</v>
      </c>
      <c r="J778" s="3" t="s">
        <v>60</v>
      </c>
      <c r="K778" s="2" t="s">
        <v>8507</v>
      </c>
      <c r="L778" s="2" t="s">
        <v>10189</v>
      </c>
      <c r="M778" s="3" t="s">
        <v>1361</v>
      </c>
      <c r="O778" s="3" t="s">
        <v>64</v>
      </c>
      <c r="P778" s="3" t="s">
        <v>115</v>
      </c>
      <c r="Q778" s="2" t="s">
        <v>10190</v>
      </c>
      <c r="R778" s="3" t="s">
        <v>67</v>
      </c>
      <c r="S778" s="4">
        <v>1</v>
      </c>
      <c r="T778" s="4">
        <v>1</v>
      </c>
      <c r="U778" s="5" t="s">
        <v>4405</v>
      </c>
      <c r="V778" s="5" t="s">
        <v>4405</v>
      </c>
      <c r="W778" s="5" t="s">
        <v>4405</v>
      </c>
      <c r="X778" s="5" t="s">
        <v>4405</v>
      </c>
      <c r="Y778" s="4">
        <v>142</v>
      </c>
      <c r="Z778" s="4">
        <v>113</v>
      </c>
      <c r="AA778" s="4">
        <v>138</v>
      </c>
      <c r="AB778" s="4">
        <v>2</v>
      </c>
      <c r="AC778" s="4">
        <v>2</v>
      </c>
      <c r="AD778" s="4">
        <v>8</v>
      </c>
      <c r="AE778" s="4">
        <v>8</v>
      </c>
      <c r="AF778" s="4">
        <v>2</v>
      </c>
      <c r="AG778" s="4">
        <v>2</v>
      </c>
      <c r="AH778" s="4">
        <v>1</v>
      </c>
      <c r="AI778" s="4">
        <v>1</v>
      </c>
      <c r="AJ778" s="4">
        <v>6</v>
      </c>
      <c r="AK778" s="4">
        <v>6</v>
      </c>
      <c r="AL778" s="4">
        <v>0</v>
      </c>
      <c r="AM778" s="4">
        <v>0</v>
      </c>
      <c r="AN778" s="4">
        <v>0</v>
      </c>
      <c r="AO778" s="4">
        <v>0</v>
      </c>
      <c r="AP778" s="3" t="s">
        <v>58</v>
      </c>
      <c r="AQ778" s="3" t="s">
        <v>58</v>
      </c>
      <c r="AS778" s="6" t="str">
        <f>HYPERLINK("https://creighton-primo.hosted.exlibrisgroup.com/primo-explore/search?tab=default_tab&amp;search_scope=EVERYTHING&amp;vid=01CRU&amp;lang=en_US&amp;offset=0&amp;query=any,contains,991005269499702656","Catalog Record")</f>
        <v>Catalog Record</v>
      </c>
      <c r="AT778" s="6" t="str">
        <f>HYPERLINK("http://www.worldcat.org/oclc/85885398","WorldCat Record")</f>
        <v>WorldCat Record</v>
      </c>
      <c r="AU778" s="3" t="s">
        <v>10191</v>
      </c>
      <c r="AV778" s="3" t="s">
        <v>10192</v>
      </c>
      <c r="AW778" s="3" t="s">
        <v>10193</v>
      </c>
      <c r="AX778" s="3" t="s">
        <v>10193</v>
      </c>
      <c r="AY778" s="3" t="s">
        <v>10194</v>
      </c>
      <c r="AZ778" s="3" t="s">
        <v>74</v>
      </c>
      <c r="BB778" s="3" t="s">
        <v>10195</v>
      </c>
      <c r="BC778" s="3" t="s">
        <v>10196</v>
      </c>
      <c r="BD778" s="3" t="s">
        <v>10197</v>
      </c>
    </row>
    <row r="779" spans="1:56" ht="42.75" customHeight="1" x14ac:dyDescent="0.25">
      <c r="A779" s="7" t="s">
        <v>58</v>
      </c>
      <c r="B779" s="2" t="s">
        <v>10198</v>
      </c>
      <c r="C779" s="2" t="s">
        <v>10199</v>
      </c>
      <c r="D779" s="2" t="s">
        <v>10200</v>
      </c>
      <c r="F779" s="3" t="s">
        <v>58</v>
      </c>
      <c r="G779" s="3" t="s">
        <v>59</v>
      </c>
      <c r="H779" s="3" t="s">
        <v>86</v>
      </c>
      <c r="I779" s="3" t="s">
        <v>58</v>
      </c>
      <c r="J779" s="3" t="s">
        <v>60</v>
      </c>
      <c r="L779" s="2" t="s">
        <v>10201</v>
      </c>
      <c r="M779" s="3" t="s">
        <v>207</v>
      </c>
      <c r="O779" s="3" t="s">
        <v>64</v>
      </c>
      <c r="P779" s="3" t="s">
        <v>115</v>
      </c>
      <c r="R779" s="3" t="s">
        <v>67</v>
      </c>
      <c r="S779" s="4">
        <v>12</v>
      </c>
      <c r="T779" s="4">
        <v>17</v>
      </c>
      <c r="U779" s="5" t="s">
        <v>10202</v>
      </c>
      <c r="V779" s="5" t="s">
        <v>957</v>
      </c>
      <c r="W779" s="5" t="s">
        <v>8433</v>
      </c>
      <c r="X779" s="5" t="s">
        <v>8433</v>
      </c>
      <c r="Y779" s="4">
        <v>984</v>
      </c>
      <c r="Z779" s="4">
        <v>849</v>
      </c>
      <c r="AA779" s="4">
        <v>907</v>
      </c>
      <c r="AB779" s="4">
        <v>9</v>
      </c>
      <c r="AC779" s="4">
        <v>9</v>
      </c>
      <c r="AD779" s="4">
        <v>37</v>
      </c>
      <c r="AE779" s="4">
        <v>37</v>
      </c>
      <c r="AF779" s="4">
        <v>15</v>
      </c>
      <c r="AG779" s="4">
        <v>15</v>
      </c>
      <c r="AH779" s="4">
        <v>5</v>
      </c>
      <c r="AI779" s="4">
        <v>5</v>
      </c>
      <c r="AJ779" s="4">
        <v>19</v>
      </c>
      <c r="AK779" s="4">
        <v>19</v>
      </c>
      <c r="AL779" s="4">
        <v>6</v>
      </c>
      <c r="AM779" s="4">
        <v>6</v>
      </c>
      <c r="AN779" s="4">
        <v>0</v>
      </c>
      <c r="AO779" s="4">
        <v>0</v>
      </c>
      <c r="AP779" s="3" t="s">
        <v>58</v>
      </c>
      <c r="AQ779" s="3" t="s">
        <v>58</v>
      </c>
      <c r="AS779" s="6" t="str">
        <f>HYPERLINK("https://creighton-primo.hosted.exlibrisgroup.com/primo-explore/search?tab=default_tab&amp;search_scope=EVERYTHING&amp;vid=01CRU&amp;lang=en_US&amp;offset=0&amp;query=any,contains,991001758869702656","Catalog Record")</f>
        <v>Catalog Record</v>
      </c>
      <c r="AT779" s="6" t="str">
        <f>HYPERLINK("http://www.worldcat.org/oclc/6626231","WorldCat Record")</f>
        <v>WorldCat Record</v>
      </c>
      <c r="AU779" s="3" t="s">
        <v>10203</v>
      </c>
      <c r="AV779" s="3" t="s">
        <v>10204</v>
      </c>
      <c r="AW779" s="3" t="s">
        <v>10205</v>
      </c>
      <c r="AX779" s="3" t="s">
        <v>10205</v>
      </c>
      <c r="AY779" s="3" t="s">
        <v>10206</v>
      </c>
      <c r="AZ779" s="3" t="s">
        <v>74</v>
      </c>
      <c r="BB779" s="3" t="s">
        <v>10207</v>
      </c>
      <c r="BC779" s="3" t="s">
        <v>10208</v>
      </c>
      <c r="BD779" s="3" t="s">
        <v>10209</v>
      </c>
    </row>
    <row r="780" spans="1:56" ht="42.75" customHeight="1" x14ac:dyDescent="0.25">
      <c r="A780" s="7" t="s">
        <v>58</v>
      </c>
      <c r="B780" s="2" t="s">
        <v>10210</v>
      </c>
      <c r="C780" s="2" t="s">
        <v>10211</v>
      </c>
      <c r="D780" s="2" t="s">
        <v>10212</v>
      </c>
      <c r="F780" s="3" t="s">
        <v>58</v>
      </c>
      <c r="G780" s="3" t="s">
        <v>59</v>
      </c>
      <c r="H780" s="3" t="s">
        <v>58</v>
      </c>
      <c r="I780" s="3" t="s">
        <v>58</v>
      </c>
      <c r="J780" s="3" t="s">
        <v>60</v>
      </c>
      <c r="K780" s="2" t="s">
        <v>10213</v>
      </c>
      <c r="L780" s="2" t="s">
        <v>10214</v>
      </c>
      <c r="M780" s="3" t="s">
        <v>2770</v>
      </c>
      <c r="O780" s="3" t="s">
        <v>64</v>
      </c>
      <c r="P780" s="3" t="s">
        <v>115</v>
      </c>
      <c r="R780" s="3" t="s">
        <v>67</v>
      </c>
      <c r="S780" s="4">
        <v>3</v>
      </c>
      <c r="T780" s="4">
        <v>3</v>
      </c>
      <c r="U780" s="5" t="s">
        <v>6812</v>
      </c>
      <c r="V780" s="5" t="s">
        <v>6812</v>
      </c>
      <c r="W780" s="5" t="s">
        <v>4730</v>
      </c>
      <c r="X780" s="5" t="s">
        <v>4730</v>
      </c>
      <c r="Y780" s="4">
        <v>371</v>
      </c>
      <c r="Z780" s="4">
        <v>292</v>
      </c>
      <c r="AA780" s="4">
        <v>297</v>
      </c>
      <c r="AB780" s="4">
        <v>1</v>
      </c>
      <c r="AC780" s="4">
        <v>1</v>
      </c>
      <c r="AD780" s="4">
        <v>12</v>
      </c>
      <c r="AE780" s="4">
        <v>12</v>
      </c>
      <c r="AF780" s="4">
        <v>4</v>
      </c>
      <c r="AG780" s="4">
        <v>4</v>
      </c>
      <c r="AH780" s="4">
        <v>3</v>
      </c>
      <c r="AI780" s="4">
        <v>3</v>
      </c>
      <c r="AJ780" s="4">
        <v>8</v>
      </c>
      <c r="AK780" s="4">
        <v>8</v>
      </c>
      <c r="AL780" s="4">
        <v>0</v>
      </c>
      <c r="AM780" s="4">
        <v>0</v>
      </c>
      <c r="AN780" s="4">
        <v>0</v>
      </c>
      <c r="AO780" s="4">
        <v>0</v>
      </c>
      <c r="AP780" s="3" t="s">
        <v>58</v>
      </c>
      <c r="AQ780" s="3" t="s">
        <v>58</v>
      </c>
      <c r="AS780" s="6" t="str">
        <f>HYPERLINK("https://creighton-primo.hosted.exlibrisgroup.com/primo-explore/search?tab=default_tab&amp;search_scope=EVERYTHING&amp;vid=01CRU&amp;lang=en_US&amp;offset=0&amp;query=any,contains,991004400129702656","Catalog Record")</f>
        <v>Catalog Record</v>
      </c>
      <c r="AT780" s="6" t="str">
        <f>HYPERLINK("http://www.worldcat.org/oclc/3294653","WorldCat Record")</f>
        <v>WorldCat Record</v>
      </c>
      <c r="AU780" s="3" t="s">
        <v>10215</v>
      </c>
      <c r="AV780" s="3" t="s">
        <v>10216</v>
      </c>
      <c r="AW780" s="3" t="s">
        <v>10217</v>
      </c>
      <c r="AX780" s="3" t="s">
        <v>10217</v>
      </c>
      <c r="AY780" s="3" t="s">
        <v>10218</v>
      </c>
      <c r="AZ780" s="3" t="s">
        <v>74</v>
      </c>
      <c r="BB780" s="3" t="s">
        <v>10219</v>
      </c>
      <c r="BC780" s="3" t="s">
        <v>10220</v>
      </c>
      <c r="BD780" s="3" t="s">
        <v>10221</v>
      </c>
    </row>
    <row r="781" spans="1:56" ht="42.75" customHeight="1" x14ac:dyDescent="0.25">
      <c r="A781" s="7" t="s">
        <v>58</v>
      </c>
      <c r="B781" s="2" t="s">
        <v>10222</v>
      </c>
      <c r="C781" s="2" t="s">
        <v>10223</v>
      </c>
      <c r="D781" s="2" t="s">
        <v>10224</v>
      </c>
      <c r="F781" s="3" t="s">
        <v>58</v>
      </c>
      <c r="G781" s="3" t="s">
        <v>59</v>
      </c>
      <c r="H781" s="3" t="s">
        <v>58</v>
      </c>
      <c r="I781" s="3" t="s">
        <v>58</v>
      </c>
      <c r="J781" s="3" t="s">
        <v>60</v>
      </c>
      <c r="K781" s="2" t="s">
        <v>10225</v>
      </c>
      <c r="L781" s="2" t="s">
        <v>9391</v>
      </c>
      <c r="M781" s="3" t="s">
        <v>534</v>
      </c>
      <c r="O781" s="3" t="s">
        <v>64</v>
      </c>
      <c r="P781" s="3" t="s">
        <v>83</v>
      </c>
      <c r="R781" s="3" t="s">
        <v>67</v>
      </c>
      <c r="S781" s="4">
        <v>18</v>
      </c>
      <c r="T781" s="4">
        <v>18</v>
      </c>
      <c r="U781" s="5" t="s">
        <v>10226</v>
      </c>
      <c r="V781" s="5" t="s">
        <v>10226</v>
      </c>
      <c r="W781" s="5" t="s">
        <v>10227</v>
      </c>
      <c r="X781" s="5" t="s">
        <v>10227</v>
      </c>
      <c r="Y781" s="4">
        <v>164</v>
      </c>
      <c r="Z781" s="4">
        <v>147</v>
      </c>
      <c r="AA781" s="4">
        <v>149</v>
      </c>
      <c r="AB781" s="4">
        <v>2</v>
      </c>
      <c r="AC781" s="4">
        <v>2</v>
      </c>
      <c r="AD781" s="4">
        <v>7</v>
      </c>
      <c r="AE781" s="4">
        <v>7</v>
      </c>
      <c r="AF781" s="4">
        <v>1</v>
      </c>
      <c r="AG781" s="4">
        <v>1</v>
      </c>
      <c r="AH781" s="4">
        <v>1</v>
      </c>
      <c r="AI781" s="4">
        <v>1</v>
      </c>
      <c r="AJ781" s="4">
        <v>5</v>
      </c>
      <c r="AK781" s="4">
        <v>5</v>
      </c>
      <c r="AL781" s="4">
        <v>1</v>
      </c>
      <c r="AM781" s="4">
        <v>1</v>
      </c>
      <c r="AN781" s="4">
        <v>0</v>
      </c>
      <c r="AO781" s="4">
        <v>0</v>
      </c>
      <c r="AP781" s="3" t="s">
        <v>58</v>
      </c>
      <c r="AQ781" s="3" t="s">
        <v>86</v>
      </c>
      <c r="AR781" s="6" t="str">
        <f>HYPERLINK("http://catalog.hathitrust.org/Record/002205017","HathiTrust Record")</f>
        <v>HathiTrust Record</v>
      </c>
      <c r="AS781" s="6" t="str">
        <f>HYPERLINK("https://creighton-primo.hosted.exlibrisgroup.com/primo-explore/search?tab=default_tab&amp;search_scope=EVERYTHING&amp;vid=01CRU&amp;lang=en_US&amp;offset=0&amp;query=any,contains,991001594109702656","Catalog Record")</f>
        <v>Catalog Record</v>
      </c>
      <c r="AT781" s="6" t="str">
        <f>HYPERLINK("http://www.worldcat.org/oclc/20595917","WorldCat Record")</f>
        <v>WorldCat Record</v>
      </c>
      <c r="AU781" s="3" t="s">
        <v>10228</v>
      </c>
      <c r="AV781" s="3" t="s">
        <v>10229</v>
      </c>
      <c r="AW781" s="3" t="s">
        <v>10230</v>
      </c>
      <c r="AX781" s="3" t="s">
        <v>10230</v>
      </c>
      <c r="AY781" s="3" t="s">
        <v>10231</v>
      </c>
      <c r="AZ781" s="3" t="s">
        <v>74</v>
      </c>
      <c r="BB781" s="3" t="s">
        <v>10232</v>
      </c>
      <c r="BC781" s="3" t="s">
        <v>10233</v>
      </c>
      <c r="BD781" s="3" t="s">
        <v>10234</v>
      </c>
    </row>
    <row r="782" spans="1:56" ht="42.75" customHeight="1" x14ac:dyDescent="0.25">
      <c r="A782" s="7" t="s">
        <v>58</v>
      </c>
      <c r="B782" s="2" t="s">
        <v>10235</v>
      </c>
      <c r="C782" s="2" t="s">
        <v>10236</v>
      </c>
      <c r="D782" s="2" t="s">
        <v>10237</v>
      </c>
      <c r="F782" s="3" t="s">
        <v>58</v>
      </c>
      <c r="G782" s="3" t="s">
        <v>59</v>
      </c>
      <c r="H782" s="3" t="s">
        <v>58</v>
      </c>
      <c r="I782" s="3" t="s">
        <v>58</v>
      </c>
      <c r="J782" s="3" t="s">
        <v>60</v>
      </c>
      <c r="K782" s="2" t="s">
        <v>10238</v>
      </c>
      <c r="L782" s="2" t="s">
        <v>10239</v>
      </c>
      <c r="M782" s="3" t="s">
        <v>888</v>
      </c>
      <c r="O782" s="3" t="s">
        <v>64</v>
      </c>
      <c r="P782" s="3" t="s">
        <v>115</v>
      </c>
      <c r="R782" s="3" t="s">
        <v>67</v>
      </c>
      <c r="S782" s="4">
        <v>2</v>
      </c>
      <c r="T782" s="4">
        <v>2</v>
      </c>
      <c r="U782" s="5" t="s">
        <v>1464</v>
      </c>
      <c r="V782" s="5" t="s">
        <v>1464</v>
      </c>
      <c r="W782" s="5" t="s">
        <v>10240</v>
      </c>
      <c r="X782" s="5" t="s">
        <v>10240</v>
      </c>
      <c r="Y782" s="4">
        <v>348</v>
      </c>
      <c r="Z782" s="4">
        <v>322</v>
      </c>
      <c r="AA782" s="4">
        <v>329</v>
      </c>
      <c r="AB782" s="4">
        <v>3</v>
      </c>
      <c r="AC782" s="4">
        <v>3</v>
      </c>
      <c r="AD782" s="4">
        <v>8</v>
      </c>
      <c r="AE782" s="4">
        <v>8</v>
      </c>
      <c r="AF782" s="4">
        <v>5</v>
      </c>
      <c r="AG782" s="4">
        <v>5</v>
      </c>
      <c r="AH782" s="4">
        <v>0</v>
      </c>
      <c r="AI782" s="4">
        <v>0</v>
      </c>
      <c r="AJ782" s="4">
        <v>5</v>
      </c>
      <c r="AK782" s="4">
        <v>5</v>
      </c>
      <c r="AL782" s="4">
        <v>1</v>
      </c>
      <c r="AM782" s="4">
        <v>1</v>
      </c>
      <c r="AN782" s="4">
        <v>0</v>
      </c>
      <c r="AO782" s="4">
        <v>0</v>
      </c>
      <c r="AP782" s="3" t="s">
        <v>58</v>
      </c>
      <c r="AQ782" s="3" t="s">
        <v>86</v>
      </c>
      <c r="AR782" s="6" t="str">
        <f>HYPERLINK("http://catalog.hathitrust.org/Record/003967439","HathiTrust Record")</f>
        <v>HathiTrust Record</v>
      </c>
      <c r="AS782" s="6" t="str">
        <f>HYPERLINK("https://creighton-primo.hosted.exlibrisgroup.com/primo-explore/search?tab=default_tab&amp;search_scope=EVERYTHING&amp;vid=01CRU&amp;lang=en_US&amp;offset=0&amp;query=any,contains,991005315209702656","Catalog Record")</f>
        <v>Catalog Record</v>
      </c>
      <c r="AT782" s="6" t="str">
        <f>HYPERLINK("http://www.worldcat.org/oclc/37761831","WorldCat Record")</f>
        <v>WorldCat Record</v>
      </c>
      <c r="AU782" s="3" t="s">
        <v>10241</v>
      </c>
      <c r="AV782" s="3" t="s">
        <v>10242</v>
      </c>
      <c r="AW782" s="3" t="s">
        <v>10243</v>
      </c>
      <c r="AX782" s="3" t="s">
        <v>10243</v>
      </c>
      <c r="AY782" s="3" t="s">
        <v>10244</v>
      </c>
      <c r="AZ782" s="3" t="s">
        <v>74</v>
      </c>
      <c r="BB782" s="3" t="s">
        <v>10245</v>
      </c>
      <c r="BC782" s="3" t="s">
        <v>10246</v>
      </c>
      <c r="BD782" s="3" t="s">
        <v>10247</v>
      </c>
    </row>
    <row r="783" spans="1:56" ht="42.75" customHeight="1" x14ac:dyDescent="0.25">
      <c r="A783" s="7" t="s">
        <v>58</v>
      </c>
      <c r="B783" s="2" t="s">
        <v>10248</v>
      </c>
      <c r="C783" s="2" t="s">
        <v>10249</v>
      </c>
      <c r="D783" s="2" t="s">
        <v>10250</v>
      </c>
      <c r="F783" s="3" t="s">
        <v>58</v>
      </c>
      <c r="G783" s="3" t="s">
        <v>59</v>
      </c>
      <c r="H783" s="3" t="s">
        <v>58</v>
      </c>
      <c r="I783" s="3" t="s">
        <v>58</v>
      </c>
      <c r="J783" s="3" t="s">
        <v>60</v>
      </c>
      <c r="L783" s="2" t="s">
        <v>10251</v>
      </c>
      <c r="M783" s="3" t="s">
        <v>480</v>
      </c>
      <c r="O783" s="3" t="s">
        <v>64</v>
      </c>
      <c r="P783" s="3" t="s">
        <v>115</v>
      </c>
      <c r="R783" s="3" t="s">
        <v>67</v>
      </c>
      <c r="S783" s="4">
        <v>7</v>
      </c>
      <c r="T783" s="4">
        <v>7</v>
      </c>
      <c r="U783" s="5" t="s">
        <v>10252</v>
      </c>
      <c r="V783" s="5" t="s">
        <v>10252</v>
      </c>
      <c r="W783" s="5" t="s">
        <v>10253</v>
      </c>
      <c r="X783" s="5" t="s">
        <v>10253</v>
      </c>
      <c r="Y783" s="4">
        <v>326</v>
      </c>
      <c r="Z783" s="4">
        <v>268</v>
      </c>
      <c r="AA783" s="4">
        <v>268</v>
      </c>
      <c r="AB783" s="4">
        <v>3</v>
      </c>
      <c r="AC783" s="4">
        <v>3</v>
      </c>
      <c r="AD783" s="4">
        <v>15</v>
      </c>
      <c r="AE783" s="4">
        <v>15</v>
      </c>
      <c r="AF783" s="4">
        <v>4</v>
      </c>
      <c r="AG783" s="4">
        <v>4</v>
      </c>
      <c r="AH783" s="4">
        <v>3</v>
      </c>
      <c r="AI783" s="4">
        <v>3</v>
      </c>
      <c r="AJ783" s="4">
        <v>11</v>
      </c>
      <c r="AK783" s="4">
        <v>11</v>
      </c>
      <c r="AL783" s="4">
        <v>2</v>
      </c>
      <c r="AM783" s="4">
        <v>2</v>
      </c>
      <c r="AN783" s="4">
        <v>0</v>
      </c>
      <c r="AO783" s="4">
        <v>0</v>
      </c>
      <c r="AP783" s="3" t="s">
        <v>58</v>
      </c>
      <c r="AQ783" s="3" t="s">
        <v>58</v>
      </c>
      <c r="AS783" s="6" t="str">
        <f>HYPERLINK("https://creighton-primo.hosted.exlibrisgroup.com/primo-explore/search?tab=default_tab&amp;search_scope=EVERYTHING&amp;vid=01CRU&amp;lang=en_US&amp;offset=0&amp;query=any,contains,991001427619702656","Catalog Record")</f>
        <v>Catalog Record</v>
      </c>
      <c r="AT783" s="6" t="str">
        <f>HYPERLINK("http://www.worldcat.org/oclc/19064052","WorldCat Record")</f>
        <v>WorldCat Record</v>
      </c>
      <c r="AU783" s="3" t="s">
        <v>10254</v>
      </c>
      <c r="AV783" s="3" t="s">
        <v>10255</v>
      </c>
      <c r="AW783" s="3" t="s">
        <v>10256</v>
      </c>
      <c r="AX783" s="3" t="s">
        <v>10256</v>
      </c>
      <c r="AY783" s="3" t="s">
        <v>10257</v>
      </c>
      <c r="AZ783" s="3" t="s">
        <v>74</v>
      </c>
      <c r="BB783" s="3" t="s">
        <v>10258</v>
      </c>
      <c r="BC783" s="3" t="s">
        <v>10259</v>
      </c>
      <c r="BD783" s="3" t="s">
        <v>10260</v>
      </c>
    </row>
    <row r="784" spans="1:56" ht="42.75" customHeight="1" x14ac:dyDescent="0.25">
      <c r="A784" s="7" t="s">
        <v>58</v>
      </c>
      <c r="B784" s="2" t="s">
        <v>10261</v>
      </c>
      <c r="C784" s="2" t="s">
        <v>10262</v>
      </c>
      <c r="D784" s="2" t="s">
        <v>10263</v>
      </c>
      <c r="F784" s="3" t="s">
        <v>58</v>
      </c>
      <c r="G784" s="3" t="s">
        <v>59</v>
      </c>
      <c r="H784" s="3" t="s">
        <v>58</v>
      </c>
      <c r="I784" s="3" t="s">
        <v>58</v>
      </c>
      <c r="J784" s="3" t="s">
        <v>60</v>
      </c>
      <c r="L784" s="2" t="s">
        <v>8094</v>
      </c>
      <c r="M784" s="3" t="s">
        <v>98</v>
      </c>
      <c r="O784" s="3" t="s">
        <v>64</v>
      </c>
      <c r="P784" s="3" t="s">
        <v>115</v>
      </c>
      <c r="R784" s="3" t="s">
        <v>67</v>
      </c>
      <c r="S784" s="4">
        <v>12</v>
      </c>
      <c r="T784" s="4">
        <v>12</v>
      </c>
      <c r="U784" s="5" t="s">
        <v>10151</v>
      </c>
      <c r="V784" s="5" t="s">
        <v>10151</v>
      </c>
      <c r="W784" s="5" t="s">
        <v>603</v>
      </c>
      <c r="X784" s="5" t="s">
        <v>603</v>
      </c>
      <c r="Y784" s="4">
        <v>756</v>
      </c>
      <c r="Z784" s="4">
        <v>612</v>
      </c>
      <c r="AA784" s="4">
        <v>613</v>
      </c>
      <c r="AB784" s="4">
        <v>6</v>
      </c>
      <c r="AC784" s="4">
        <v>6</v>
      </c>
      <c r="AD784" s="4">
        <v>26</v>
      </c>
      <c r="AE784" s="4">
        <v>26</v>
      </c>
      <c r="AF784" s="4">
        <v>7</v>
      </c>
      <c r="AG784" s="4">
        <v>7</v>
      </c>
      <c r="AH784" s="4">
        <v>7</v>
      </c>
      <c r="AI784" s="4">
        <v>7</v>
      </c>
      <c r="AJ784" s="4">
        <v>16</v>
      </c>
      <c r="AK784" s="4">
        <v>16</v>
      </c>
      <c r="AL784" s="4">
        <v>4</v>
      </c>
      <c r="AM784" s="4">
        <v>4</v>
      </c>
      <c r="AN784" s="4">
        <v>0</v>
      </c>
      <c r="AO784" s="4">
        <v>0</v>
      </c>
      <c r="AP784" s="3" t="s">
        <v>58</v>
      </c>
      <c r="AQ784" s="3" t="s">
        <v>58</v>
      </c>
      <c r="AS784" s="6" t="str">
        <f>HYPERLINK("https://creighton-primo.hosted.exlibrisgroup.com/primo-explore/search?tab=default_tab&amp;search_scope=EVERYTHING&amp;vid=01CRU&amp;lang=en_US&amp;offset=0&amp;query=any,contains,991001368289702656","Catalog Record")</f>
        <v>Catalog Record</v>
      </c>
      <c r="AT784" s="6" t="str">
        <f>HYPERLINK("http://www.worldcat.org/oclc/18560051","WorldCat Record")</f>
        <v>WorldCat Record</v>
      </c>
      <c r="AU784" s="3" t="s">
        <v>10264</v>
      </c>
      <c r="AV784" s="3" t="s">
        <v>10265</v>
      </c>
      <c r="AW784" s="3" t="s">
        <v>10266</v>
      </c>
      <c r="AX784" s="3" t="s">
        <v>10266</v>
      </c>
      <c r="AY784" s="3" t="s">
        <v>10267</v>
      </c>
      <c r="AZ784" s="3" t="s">
        <v>74</v>
      </c>
      <c r="BB784" s="3" t="s">
        <v>10268</v>
      </c>
      <c r="BC784" s="3" t="s">
        <v>10269</v>
      </c>
      <c r="BD784" s="3" t="s">
        <v>10270</v>
      </c>
    </row>
    <row r="785" spans="1:56" ht="42.75" customHeight="1" x14ac:dyDescent="0.25">
      <c r="A785" s="7" t="s">
        <v>58</v>
      </c>
      <c r="B785" s="2" t="s">
        <v>10271</v>
      </c>
      <c r="C785" s="2" t="s">
        <v>10272</v>
      </c>
      <c r="D785" s="2" t="s">
        <v>10273</v>
      </c>
      <c r="F785" s="3" t="s">
        <v>58</v>
      </c>
      <c r="G785" s="3" t="s">
        <v>59</v>
      </c>
      <c r="H785" s="3" t="s">
        <v>58</v>
      </c>
      <c r="I785" s="3" t="s">
        <v>58</v>
      </c>
      <c r="J785" s="3" t="s">
        <v>60</v>
      </c>
      <c r="K785" s="2" t="s">
        <v>10274</v>
      </c>
      <c r="L785" s="2" t="s">
        <v>10275</v>
      </c>
      <c r="M785" s="3" t="s">
        <v>314</v>
      </c>
      <c r="O785" s="3" t="s">
        <v>64</v>
      </c>
      <c r="P785" s="3" t="s">
        <v>99</v>
      </c>
      <c r="Q785" s="2" t="s">
        <v>10276</v>
      </c>
      <c r="R785" s="3" t="s">
        <v>67</v>
      </c>
      <c r="S785" s="4">
        <v>3</v>
      </c>
      <c r="T785" s="4">
        <v>3</v>
      </c>
      <c r="U785" s="5" t="s">
        <v>1347</v>
      </c>
      <c r="V785" s="5" t="s">
        <v>1347</v>
      </c>
      <c r="W785" s="5" t="s">
        <v>7302</v>
      </c>
      <c r="X785" s="5" t="s">
        <v>7302</v>
      </c>
      <c r="Y785" s="4">
        <v>509</v>
      </c>
      <c r="Z785" s="4">
        <v>433</v>
      </c>
      <c r="AA785" s="4">
        <v>441</v>
      </c>
      <c r="AB785" s="4">
        <v>2</v>
      </c>
      <c r="AC785" s="4">
        <v>2</v>
      </c>
      <c r="AD785" s="4">
        <v>11</v>
      </c>
      <c r="AE785" s="4">
        <v>11</v>
      </c>
      <c r="AF785" s="4">
        <v>2</v>
      </c>
      <c r="AG785" s="4">
        <v>2</v>
      </c>
      <c r="AH785" s="4">
        <v>3</v>
      </c>
      <c r="AI785" s="4">
        <v>3</v>
      </c>
      <c r="AJ785" s="4">
        <v>6</v>
      </c>
      <c r="AK785" s="4">
        <v>6</v>
      </c>
      <c r="AL785" s="4">
        <v>1</v>
      </c>
      <c r="AM785" s="4">
        <v>1</v>
      </c>
      <c r="AN785" s="4">
        <v>0</v>
      </c>
      <c r="AO785" s="4">
        <v>0</v>
      </c>
      <c r="AP785" s="3" t="s">
        <v>58</v>
      </c>
      <c r="AQ785" s="3" t="s">
        <v>86</v>
      </c>
      <c r="AR785" s="6" t="str">
        <f>HYPERLINK("http://catalog.hathitrust.org/Record/001564695","HathiTrust Record")</f>
        <v>HathiTrust Record</v>
      </c>
      <c r="AS785" s="6" t="str">
        <f>HYPERLINK("https://creighton-primo.hosted.exlibrisgroup.com/primo-explore/search?tab=default_tab&amp;search_scope=EVERYTHING&amp;vid=01CRU&amp;lang=en_US&amp;offset=0&amp;query=any,contains,991002787099702656","Catalog Record")</f>
        <v>Catalog Record</v>
      </c>
      <c r="AT785" s="6" t="str">
        <f>HYPERLINK("http://www.worldcat.org/oclc/442048","WorldCat Record")</f>
        <v>WorldCat Record</v>
      </c>
      <c r="AU785" s="3" t="s">
        <v>10277</v>
      </c>
      <c r="AV785" s="3" t="s">
        <v>10278</v>
      </c>
      <c r="AW785" s="3" t="s">
        <v>10279</v>
      </c>
      <c r="AX785" s="3" t="s">
        <v>10279</v>
      </c>
      <c r="AY785" s="3" t="s">
        <v>10280</v>
      </c>
      <c r="AZ785" s="3" t="s">
        <v>74</v>
      </c>
      <c r="BC785" s="3" t="s">
        <v>10281</v>
      </c>
      <c r="BD785" s="3" t="s">
        <v>10282</v>
      </c>
    </row>
    <row r="786" spans="1:56" ht="42.75" customHeight="1" x14ac:dyDescent="0.25">
      <c r="A786" s="7" t="s">
        <v>58</v>
      </c>
      <c r="B786" s="2" t="s">
        <v>10283</v>
      </c>
      <c r="C786" s="2" t="s">
        <v>10284</v>
      </c>
      <c r="D786" s="2" t="s">
        <v>10285</v>
      </c>
      <c r="F786" s="3" t="s">
        <v>58</v>
      </c>
      <c r="G786" s="3" t="s">
        <v>59</v>
      </c>
      <c r="H786" s="3" t="s">
        <v>58</v>
      </c>
      <c r="I786" s="3" t="s">
        <v>58</v>
      </c>
      <c r="J786" s="3" t="s">
        <v>60</v>
      </c>
      <c r="K786" s="2" t="s">
        <v>10286</v>
      </c>
      <c r="L786" s="2" t="s">
        <v>9058</v>
      </c>
      <c r="M786" s="3" t="s">
        <v>2227</v>
      </c>
      <c r="O786" s="3" t="s">
        <v>64</v>
      </c>
      <c r="P786" s="3" t="s">
        <v>115</v>
      </c>
      <c r="R786" s="3" t="s">
        <v>67</v>
      </c>
      <c r="S786" s="4">
        <v>3</v>
      </c>
      <c r="T786" s="4">
        <v>3</v>
      </c>
      <c r="U786" s="5" t="s">
        <v>7653</v>
      </c>
      <c r="V786" s="5" t="s">
        <v>7653</v>
      </c>
      <c r="W786" s="5" t="s">
        <v>4730</v>
      </c>
      <c r="X786" s="5" t="s">
        <v>4730</v>
      </c>
      <c r="Y786" s="4">
        <v>355</v>
      </c>
      <c r="Z786" s="4">
        <v>313</v>
      </c>
      <c r="AA786" s="4">
        <v>320</v>
      </c>
      <c r="AB786" s="4">
        <v>4</v>
      </c>
      <c r="AC786" s="4">
        <v>4</v>
      </c>
      <c r="AD786" s="4">
        <v>17</v>
      </c>
      <c r="AE786" s="4">
        <v>17</v>
      </c>
      <c r="AF786" s="4">
        <v>3</v>
      </c>
      <c r="AG786" s="4">
        <v>3</v>
      </c>
      <c r="AH786" s="4">
        <v>4</v>
      </c>
      <c r="AI786" s="4">
        <v>4</v>
      </c>
      <c r="AJ786" s="4">
        <v>10</v>
      </c>
      <c r="AK786" s="4">
        <v>10</v>
      </c>
      <c r="AL786" s="4">
        <v>3</v>
      </c>
      <c r="AM786" s="4">
        <v>3</v>
      </c>
      <c r="AN786" s="4">
        <v>0</v>
      </c>
      <c r="AO786" s="4">
        <v>0</v>
      </c>
      <c r="AP786" s="3" t="s">
        <v>58</v>
      </c>
      <c r="AQ786" s="3" t="s">
        <v>86</v>
      </c>
      <c r="AR786" s="6" t="str">
        <f>HYPERLINK("http://catalog.hathitrust.org/Record/000348431","HathiTrust Record")</f>
        <v>HathiTrust Record</v>
      </c>
      <c r="AS786" s="6" t="str">
        <f>HYPERLINK("https://creighton-primo.hosted.exlibrisgroup.com/primo-explore/search?tab=default_tab&amp;search_scope=EVERYTHING&amp;vid=01CRU&amp;lang=en_US&amp;offset=0&amp;query=any,contains,991000618729702656","Catalog Record")</f>
        <v>Catalog Record</v>
      </c>
      <c r="AT786" s="6" t="str">
        <f>HYPERLINK("http://www.worldcat.org/oclc/11970248","WorldCat Record")</f>
        <v>WorldCat Record</v>
      </c>
      <c r="AU786" s="3" t="s">
        <v>10287</v>
      </c>
      <c r="AV786" s="3" t="s">
        <v>10288</v>
      </c>
      <c r="AW786" s="3" t="s">
        <v>10289</v>
      </c>
      <c r="AX786" s="3" t="s">
        <v>10289</v>
      </c>
      <c r="AY786" s="3" t="s">
        <v>10290</v>
      </c>
      <c r="AZ786" s="3" t="s">
        <v>74</v>
      </c>
      <c r="BB786" s="3" t="s">
        <v>10291</v>
      </c>
      <c r="BC786" s="3" t="s">
        <v>10292</v>
      </c>
      <c r="BD786" s="3" t="s">
        <v>10293</v>
      </c>
    </row>
    <row r="787" spans="1:56" ht="42.75" customHeight="1" x14ac:dyDescent="0.25">
      <c r="A787" s="7" t="s">
        <v>58</v>
      </c>
      <c r="B787" s="2" t="s">
        <v>10294</v>
      </c>
      <c r="C787" s="2" t="s">
        <v>10295</v>
      </c>
      <c r="D787" s="2" t="s">
        <v>10296</v>
      </c>
      <c r="F787" s="3" t="s">
        <v>58</v>
      </c>
      <c r="G787" s="3" t="s">
        <v>59</v>
      </c>
      <c r="H787" s="3" t="s">
        <v>58</v>
      </c>
      <c r="I787" s="3" t="s">
        <v>58</v>
      </c>
      <c r="J787" s="3" t="s">
        <v>60</v>
      </c>
      <c r="K787" s="2" t="s">
        <v>10297</v>
      </c>
      <c r="L787" s="2" t="s">
        <v>10298</v>
      </c>
      <c r="M787" s="3" t="s">
        <v>98</v>
      </c>
      <c r="O787" s="3" t="s">
        <v>64</v>
      </c>
      <c r="P787" s="3" t="s">
        <v>115</v>
      </c>
      <c r="R787" s="3" t="s">
        <v>67</v>
      </c>
      <c r="S787" s="4">
        <v>6</v>
      </c>
      <c r="T787" s="4">
        <v>6</v>
      </c>
      <c r="U787" s="5" t="s">
        <v>10299</v>
      </c>
      <c r="V787" s="5" t="s">
        <v>10299</v>
      </c>
      <c r="W787" s="5" t="s">
        <v>401</v>
      </c>
      <c r="X787" s="5" t="s">
        <v>401</v>
      </c>
      <c r="Y787" s="4">
        <v>483</v>
      </c>
      <c r="Z787" s="4">
        <v>379</v>
      </c>
      <c r="AA787" s="4">
        <v>487</v>
      </c>
      <c r="AB787" s="4">
        <v>3</v>
      </c>
      <c r="AC787" s="4">
        <v>3</v>
      </c>
      <c r="AD787" s="4">
        <v>19</v>
      </c>
      <c r="AE787" s="4">
        <v>23</v>
      </c>
      <c r="AF787" s="4">
        <v>6</v>
      </c>
      <c r="AG787" s="4">
        <v>9</v>
      </c>
      <c r="AH787" s="4">
        <v>4</v>
      </c>
      <c r="AI787" s="4">
        <v>5</v>
      </c>
      <c r="AJ787" s="4">
        <v>10</v>
      </c>
      <c r="AK787" s="4">
        <v>11</v>
      </c>
      <c r="AL787" s="4">
        <v>2</v>
      </c>
      <c r="AM787" s="4">
        <v>2</v>
      </c>
      <c r="AN787" s="4">
        <v>0</v>
      </c>
      <c r="AO787" s="4">
        <v>0</v>
      </c>
      <c r="AP787" s="3" t="s">
        <v>58</v>
      </c>
      <c r="AQ787" s="3" t="s">
        <v>86</v>
      </c>
      <c r="AR787" s="6" t="str">
        <f>HYPERLINK("http://catalog.hathitrust.org/Record/001072585","HathiTrust Record")</f>
        <v>HathiTrust Record</v>
      </c>
      <c r="AS787" s="6" t="str">
        <f>HYPERLINK("https://creighton-primo.hosted.exlibrisgroup.com/primo-explore/search?tab=default_tab&amp;search_scope=EVERYTHING&amp;vid=01CRU&amp;lang=en_US&amp;offset=0&amp;query=any,contains,991001297359702656","Catalog Record")</f>
        <v>Catalog Record</v>
      </c>
      <c r="AT787" s="6" t="str">
        <f>HYPERLINK("http://www.worldcat.org/oclc/18049962","WorldCat Record")</f>
        <v>WorldCat Record</v>
      </c>
      <c r="AU787" s="3" t="s">
        <v>10300</v>
      </c>
      <c r="AV787" s="3" t="s">
        <v>10301</v>
      </c>
      <c r="AW787" s="3" t="s">
        <v>10302</v>
      </c>
      <c r="AX787" s="3" t="s">
        <v>10302</v>
      </c>
      <c r="AY787" s="3" t="s">
        <v>10303</v>
      </c>
      <c r="AZ787" s="3" t="s">
        <v>74</v>
      </c>
      <c r="BB787" s="3" t="s">
        <v>10304</v>
      </c>
      <c r="BC787" s="3" t="s">
        <v>10305</v>
      </c>
      <c r="BD787" s="3" t="s">
        <v>10306</v>
      </c>
    </row>
    <row r="788" spans="1:56" ht="42.75" customHeight="1" x14ac:dyDescent="0.25">
      <c r="A788" s="7" t="s">
        <v>58</v>
      </c>
      <c r="B788" s="2" t="s">
        <v>10307</v>
      </c>
      <c r="C788" s="2" t="s">
        <v>10308</v>
      </c>
      <c r="D788" s="2" t="s">
        <v>10309</v>
      </c>
      <c r="F788" s="3" t="s">
        <v>58</v>
      </c>
      <c r="G788" s="3" t="s">
        <v>59</v>
      </c>
      <c r="H788" s="3" t="s">
        <v>58</v>
      </c>
      <c r="I788" s="3" t="s">
        <v>58</v>
      </c>
      <c r="J788" s="3" t="s">
        <v>60</v>
      </c>
      <c r="K788" s="2" t="s">
        <v>10310</v>
      </c>
      <c r="L788" s="2" t="s">
        <v>10311</v>
      </c>
      <c r="M788" s="3" t="s">
        <v>207</v>
      </c>
      <c r="N788" s="2" t="s">
        <v>1736</v>
      </c>
      <c r="O788" s="3" t="s">
        <v>64</v>
      </c>
      <c r="P788" s="3" t="s">
        <v>99</v>
      </c>
      <c r="R788" s="3" t="s">
        <v>67</v>
      </c>
      <c r="S788" s="4">
        <v>4</v>
      </c>
      <c r="T788" s="4">
        <v>4</v>
      </c>
      <c r="U788" s="5" t="s">
        <v>10312</v>
      </c>
      <c r="V788" s="5" t="s">
        <v>10312</v>
      </c>
      <c r="W788" s="5" t="s">
        <v>4730</v>
      </c>
      <c r="X788" s="5" t="s">
        <v>4730</v>
      </c>
      <c r="Y788" s="4">
        <v>866</v>
      </c>
      <c r="Z788" s="4">
        <v>711</v>
      </c>
      <c r="AA788" s="4">
        <v>777</v>
      </c>
      <c r="AB788" s="4">
        <v>6</v>
      </c>
      <c r="AC788" s="4">
        <v>6</v>
      </c>
      <c r="AD788" s="4">
        <v>33</v>
      </c>
      <c r="AE788" s="4">
        <v>37</v>
      </c>
      <c r="AF788" s="4">
        <v>11</v>
      </c>
      <c r="AG788" s="4">
        <v>14</v>
      </c>
      <c r="AH788" s="4">
        <v>8</v>
      </c>
      <c r="AI788" s="4">
        <v>8</v>
      </c>
      <c r="AJ788" s="4">
        <v>16</v>
      </c>
      <c r="AK788" s="4">
        <v>18</v>
      </c>
      <c r="AL788" s="4">
        <v>4</v>
      </c>
      <c r="AM788" s="4">
        <v>4</v>
      </c>
      <c r="AN788" s="4">
        <v>1</v>
      </c>
      <c r="AO788" s="4">
        <v>1</v>
      </c>
      <c r="AP788" s="3" t="s">
        <v>58</v>
      </c>
      <c r="AQ788" s="3" t="s">
        <v>86</v>
      </c>
      <c r="AR788" s="6" t="str">
        <f>HYPERLINK("http://catalog.hathitrust.org/Record/005242983","HathiTrust Record")</f>
        <v>HathiTrust Record</v>
      </c>
      <c r="AS788" s="6" t="str">
        <f>HYPERLINK("https://creighton-primo.hosted.exlibrisgroup.com/primo-explore/search?tab=default_tab&amp;search_scope=EVERYTHING&amp;vid=01CRU&amp;lang=en_US&amp;offset=0&amp;query=any,contains,991005060469702656","Catalog Record")</f>
        <v>Catalog Record</v>
      </c>
      <c r="AT788" s="6" t="str">
        <f>HYPERLINK("http://www.worldcat.org/oclc/6917416","WorldCat Record")</f>
        <v>WorldCat Record</v>
      </c>
      <c r="AU788" s="3" t="s">
        <v>10313</v>
      </c>
      <c r="AV788" s="3" t="s">
        <v>10314</v>
      </c>
      <c r="AW788" s="3" t="s">
        <v>10315</v>
      </c>
      <c r="AX788" s="3" t="s">
        <v>10315</v>
      </c>
      <c r="AY788" s="3" t="s">
        <v>10316</v>
      </c>
      <c r="AZ788" s="3" t="s">
        <v>74</v>
      </c>
      <c r="BB788" s="3" t="s">
        <v>10317</v>
      </c>
      <c r="BC788" s="3" t="s">
        <v>10318</v>
      </c>
      <c r="BD788" s="3" t="s">
        <v>10319</v>
      </c>
    </row>
    <row r="789" spans="1:56" ht="42.75" customHeight="1" x14ac:dyDescent="0.25">
      <c r="A789" s="7" t="s">
        <v>58</v>
      </c>
      <c r="B789" s="2" t="s">
        <v>10320</v>
      </c>
      <c r="C789" s="2" t="s">
        <v>10321</v>
      </c>
      <c r="D789" s="2" t="s">
        <v>10322</v>
      </c>
      <c r="F789" s="3" t="s">
        <v>58</v>
      </c>
      <c r="G789" s="3" t="s">
        <v>59</v>
      </c>
      <c r="H789" s="3" t="s">
        <v>58</v>
      </c>
      <c r="I789" s="3" t="s">
        <v>58</v>
      </c>
      <c r="J789" s="3" t="s">
        <v>60</v>
      </c>
      <c r="K789" s="2" t="s">
        <v>10323</v>
      </c>
      <c r="L789" s="2" t="s">
        <v>10324</v>
      </c>
      <c r="M789" s="3" t="s">
        <v>1361</v>
      </c>
      <c r="O789" s="3" t="s">
        <v>64</v>
      </c>
      <c r="P789" s="3" t="s">
        <v>208</v>
      </c>
      <c r="R789" s="3" t="s">
        <v>67</v>
      </c>
      <c r="S789" s="4">
        <v>3</v>
      </c>
      <c r="T789" s="4">
        <v>3</v>
      </c>
      <c r="U789" s="5" t="s">
        <v>10325</v>
      </c>
      <c r="V789" s="5" t="s">
        <v>10325</v>
      </c>
      <c r="W789" s="5" t="s">
        <v>10326</v>
      </c>
      <c r="X789" s="5" t="s">
        <v>10326</v>
      </c>
      <c r="Y789" s="4">
        <v>188</v>
      </c>
      <c r="Z789" s="4">
        <v>121</v>
      </c>
      <c r="AA789" s="4">
        <v>122</v>
      </c>
      <c r="AB789" s="4">
        <v>2</v>
      </c>
      <c r="AC789" s="4">
        <v>2</v>
      </c>
      <c r="AD789" s="4">
        <v>9</v>
      </c>
      <c r="AE789" s="4">
        <v>9</v>
      </c>
      <c r="AF789" s="4">
        <v>3</v>
      </c>
      <c r="AG789" s="4">
        <v>3</v>
      </c>
      <c r="AH789" s="4">
        <v>1</v>
      </c>
      <c r="AI789" s="4">
        <v>1</v>
      </c>
      <c r="AJ789" s="4">
        <v>6</v>
      </c>
      <c r="AK789" s="4">
        <v>6</v>
      </c>
      <c r="AL789" s="4">
        <v>1</v>
      </c>
      <c r="AM789" s="4">
        <v>1</v>
      </c>
      <c r="AN789" s="4">
        <v>0</v>
      </c>
      <c r="AO789" s="4">
        <v>0</v>
      </c>
      <c r="AP789" s="3" t="s">
        <v>58</v>
      </c>
      <c r="AQ789" s="3" t="s">
        <v>58</v>
      </c>
      <c r="AS789" s="6" t="str">
        <f>HYPERLINK("https://creighton-primo.hosted.exlibrisgroup.com/primo-explore/search?tab=default_tab&amp;search_scope=EVERYTHING&amp;vid=01CRU&amp;lang=en_US&amp;offset=0&amp;query=any,contains,991005150559702656","Catalog Record")</f>
        <v>Catalog Record</v>
      </c>
      <c r="AT789" s="6" t="str">
        <f>HYPERLINK("http://www.worldcat.org/oclc/62741576","WorldCat Record")</f>
        <v>WorldCat Record</v>
      </c>
      <c r="AU789" s="3" t="s">
        <v>10327</v>
      </c>
      <c r="AV789" s="3" t="s">
        <v>10328</v>
      </c>
      <c r="AW789" s="3" t="s">
        <v>10329</v>
      </c>
      <c r="AX789" s="3" t="s">
        <v>10329</v>
      </c>
      <c r="AY789" s="3" t="s">
        <v>10330</v>
      </c>
      <c r="AZ789" s="3" t="s">
        <v>74</v>
      </c>
      <c r="BB789" s="3" t="s">
        <v>10331</v>
      </c>
      <c r="BC789" s="3" t="s">
        <v>10332</v>
      </c>
      <c r="BD789" s="3" t="s">
        <v>10333</v>
      </c>
    </row>
    <row r="790" spans="1:56" ht="42.75" customHeight="1" x14ac:dyDescent="0.25">
      <c r="A790" s="7" t="s">
        <v>58</v>
      </c>
      <c r="B790" s="2" t="s">
        <v>10334</v>
      </c>
      <c r="C790" s="2" t="s">
        <v>10335</v>
      </c>
      <c r="D790" s="2" t="s">
        <v>10336</v>
      </c>
      <c r="F790" s="3" t="s">
        <v>58</v>
      </c>
      <c r="G790" s="3" t="s">
        <v>59</v>
      </c>
      <c r="H790" s="3" t="s">
        <v>58</v>
      </c>
      <c r="I790" s="3" t="s">
        <v>58</v>
      </c>
      <c r="J790" s="3" t="s">
        <v>60</v>
      </c>
      <c r="K790" s="2" t="s">
        <v>10337</v>
      </c>
      <c r="L790" s="2" t="s">
        <v>10338</v>
      </c>
      <c r="M790" s="3" t="s">
        <v>371</v>
      </c>
      <c r="N790" s="2" t="s">
        <v>1736</v>
      </c>
      <c r="O790" s="3" t="s">
        <v>64</v>
      </c>
      <c r="P790" s="3" t="s">
        <v>115</v>
      </c>
      <c r="R790" s="3" t="s">
        <v>67</v>
      </c>
      <c r="S790" s="4">
        <v>3</v>
      </c>
      <c r="T790" s="4">
        <v>3</v>
      </c>
      <c r="U790" s="5" t="s">
        <v>10339</v>
      </c>
      <c r="V790" s="5" t="s">
        <v>10339</v>
      </c>
      <c r="W790" s="5" t="s">
        <v>10340</v>
      </c>
      <c r="X790" s="5" t="s">
        <v>10340</v>
      </c>
      <c r="Y790" s="4">
        <v>276</v>
      </c>
      <c r="Z790" s="4">
        <v>234</v>
      </c>
      <c r="AA790" s="4">
        <v>239</v>
      </c>
      <c r="AB790" s="4">
        <v>2</v>
      </c>
      <c r="AC790" s="4">
        <v>2</v>
      </c>
      <c r="AD790" s="4">
        <v>13</v>
      </c>
      <c r="AE790" s="4">
        <v>13</v>
      </c>
      <c r="AF790" s="4">
        <v>3</v>
      </c>
      <c r="AG790" s="4">
        <v>3</v>
      </c>
      <c r="AH790" s="4">
        <v>3</v>
      </c>
      <c r="AI790" s="4">
        <v>3</v>
      </c>
      <c r="AJ790" s="4">
        <v>10</v>
      </c>
      <c r="AK790" s="4">
        <v>10</v>
      </c>
      <c r="AL790" s="4">
        <v>1</v>
      </c>
      <c r="AM790" s="4">
        <v>1</v>
      </c>
      <c r="AN790" s="4">
        <v>0</v>
      </c>
      <c r="AO790" s="4">
        <v>0</v>
      </c>
      <c r="AP790" s="3" t="s">
        <v>58</v>
      </c>
      <c r="AQ790" s="3" t="s">
        <v>58</v>
      </c>
      <c r="AS790" s="6" t="str">
        <f>HYPERLINK("https://creighton-primo.hosted.exlibrisgroup.com/primo-explore/search?tab=default_tab&amp;search_scope=EVERYTHING&amp;vid=01CRU&amp;lang=en_US&amp;offset=0&amp;query=any,contains,991000674119702656","Catalog Record")</f>
        <v>Catalog Record</v>
      </c>
      <c r="AT790" s="6" t="str">
        <f>HYPERLINK("http://www.worldcat.org/oclc/12342820","WorldCat Record")</f>
        <v>WorldCat Record</v>
      </c>
      <c r="AU790" s="3" t="s">
        <v>10341</v>
      </c>
      <c r="AV790" s="3" t="s">
        <v>10342</v>
      </c>
      <c r="AW790" s="3" t="s">
        <v>10343</v>
      </c>
      <c r="AX790" s="3" t="s">
        <v>10343</v>
      </c>
      <c r="AY790" s="3" t="s">
        <v>10344</v>
      </c>
      <c r="AZ790" s="3" t="s">
        <v>74</v>
      </c>
      <c r="BB790" s="3" t="s">
        <v>10345</v>
      </c>
      <c r="BC790" s="3" t="s">
        <v>10346</v>
      </c>
      <c r="BD790" s="3" t="s">
        <v>10347</v>
      </c>
    </row>
    <row r="791" spans="1:56" ht="42.75" customHeight="1" x14ac:dyDescent="0.25">
      <c r="A791" s="7" t="s">
        <v>58</v>
      </c>
      <c r="B791" s="2" t="s">
        <v>10348</v>
      </c>
      <c r="C791" s="2" t="s">
        <v>10349</v>
      </c>
      <c r="D791" s="2" t="s">
        <v>10350</v>
      </c>
      <c r="F791" s="3" t="s">
        <v>58</v>
      </c>
      <c r="G791" s="3" t="s">
        <v>59</v>
      </c>
      <c r="H791" s="3" t="s">
        <v>58</v>
      </c>
      <c r="I791" s="3" t="s">
        <v>58</v>
      </c>
      <c r="J791" s="3" t="s">
        <v>60</v>
      </c>
      <c r="K791" s="2" t="s">
        <v>10351</v>
      </c>
      <c r="L791" s="2" t="s">
        <v>10352</v>
      </c>
      <c r="M791" s="3" t="s">
        <v>371</v>
      </c>
      <c r="O791" s="3" t="s">
        <v>64</v>
      </c>
      <c r="P791" s="3" t="s">
        <v>115</v>
      </c>
      <c r="Q791" s="2" t="s">
        <v>6131</v>
      </c>
      <c r="R791" s="3" t="s">
        <v>67</v>
      </c>
      <c r="S791" s="4">
        <v>7</v>
      </c>
      <c r="T791" s="4">
        <v>7</v>
      </c>
      <c r="U791" s="5" t="s">
        <v>10353</v>
      </c>
      <c r="V791" s="5" t="s">
        <v>10353</v>
      </c>
      <c r="W791" s="5" t="s">
        <v>4730</v>
      </c>
      <c r="X791" s="5" t="s">
        <v>4730</v>
      </c>
      <c r="Y791" s="4">
        <v>481</v>
      </c>
      <c r="Z791" s="4">
        <v>410</v>
      </c>
      <c r="AA791" s="4">
        <v>411</v>
      </c>
      <c r="AB791" s="4">
        <v>4</v>
      </c>
      <c r="AC791" s="4">
        <v>4</v>
      </c>
      <c r="AD791" s="4">
        <v>17</v>
      </c>
      <c r="AE791" s="4">
        <v>17</v>
      </c>
      <c r="AF791" s="4">
        <v>5</v>
      </c>
      <c r="AG791" s="4">
        <v>5</v>
      </c>
      <c r="AH791" s="4">
        <v>4</v>
      </c>
      <c r="AI791" s="4">
        <v>4</v>
      </c>
      <c r="AJ791" s="4">
        <v>9</v>
      </c>
      <c r="AK791" s="4">
        <v>9</v>
      </c>
      <c r="AL791" s="4">
        <v>3</v>
      </c>
      <c r="AM791" s="4">
        <v>3</v>
      </c>
      <c r="AN791" s="4">
        <v>0</v>
      </c>
      <c r="AO791" s="4">
        <v>0</v>
      </c>
      <c r="AP791" s="3" t="s">
        <v>58</v>
      </c>
      <c r="AQ791" s="3" t="s">
        <v>58</v>
      </c>
      <c r="AS791" s="6" t="str">
        <f>HYPERLINK("https://creighton-primo.hosted.exlibrisgroup.com/primo-explore/search?tab=default_tab&amp;search_scope=EVERYTHING&amp;vid=01CRU&amp;lang=en_US&amp;offset=0&amp;query=any,contains,991000673129702656","Catalog Record")</f>
        <v>Catalog Record</v>
      </c>
      <c r="AT791" s="6" t="str">
        <f>HYPERLINK("http://www.worldcat.org/oclc/12341551","WorldCat Record")</f>
        <v>WorldCat Record</v>
      </c>
      <c r="AU791" s="3" t="s">
        <v>10354</v>
      </c>
      <c r="AV791" s="3" t="s">
        <v>10355</v>
      </c>
      <c r="AW791" s="3" t="s">
        <v>10356</v>
      </c>
      <c r="AX791" s="3" t="s">
        <v>10356</v>
      </c>
      <c r="AY791" s="3" t="s">
        <v>10357</v>
      </c>
      <c r="AZ791" s="3" t="s">
        <v>74</v>
      </c>
      <c r="BB791" s="3" t="s">
        <v>10358</v>
      </c>
      <c r="BC791" s="3" t="s">
        <v>10359</v>
      </c>
      <c r="BD791" s="3" t="s">
        <v>10360</v>
      </c>
    </row>
    <row r="792" spans="1:56" ht="42.75" customHeight="1" x14ac:dyDescent="0.25">
      <c r="A792" s="7" t="s">
        <v>58</v>
      </c>
      <c r="B792" s="2" t="s">
        <v>10361</v>
      </c>
      <c r="C792" s="2" t="s">
        <v>10362</v>
      </c>
      <c r="D792" s="2" t="s">
        <v>10363</v>
      </c>
      <c r="F792" s="3" t="s">
        <v>58</v>
      </c>
      <c r="G792" s="3" t="s">
        <v>59</v>
      </c>
      <c r="H792" s="3" t="s">
        <v>58</v>
      </c>
      <c r="I792" s="3" t="s">
        <v>58</v>
      </c>
      <c r="J792" s="3" t="s">
        <v>60</v>
      </c>
      <c r="K792" s="2" t="s">
        <v>10364</v>
      </c>
      <c r="L792" s="2" t="s">
        <v>10365</v>
      </c>
      <c r="M792" s="3" t="s">
        <v>3914</v>
      </c>
      <c r="O792" s="3" t="s">
        <v>64</v>
      </c>
      <c r="P792" s="3" t="s">
        <v>208</v>
      </c>
      <c r="R792" s="3" t="s">
        <v>67</v>
      </c>
      <c r="S792" s="4">
        <v>3</v>
      </c>
      <c r="T792" s="4">
        <v>3</v>
      </c>
      <c r="U792" s="5" t="s">
        <v>10366</v>
      </c>
      <c r="V792" s="5" t="s">
        <v>10366</v>
      </c>
      <c r="W792" s="5" t="s">
        <v>10367</v>
      </c>
      <c r="X792" s="5" t="s">
        <v>10367</v>
      </c>
      <c r="Y792" s="4">
        <v>265</v>
      </c>
      <c r="Z792" s="4">
        <v>215</v>
      </c>
      <c r="AA792" s="4">
        <v>217</v>
      </c>
      <c r="AB792" s="4">
        <v>4</v>
      </c>
      <c r="AC792" s="4">
        <v>4</v>
      </c>
      <c r="AD792" s="4">
        <v>7</v>
      </c>
      <c r="AE792" s="4">
        <v>7</v>
      </c>
      <c r="AF792" s="4">
        <v>1</v>
      </c>
      <c r="AG792" s="4">
        <v>1</v>
      </c>
      <c r="AH792" s="4">
        <v>2</v>
      </c>
      <c r="AI792" s="4">
        <v>2</v>
      </c>
      <c r="AJ792" s="4">
        <v>3</v>
      </c>
      <c r="AK792" s="4">
        <v>3</v>
      </c>
      <c r="AL792" s="4">
        <v>3</v>
      </c>
      <c r="AM792" s="4">
        <v>3</v>
      </c>
      <c r="AN792" s="4">
        <v>0</v>
      </c>
      <c r="AO792" s="4">
        <v>0</v>
      </c>
      <c r="AP792" s="3" t="s">
        <v>58</v>
      </c>
      <c r="AQ792" s="3" t="s">
        <v>86</v>
      </c>
      <c r="AR792" s="6" t="str">
        <f>HYPERLINK("http://catalog.hathitrust.org/Record/000724268","HathiTrust Record")</f>
        <v>HathiTrust Record</v>
      </c>
      <c r="AS792" s="6" t="str">
        <f>HYPERLINK("https://creighton-primo.hosted.exlibrisgroup.com/primo-explore/search?tab=default_tab&amp;search_scope=EVERYTHING&amp;vid=01CRU&amp;lang=en_US&amp;offset=0&amp;query=any,contains,991004090699702656","Catalog Record")</f>
        <v>Catalog Record</v>
      </c>
      <c r="AT792" s="6" t="str">
        <f>HYPERLINK("http://www.worldcat.org/oclc/2345593","WorldCat Record")</f>
        <v>WorldCat Record</v>
      </c>
      <c r="AU792" s="3" t="s">
        <v>10368</v>
      </c>
      <c r="AV792" s="3" t="s">
        <v>10369</v>
      </c>
      <c r="AW792" s="3" t="s">
        <v>10370</v>
      </c>
      <c r="AX792" s="3" t="s">
        <v>10370</v>
      </c>
      <c r="AY792" s="3" t="s">
        <v>10371</v>
      </c>
      <c r="AZ792" s="3" t="s">
        <v>74</v>
      </c>
      <c r="BB792" s="3" t="s">
        <v>10372</v>
      </c>
      <c r="BC792" s="3" t="s">
        <v>10373</v>
      </c>
      <c r="BD792" s="3" t="s">
        <v>10374</v>
      </c>
    </row>
    <row r="793" spans="1:56" ht="42.75" customHeight="1" x14ac:dyDescent="0.25">
      <c r="A793" s="7" t="s">
        <v>58</v>
      </c>
      <c r="B793" s="2" t="s">
        <v>10375</v>
      </c>
      <c r="C793" s="2" t="s">
        <v>10376</v>
      </c>
      <c r="D793" s="2" t="s">
        <v>10377</v>
      </c>
      <c r="F793" s="3" t="s">
        <v>58</v>
      </c>
      <c r="G793" s="3" t="s">
        <v>59</v>
      </c>
      <c r="H793" s="3" t="s">
        <v>58</v>
      </c>
      <c r="I793" s="3" t="s">
        <v>58</v>
      </c>
      <c r="J793" s="3" t="s">
        <v>60</v>
      </c>
      <c r="K793" s="2" t="s">
        <v>10378</v>
      </c>
      <c r="L793" s="2" t="s">
        <v>10379</v>
      </c>
      <c r="M793" s="3" t="s">
        <v>344</v>
      </c>
      <c r="O793" s="3" t="s">
        <v>64</v>
      </c>
      <c r="P793" s="3" t="s">
        <v>99</v>
      </c>
      <c r="R793" s="3" t="s">
        <v>67</v>
      </c>
      <c r="S793" s="4">
        <v>10</v>
      </c>
      <c r="T793" s="4">
        <v>10</v>
      </c>
      <c r="U793" s="5" t="s">
        <v>10380</v>
      </c>
      <c r="V793" s="5" t="s">
        <v>10380</v>
      </c>
      <c r="W793" s="5" t="s">
        <v>10381</v>
      </c>
      <c r="X793" s="5" t="s">
        <v>10381</v>
      </c>
      <c r="Y793" s="4">
        <v>48</v>
      </c>
      <c r="Z793" s="4">
        <v>39</v>
      </c>
      <c r="AA793" s="4">
        <v>259</v>
      </c>
      <c r="AB793" s="4">
        <v>1</v>
      </c>
      <c r="AC793" s="4">
        <v>2</v>
      </c>
      <c r="AD793" s="4">
        <v>0</v>
      </c>
      <c r="AE793" s="4">
        <v>13</v>
      </c>
      <c r="AF793" s="4">
        <v>0</v>
      </c>
      <c r="AG793" s="4">
        <v>7</v>
      </c>
      <c r="AH793" s="4">
        <v>0</v>
      </c>
      <c r="AI793" s="4">
        <v>2</v>
      </c>
      <c r="AJ793" s="4">
        <v>0</v>
      </c>
      <c r="AK793" s="4">
        <v>8</v>
      </c>
      <c r="AL793" s="4">
        <v>0</v>
      </c>
      <c r="AM793" s="4">
        <v>1</v>
      </c>
      <c r="AN793" s="4">
        <v>0</v>
      </c>
      <c r="AO793" s="4">
        <v>0</v>
      </c>
      <c r="AP793" s="3" t="s">
        <v>58</v>
      </c>
      <c r="AQ793" s="3" t="s">
        <v>58</v>
      </c>
      <c r="AS793" s="6" t="str">
        <f>HYPERLINK("https://creighton-primo.hosted.exlibrisgroup.com/primo-explore/search?tab=default_tab&amp;search_scope=EVERYTHING&amp;vid=01CRU&amp;lang=en_US&amp;offset=0&amp;query=any,contains,991000334069702656","Catalog Record")</f>
        <v>Catalog Record</v>
      </c>
      <c r="AT793" s="6" t="str">
        <f>HYPERLINK("http://www.worldcat.org/oclc/10218249","WorldCat Record")</f>
        <v>WorldCat Record</v>
      </c>
      <c r="AU793" s="3" t="s">
        <v>10382</v>
      </c>
      <c r="AV793" s="3" t="s">
        <v>10383</v>
      </c>
      <c r="AW793" s="3" t="s">
        <v>10384</v>
      </c>
      <c r="AX793" s="3" t="s">
        <v>10384</v>
      </c>
      <c r="AY793" s="3" t="s">
        <v>10385</v>
      </c>
      <c r="AZ793" s="3" t="s">
        <v>74</v>
      </c>
      <c r="BC793" s="3" t="s">
        <v>10386</v>
      </c>
      <c r="BD793" s="3" t="s">
        <v>10387</v>
      </c>
    </row>
    <row r="794" spans="1:56" ht="42.75" customHeight="1" x14ac:dyDescent="0.25">
      <c r="A794" s="7" t="s">
        <v>58</v>
      </c>
      <c r="B794" s="2" t="s">
        <v>10388</v>
      </c>
      <c r="C794" s="2" t="s">
        <v>10389</v>
      </c>
      <c r="D794" s="2" t="s">
        <v>10390</v>
      </c>
      <c r="F794" s="3" t="s">
        <v>58</v>
      </c>
      <c r="G794" s="3" t="s">
        <v>59</v>
      </c>
      <c r="H794" s="3" t="s">
        <v>58</v>
      </c>
      <c r="I794" s="3" t="s">
        <v>58</v>
      </c>
      <c r="J794" s="3" t="s">
        <v>60</v>
      </c>
      <c r="L794" s="2" t="s">
        <v>10391</v>
      </c>
      <c r="M794" s="3" t="s">
        <v>344</v>
      </c>
      <c r="O794" s="3" t="s">
        <v>64</v>
      </c>
      <c r="P794" s="3" t="s">
        <v>10392</v>
      </c>
      <c r="R794" s="3" t="s">
        <v>67</v>
      </c>
      <c r="S794" s="4">
        <v>3</v>
      </c>
      <c r="T794" s="4">
        <v>3</v>
      </c>
      <c r="U794" s="5" t="s">
        <v>10312</v>
      </c>
      <c r="V794" s="5" t="s">
        <v>10312</v>
      </c>
      <c r="W794" s="5" t="s">
        <v>4730</v>
      </c>
      <c r="X794" s="5" t="s">
        <v>4730</v>
      </c>
      <c r="Y794" s="4">
        <v>123</v>
      </c>
      <c r="Z794" s="4">
        <v>89</v>
      </c>
      <c r="AA794" s="4">
        <v>89</v>
      </c>
      <c r="AB794" s="4">
        <v>2</v>
      </c>
      <c r="AC794" s="4">
        <v>2</v>
      </c>
      <c r="AD794" s="4">
        <v>5</v>
      </c>
      <c r="AE794" s="4">
        <v>5</v>
      </c>
      <c r="AF794" s="4">
        <v>1</v>
      </c>
      <c r="AG794" s="4">
        <v>1</v>
      </c>
      <c r="AH794" s="4">
        <v>1</v>
      </c>
      <c r="AI794" s="4">
        <v>1</v>
      </c>
      <c r="AJ794" s="4">
        <v>3</v>
      </c>
      <c r="AK794" s="4">
        <v>3</v>
      </c>
      <c r="AL794" s="4">
        <v>1</v>
      </c>
      <c r="AM794" s="4">
        <v>1</v>
      </c>
      <c r="AN794" s="4">
        <v>0</v>
      </c>
      <c r="AO794" s="4">
        <v>0</v>
      </c>
      <c r="AP794" s="3" t="s">
        <v>58</v>
      </c>
      <c r="AQ794" s="3" t="s">
        <v>58</v>
      </c>
      <c r="AS794" s="6" t="str">
        <f>HYPERLINK("https://creighton-primo.hosted.exlibrisgroup.com/primo-explore/search?tab=default_tab&amp;search_scope=EVERYTHING&amp;vid=01CRU&amp;lang=en_US&amp;offset=0&amp;query=any,contains,991005093529702656","Catalog Record")</f>
        <v>Catalog Record</v>
      </c>
      <c r="AT794" s="6" t="str">
        <f>HYPERLINK("http://www.worldcat.org/oclc/7252188","WorldCat Record")</f>
        <v>WorldCat Record</v>
      </c>
      <c r="AU794" s="3" t="s">
        <v>10393</v>
      </c>
      <c r="AV794" s="3" t="s">
        <v>10394</v>
      </c>
      <c r="AW794" s="3" t="s">
        <v>10395</v>
      </c>
      <c r="AX794" s="3" t="s">
        <v>10395</v>
      </c>
      <c r="AY794" s="3" t="s">
        <v>10396</v>
      </c>
      <c r="AZ794" s="3" t="s">
        <v>74</v>
      </c>
      <c r="BB794" s="3" t="s">
        <v>10397</v>
      </c>
      <c r="BC794" s="3" t="s">
        <v>10398</v>
      </c>
      <c r="BD794" s="3" t="s">
        <v>10399</v>
      </c>
    </row>
    <row r="795" spans="1:56" ht="42.75" customHeight="1" x14ac:dyDescent="0.25">
      <c r="A795" s="7" t="s">
        <v>58</v>
      </c>
      <c r="B795" s="2" t="s">
        <v>10400</v>
      </c>
      <c r="C795" s="2" t="s">
        <v>10401</v>
      </c>
      <c r="D795" s="2" t="s">
        <v>10402</v>
      </c>
      <c r="F795" s="3" t="s">
        <v>58</v>
      </c>
      <c r="G795" s="3" t="s">
        <v>59</v>
      </c>
      <c r="H795" s="3" t="s">
        <v>58</v>
      </c>
      <c r="I795" s="3" t="s">
        <v>58</v>
      </c>
      <c r="J795" s="3" t="s">
        <v>60</v>
      </c>
      <c r="K795" s="2" t="s">
        <v>10403</v>
      </c>
      <c r="L795" s="2" t="s">
        <v>10404</v>
      </c>
      <c r="M795" s="3" t="s">
        <v>737</v>
      </c>
      <c r="O795" s="3" t="s">
        <v>64</v>
      </c>
      <c r="P795" s="3" t="s">
        <v>115</v>
      </c>
      <c r="R795" s="3" t="s">
        <v>67</v>
      </c>
      <c r="S795" s="4">
        <v>7</v>
      </c>
      <c r="T795" s="4">
        <v>7</v>
      </c>
      <c r="U795" s="5" t="s">
        <v>10062</v>
      </c>
      <c r="V795" s="5" t="s">
        <v>10062</v>
      </c>
      <c r="W795" s="5" t="s">
        <v>10405</v>
      </c>
      <c r="X795" s="5" t="s">
        <v>10405</v>
      </c>
      <c r="Y795" s="4">
        <v>27</v>
      </c>
      <c r="Z795" s="4">
        <v>21</v>
      </c>
      <c r="AA795" s="4">
        <v>21</v>
      </c>
      <c r="AB795" s="4">
        <v>1</v>
      </c>
      <c r="AC795" s="4">
        <v>1</v>
      </c>
      <c r="AD795" s="4">
        <v>0</v>
      </c>
      <c r="AE795" s="4">
        <v>0</v>
      </c>
      <c r="AF795" s="4">
        <v>0</v>
      </c>
      <c r="AG795" s="4">
        <v>0</v>
      </c>
      <c r="AH795" s="4">
        <v>0</v>
      </c>
      <c r="AI795" s="4">
        <v>0</v>
      </c>
      <c r="AJ795" s="4">
        <v>0</v>
      </c>
      <c r="AK795" s="4">
        <v>0</v>
      </c>
      <c r="AL795" s="4">
        <v>0</v>
      </c>
      <c r="AM795" s="4">
        <v>0</v>
      </c>
      <c r="AN795" s="4">
        <v>0</v>
      </c>
      <c r="AO795" s="4">
        <v>0</v>
      </c>
      <c r="AP795" s="3" t="s">
        <v>58</v>
      </c>
      <c r="AQ795" s="3" t="s">
        <v>58</v>
      </c>
      <c r="AS795" s="6" t="str">
        <f>HYPERLINK("https://creighton-primo.hosted.exlibrisgroup.com/primo-explore/search?tab=default_tab&amp;search_scope=EVERYTHING&amp;vid=01CRU&amp;lang=en_US&amp;offset=0&amp;query=any,contains,991002399709702656","Catalog Record")</f>
        <v>Catalog Record</v>
      </c>
      <c r="AT795" s="6" t="str">
        <f>HYPERLINK("http://www.worldcat.org/oclc/31183905","WorldCat Record")</f>
        <v>WorldCat Record</v>
      </c>
      <c r="AU795" s="3" t="s">
        <v>10406</v>
      </c>
      <c r="AV795" s="3" t="s">
        <v>10407</v>
      </c>
      <c r="AW795" s="3" t="s">
        <v>10408</v>
      </c>
      <c r="AX795" s="3" t="s">
        <v>10408</v>
      </c>
      <c r="AY795" s="3" t="s">
        <v>10409</v>
      </c>
      <c r="AZ795" s="3" t="s">
        <v>74</v>
      </c>
      <c r="BB795" s="3" t="s">
        <v>10410</v>
      </c>
      <c r="BC795" s="3" t="s">
        <v>10411</v>
      </c>
      <c r="BD795" s="3" t="s">
        <v>10412</v>
      </c>
    </row>
    <row r="796" spans="1:56" ht="42.75" customHeight="1" x14ac:dyDescent="0.25">
      <c r="A796" s="7" t="s">
        <v>58</v>
      </c>
      <c r="B796" s="2" t="s">
        <v>10413</v>
      </c>
      <c r="C796" s="2" t="s">
        <v>10414</v>
      </c>
      <c r="D796" s="2" t="s">
        <v>10415</v>
      </c>
      <c r="F796" s="3" t="s">
        <v>58</v>
      </c>
      <c r="G796" s="3" t="s">
        <v>59</v>
      </c>
      <c r="H796" s="3" t="s">
        <v>58</v>
      </c>
      <c r="I796" s="3" t="s">
        <v>58</v>
      </c>
      <c r="J796" s="3" t="s">
        <v>60</v>
      </c>
      <c r="K796" s="2" t="s">
        <v>10416</v>
      </c>
      <c r="L796" s="2" t="s">
        <v>8404</v>
      </c>
      <c r="M796" s="3" t="s">
        <v>82</v>
      </c>
      <c r="N796" s="2" t="s">
        <v>1736</v>
      </c>
      <c r="O796" s="3" t="s">
        <v>64</v>
      </c>
      <c r="P796" s="3" t="s">
        <v>115</v>
      </c>
      <c r="R796" s="3" t="s">
        <v>67</v>
      </c>
      <c r="S796" s="4">
        <v>5</v>
      </c>
      <c r="T796" s="4">
        <v>5</v>
      </c>
      <c r="U796" s="5" t="s">
        <v>10417</v>
      </c>
      <c r="V796" s="5" t="s">
        <v>10417</v>
      </c>
      <c r="W796" s="5" t="s">
        <v>10340</v>
      </c>
      <c r="X796" s="5" t="s">
        <v>10340</v>
      </c>
      <c r="Y796" s="4">
        <v>508</v>
      </c>
      <c r="Z796" s="4">
        <v>435</v>
      </c>
      <c r="AA796" s="4">
        <v>440</v>
      </c>
      <c r="AB796" s="4">
        <v>4</v>
      </c>
      <c r="AC796" s="4">
        <v>4</v>
      </c>
      <c r="AD796" s="4">
        <v>21</v>
      </c>
      <c r="AE796" s="4">
        <v>21</v>
      </c>
      <c r="AF796" s="4">
        <v>10</v>
      </c>
      <c r="AG796" s="4">
        <v>10</v>
      </c>
      <c r="AH796" s="4">
        <v>2</v>
      </c>
      <c r="AI796" s="4">
        <v>2</v>
      </c>
      <c r="AJ796" s="4">
        <v>11</v>
      </c>
      <c r="AK796" s="4">
        <v>11</v>
      </c>
      <c r="AL796" s="4">
        <v>3</v>
      </c>
      <c r="AM796" s="4">
        <v>3</v>
      </c>
      <c r="AN796" s="4">
        <v>0</v>
      </c>
      <c r="AO796" s="4">
        <v>0</v>
      </c>
      <c r="AP796" s="3" t="s">
        <v>58</v>
      </c>
      <c r="AQ796" s="3" t="s">
        <v>58</v>
      </c>
      <c r="AS796" s="6" t="str">
        <f>HYPERLINK("https://creighton-primo.hosted.exlibrisgroup.com/primo-explore/search?tab=default_tab&amp;search_scope=EVERYTHING&amp;vid=01CRU&amp;lang=en_US&amp;offset=0&amp;query=any,contains,991000977459702656","Catalog Record")</f>
        <v>Catalog Record</v>
      </c>
      <c r="AT796" s="6" t="str">
        <f>HYPERLINK("http://www.worldcat.org/oclc/15016850","WorldCat Record")</f>
        <v>WorldCat Record</v>
      </c>
      <c r="AU796" s="3" t="s">
        <v>10418</v>
      </c>
      <c r="AV796" s="3" t="s">
        <v>10419</v>
      </c>
      <c r="AW796" s="3" t="s">
        <v>10420</v>
      </c>
      <c r="AX796" s="3" t="s">
        <v>10420</v>
      </c>
      <c r="AY796" s="3" t="s">
        <v>10421</v>
      </c>
      <c r="AZ796" s="3" t="s">
        <v>74</v>
      </c>
      <c r="BB796" s="3" t="s">
        <v>10422</v>
      </c>
      <c r="BC796" s="3" t="s">
        <v>10423</v>
      </c>
      <c r="BD796" s="3" t="s">
        <v>10424</v>
      </c>
    </row>
    <row r="797" spans="1:56" ht="42.75" customHeight="1" x14ac:dyDescent="0.25">
      <c r="A797" s="7" t="s">
        <v>58</v>
      </c>
      <c r="B797" s="2" t="s">
        <v>10425</v>
      </c>
      <c r="C797" s="2" t="s">
        <v>10426</v>
      </c>
      <c r="D797" s="2" t="s">
        <v>10427</v>
      </c>
      <c r="F797" s="3" t="s">
        <v>58</v>
      </c>
      <c r="G797" s="3" t="s">
        <v>59</v>
      </c>
      <c r="H797" s="3" t="s">
        <v>58</v>
      </c>
      <c r="I797" s="3" t="s">
        <v>58</v>
      </c>
      <c r="J797" s="3" t="s">
        <v>60</v>
      </c>
      <c r="L797" s="2" t="s">
        <v>10137</v>
      </c>
      <c r="M797" s="3" t="s">
        <v>98</v>
      </c>
      <c r="N797" s="2" t="s">
        <v>1736</v>
      </c>
      <c r="O797" s="3" t="s">
        <v>64</v>
      </c>
      <c r="P797" s="3" t="s">
        <v>115</v>
      </c>
      <c r="R797" s="3" t="s">
        <v>67</v>
      </c>
      <c r="S797" s="4">
        <v>4</v>
      </c>
      <c r="T797" s="4">
        <v>4</v>
      </c>
      <c r="U797" s="5" t="s">
        <v>10428</v>
      </c>
      <c r="V797" s="5" t="s">
        <v>10428</v>
      </c>
      <c r="W797" s="5" t="s">
        <v>10429</v>
      </c>
      <c r="X797" s="5" t="s">
        <v>10429</v>
      </c>
      <c r="Y797" s="4">
        <v>415</v>
      </c>
      <c r="Z797" s="4">
        <v>337</v>
      </c>
      <c r="AA797" s="4">
        <v>402</v>
      </c>
      <c r="AB797" s="4">
        <v>2</v>
      </c>
      <c r="AC797" s="4">
        <v>3</v>
      </c>
      <c r="AD797" s="4">
        <v>15</v>
      </c>
      <c r="AE797" s="4">
        <v>20</v>
      </c>
      <c r="AF797" s="4">
        <v>6</v>
      </c>
      <c r="AG797" s="4">
        <v>9</v>
      </c>
      <c r="AH797" s="4">
        <v>2</v>
      </c>
      <c r="AI797" s="4">
        <v>2</v>
      </c>
      <c r="AJ797" s="4">
        <v>9</v>
      </c>
      <c r="AK797" s="4">
        <v>12</v>
      </c>
      <c r="AL797" s="4">
        <v>1</v>
      </c>
      <c r="AM797" s="4">
        <v>2</v>
      </c>
      <c r="AN797" s="4">
        <v>0</v>
      </c>
      <c r="AO797" s="4">
        <v>0</v>
      </c>
      <c r="AP797" s="3" t="s">
        <v>58</v>
      </c>
      <c r="AQ797" s="3" t="s">
        <v>58</v>
      </c>
      <c r="AS797" s="6" t="str">
        <f>HYPERLINK("https://creighton-primo.hosted.exlibrisgroup.com/primo-explore/search?tab=default_tab&amp;search_scope=EVERYTHING&amp;vid=01CRU&amp;lang=en_US&amp;offset=0&amp;query=any,contains,991001303169702656","Catalog Record")</f>
        <v>Catalog Record</v>
      </c>
      <c r="AT797" s="6" t="str">
        <f>HYPERLINK("http://www.worldcat.org/oclc/18072241","WorldCat Record")</f>
        <v>WorldCat Record</v>
      </c>
      <c r="AU797" s="3" t="s">
        <v>10430</v>
      </c>
      <c r="AV797" s="3" t="s">
        <v>10431</v>
      </c>
      <c r="AW797" s="3" t="s">
        <v>10432</v>
      </c>
      <c r="AX797" s="3" t="s">
        <v>10432</v>
      </c>
      <c r="AY797" s="3" t="s">
        <v>10433</v>
      </c>
      <c r="AZ797" s="3" t="s">
        <v>74</v>
      </c>
      <c r="BB797" s="3" t="s">
        <v>10434</v>
      </c>
      <c r="BC797" s="3" t="s">
        <v>10435</v>
      </c>
      <c r="BD797" s="3" t="s">
        <v>10436</v>
      </c>
    </row>
    <row r="798" spans="1:56" ht="42.75" customHeight="1" x14ac:dyDescent="0.25">
      <c r="A798" s="7" t="s">
        <v>58</v>
      </c>
      <c r="B798" s="2" t="s">
        <v>10437</v>
      </c>
      <c r="C798" s="2" t="s">
        <v>10438</v>
      </c>
      <c r="D798" s="2" t="s">
        <v>10439</v>
      </c>
      <c r="F798" s="3" t="s">
        <v>58</v>
      </c>
      <c r="G798" s="3" t="s">
        <v>59</v>
      </c>
      <c r="H798" s="3" t="s">
        <v>58</v>
      </c>
      <c r="I798" s="3" t="s">
        <v>58</v>
      </c>
      <c r="J798" s="3" t="s">
        <v>60</v>
      </c>
      <c r="K798" s="2" t="s">
        <v>10440</v>
      </c>
      <c r="L798" s="2" t="s">
        <v>10441</v>
      </c>
      <c r="M798" s="3" t="s">
        <v>3914</v>
      </c>
      <c r="O798" s="3" t="s">
        <v>64</v>
      </c>
      <c r="P798" s="3" t="s">
        <v>115</v>
      </c>
      <c r="R798" s="3" t="s">
        <v>67</v>
      </c>
      <c r="S798" s="4">
        <v>8</v>
      </c>
      <c r="T798" s="4">
        <v>8</v>
      </c>
      <c r="U798" s="5" t="s">
        <v>9925</v>
      </c>
      <c r="V798" s="5" t="s">
        <v>9925</v>
      </c>
      <c r="W798" s="5" t="s">
        <v>4730</v>
      </c>
      <c r="X798" s="5" t="s">
        <v>4730</v>
      </c>
      <c r="Y798" s="4">
        <v>617</v>
      </c>
      <c r="Z798" s="4">
        <v>529</v>
      </c>
      <c r="AA798" s="4">
        <v>560</v>
      </c>
      <c r="AB798" s="4">
        <v>3</v>
      </c>
      <c r="AC798" s="4">
        <v>3</v>
      </c>
      <c r="AD798" s="4">
        <v>18</v>
      </c>
      <c r="AE798" s="4">
        <v>20</v>
      </c>
      <c r="AF798" s="4">
        <v>6</v>
      </c>
      <c r="AG798" s="4">
        <v>8</v>
      </c>
      <c r="AH798" s="4">
        <v>5</v>
      </c>
      <c r="AI798" s="4">
        <v>5</v>
      </c>
      <c r="AJ798" s="4">
        <v>11</v>
      </c>
      <c r="AK798" s="4">
        <v>12</v>
      </c>
      <c r="AL798" s="4">
        <v>2</v>
      </c>
      <c r="AM798" s="4">
        <v>2</v>
      </c>
      <c r="AN798" s="4">
        <v>0</v>
      </c>
      <c r="AO798" s="4">
        <v>0</v>
      </c>
      <c r="AP798" s="3" t="s">
        <v>58</v>
      </c>
      <c r="AQ798" s="3" t="s">
        <v>86</v>
      </c>
      <c r="AR798" s="6" t="str">
        <f>HYPERLINK("http://catalog.hathitrust.org/Record/000741632","HathiTrust Record")</f>
        <v>HathiTrust Record</v>
      </c>
      <c r="AS798" s="6" t="str">
        <f>HYPERLINK("https://creighton-primo.hosted.exlibrisgroup.com/primo-explore/search?tab=default_tab&amp;search_scope=EVERYTHING&amp;vid=01CRU&amp;lang=en_US&amp;offset=0&amp;query=any,contains,991004086559702656","Catalog Record")</f>
        <v>Catalog Record</v>
      </c>
      <c r="AT798" s="6" t="str">
        <f>HYPERLINK("http://www.worldcat.org/oclc/2332218","WorldCat Record")</f>
        <v>WorldCat Record</v>
      </c>
      <c r="AU798" s="3" t="s">
        <v>10442</v>
      </c>
      <c r="AV798" s="3" t="s">
        <v>10443</v>
      </c>
      <c r="AW798" s="3" t="s">
        <v>10444</v>
      </c>
      <c r="AX798" s="3" t="s">
        <v>10444</v>
      </c>
      <c r="AY798" s="3" t="s">
        <v>10445</v>
      </c>
      <c r="AZ798" s="3" t="s">
        <v>74</v>
      </c>
      <c r="BB798" s="3" t="s">
        <v>10446</v>
      </c>
      <c r="BC798" s="3" t="s">
        <v>10447</v>
      </c>
      <c r="BD798" s="3" t="s">
        <v>10448</v>
      </c>
    </row>
    <row r="799" spans="1:56" ht="42.75" customHeight="1" x14ac:dyDescent="0.25">
      <c r="A799" s="7" t="s">
        <v>58</v>
      </c>
      <c r="B799" s="2" t="s">
        <v>10449</v>
      </c>
      <c r="C799" s="2" t="s">
        <v>10450</v>
      </c>
      <c r="D799" s="2" t="s">
        <v>10451</v>
      </c>
      <c r="F799" s="3" t="s">
        <v>58</v>
      </c>
      <c r="G799" s="3" t="s">
        <v>59</v>
      </c>
      <c r="H799" s="3" t="s">
        <v>58</v>
      </c>
      <c r="I799" s="3" t="s">
        <v>58</v>
      </c>
      <c r="J799" s="3" t="s">
        <v>60</v>
      </c>
      <c r="K799" s="2" t="s">
        <v>10452</v>
      </c>
      <c r="L799" s="2" t="s">
        <v>10453</v>
      </c>
      <c r="M799" s="3" t="s">
        <v>4296</v>
      </c>
      <c r="O799" s="3" t="s">
        <v>64</v>
      </c>
      <c r="P799" s="3" t="s">
        <v>115</v>
      </c>
      <c r="R799" s="3" t="s">
        <v>67</v>
      </c>
      <c r="S799" s="4">
        <v>5</v>
      </c>
      <c r="T799" s="4">
        <v>5</v>
      </c>
      <c r="U799" s="5" t="s">
        <v>10454</v>
      </c>
      <c r="V799" s="5" t="s">
        <v>10454</v>
      </c>
      <c r="W799" s="5" t="s">
        <v>10455</v>
      </c>
      <c r="X799" s="5" t="s">
        <v>10455</v>
      </c>
      <c r="Y799" s="4">
        <v>698</v>
      </c>
      <c r="Z799" s="4">
        <v>615</v>
      </c>
      <c r="AA799" s="4">
        <v>768</v>
      </c>
      <c r="AB799" s="4">
        <v>6</v>
      </c>
      <c r="AC799" s="4">
        <v>6</v>
      </c>
      <c r="AD799" s="4">
        <v>21</v>
      </c>
      <c r="AE799" s="4">
        <v>28</v>
      </c>
      <c r="AF799" s="4">
        <v>8</v>
      </c>
      <c r="AG799" s="4">
        <v>13</v>
      </c>
      <c r="AH799" s="4">
        <v>4</v>
      </c>
      <c r="AI799" s="4">
        <v>6</v>
      </c>
      <c r="AJ799" s="4">
        <v>11</v>
      </c>
      <c r="AK799" s="4">
        <v>15</v>
      </c>
      <c r="AL799" s="4">
        <v>3</v>
      </c>
      <c r="AM799" s="4">
        <v>3</v>
      </c>
      <c r="AN799" s="4">
        <v>0</v>
      </c>
      <c r="AO799" s="4">
        <v>0</v>
      </c>
      <c r="AP799" s="3" t="s">
        <v>58</v>
      </c>
      <c r="AQ799" s="3" t="s">
        <v>86</v>
      </c>
      <c r="AR799" s="6" t="str">
        <f>HYPERLINK("http://catalog.hathitrust.org/Record/000716794","HathiTrust Record")</f>
        <v>HathiTrust Record</v>
      </c>
      <c r="AS799" s="6" t="str">
        <f>HYPERLINK("https://creighton-primo.hosted.exlibrisgroup.com/primo-explore/search?tab=default_tab&amp;search_scope=EVERYTHING&amp;vid=01CRU&amp;lang=en_US&amp;offset=0&amp;query=any,contains,991003960729702656","Catalog Record")</f>
        <v>Catalog Record</v>
      </c>
      <c r="AT799" s="6" t="str">
        <f>HYPERLINK("http://www.worldcat.org/oclc/1975051","WorldCat Record")</f>
        <v>WorldCat Record</v>
      </c>
      <c r="AU799" s="3" t="s">
        <v>10456</v>
      </c>
      <c r="AV799" s="3" t="s">
        <v>10457</v>
      </c>
      <c r="AW799" s="3" t="s">
        <v>10458</v>
      </c>
      <c r="AX799" s="3" t="s">
        <v>10458</v>
      </c>
      <c r="AY799" s="3" t="s">
        <v>10459</v>
      </c>
      <c r="AZ799" s="3" t="s">
        <v>74</v>
      </c>
      <c r="BB799" s="3" t="s">
        <v>10460</v>
      </c>
      <c r="BC799" s="3" t="s">
        <v>10461</v>
      </c>
      <c r="BD799" s="3" t="s">
        <v>10462</v>
      </c>
    </row>
    <row r="800" spans="1:56" ht="42.75" customHeight="1" x14ac:dyDescent="0.25">
      <c r="A800" s="7" t="s">
        <v>58</v>
      </c>
      <c r="B800" s="2" t="s">
        <v>10463</v>
      </c>
      <c r="C800" s="2" t="s">
        <v>10464</v>
      </c>
      <c r="D800" s="2" t="s">
        <v>10465</v>
      </c>
      <c r="F800" s="3" t="s">
        <v>58</v>
      </c>
      <c r="G800" s="3" t="s">
        <v>59</v>
      </c>
      <c r="H800" s="3" t="s">
        <v>58</v>
      </c>
      <c r="I800" s="3" t="s">
        <v>58</v>
      </c>
      <c r="J800" s="3" t="s">
        <v>60</v>
      </c>
      <c r="K800" s="2" t="s">
        <v>10466</v>
      </c>
      <c r="L800" s="2" t="s">
        <v>10467</v>
      </c>
      <c r="M800" s="3" t="s">
        <v>114</v>
      </c>
      <c r="O800" s="3" t="s">
        <v>64</v>
      </c>
      <c r="P800" s="3" t="s">
        <v>115</v>
      </c>
      <c r="R800" s="3" t="s">
        <v>67</v>
      </c>
      <c r="S800" s="4">
        <v>7</v>
      </c>
      <c r="T800" s="4">
        <v>7</v>
      </c>
      <c r="U800" s="5" t="s">
        <v>10468</v>
      </c>
      <c r="V800" s="5" t="s">
        <v>10468</v>
      </c>
      <c r="W800" s="5" t="s">
        <v>5638</v>
      </c>
      <c r="X800" s="5" t="s">
        <v>5638</v>
      </c>
      <c r="Y800" s="4">
        <v>228</v>
      </c>
      <c r="Z800" s="4">
        <v>184</v>
      </c>
      <c r="AA800" s="4">
        <v>189</v>
      </c>
      <c r="AB800" s="4">
        <v>1</v>
      </c>
      <c r="AC800" s="4">
        <v>1</v>
      </c>
      <c r="AD800" s="4">
        <v>6</v>
      </c>
      <c r="AE800" s="4">
        <v>6</v>
      </c>
      <c r="AF800" s="4">
        <v>3</v>
      </c>
      <c r="AG800" s="4">
        <v>3</v>
      </c>
      <c r="AH800" s="4">
        <v>1</v>
      </c>
      <c r="AI800" s="4">
        <v>1</v>
      </c>
      <c r="AJ800" s="4">
        <v>5</v>
      </c>
      <c r="AK800" s="4">
        <v>5</v>
      </c>
      <c r="AL800" s="4">
        <v>0</v>
      </c>
      <c r="AM800" s="4">
        <v>0</v>
      </c>
      <c r="AN800" s="4">
        <v>0</v>
      </c>
      <c r="AO800" s="4">
        <v>0</v>
      </c>
      <c r="AP800" s="3" t="s">
        <v>58</v>
      </c>
      <c r="AQ800" s="3" t="s">
        <v>58</v>
      </c>
      <c r="AS800" s="6" t="str">
        <f>HYPERLINK("https://creighton-primo.hosted.exlibrisgroup.com/primo-explore/search?tab=default_tab&amp;search_scope=EVERYTHING&amp;vid=01CRU&amp;lang=en_US&amp;offset=0&amp;query=any,contains,991000264449702656","Catalog Record")</f>
        <v>Catalog Record</v>
      </c>
      <c r="AT800" s="6" t="str">
        <f>HYPERLINK("http://www.worldcat.org/oclc/9828347","WorldCat Record")</f>
        <v>WorldCat Record</v>
      </c>
      <c r="AU800" s="3" t="s">
        <v>10469</v>
      </c>
      <c r="AV800" s="3" t="s">
        <v>10470</v>
      </c>
      <c r="AW800" s="3" t="s">
        <v>10471</v>
      </c>
      <c r="AX800" s="3" t="s">
        <v>10471</v>
      </c>
      <c r="AY800" s="3" t="s">
        <v>10472</v>
      </c>
      <c r="AZ800" s="3" t="s">
        <v>74</v>
      </c>
      <c r="BB800" s="3" t="s">
        <v>10473</v>
      </c>
      <c r="BC800" s="3" t="s">
        <v>10474</v>
      </c>
      <c r="BD800" s="3" t="s">
        <v>10475</v>
      </c>
    </row>
    <row r="801" spans="1:56" ht="42.75" customHeight="1" x14ac:dyDescent="0.25">
      <c r="A801" s="7" t="s">
        <v>58</v>
      </c>
      <c r="B801" s="2" t="s">
        <v>10476</v>
      </c>
      <c r="C801" s="2" t="s">
        <v>10477</v>
      </c>
      <c r="D801" s="2" t="s">
        <v>10478</v>
      </c>
      <c r="F801" s="3" t="s">
        <v>58</v>
      </c>
      <c r="G801" s="3" t="s">
        <v>59</v>
      </c>
      <c r="H801" s="3" t="s">
        <v>58</v>
      </c>
      <c r="I801" s="3" t="s">
        <v>58</v>
      </c>
      <c r="J801" s="3" t="s">
        <v>60</v>
      </c>
      <c r="L801" s="2" t="s">
        <v>10479</v>
      </c>
      <c r="M801" s="3" t="s">
        <v>695</v>
      </c>
      <c r="N801" s="2" t="s">
        <v>1736</v>
      </c>
      <c r="O801" s="3" t="s">
        <v>64</v>
      </c>
      <c r="P801" s="3" t="s">
        <v>115</v>
      </c>
      <c r="R801" s="3" t="s">
        <v>67</v>
      </c>
      <c r="S801" s="4">
        <v>4</v>
      </c>
      <c r="T801" s="4">
        <v>4</v>
      </c>
      <c r="U801" s="5" t="s">
        <v>10480</v>
      </c>
      <c r="V801" s="5" t="s">
        <v>10480</v>
      </c>
      <c r="W801" s="5" t="s">
        <v>10481</v>
      </c>
      <c r="X801" s="5" t="s">
        <v>10481</v>
      </c>
      <c r="Y801" s="4">
        <v>378</v>
      </c>
      <c r="Z801" s="4">
        <v>296</v>
      </c>
      <c r="AA801" s="4">
        <v>299</v>
      </c>
      <c r="AB801" s="4">
        <v>3</v>
      </c>
      <c r="AC801" s="4">
        <v>3</v>
      </c>
      <c r="AD801" s="4">
        <v>20</v>
      </c>
      <c r="AE801" s="4">
        <v>20</v>
      </c>
      <c r="AF801" s="4">
        <v>10</v>
      </c>
      <c r="AG801" s="4">
        <v>10</v>
      </c>
      <c r="AH801" s="4">
        <v>2</v>
      </c>
      <c r="AI801" s="4">
        <v>2</v>
      </c>
      <c r="AJ801" s="4">
        <v>10</v>
      </c>
      <c r="AK801" s="4">
        <v>10</v>
      </c>
      <c r="AL801" s="4">
        <v>2</v>
      </c>
      <c r="AM801" s="4">
        <v>2</v>
      </c>
      <c r="AN801" s="4">
        <v>1</v>
      </c>
      <c r="AO801" s="4">
        <v>1</v>
      </c>
      <c r="AP801" s="3" t="s">
        <v>58</v>
      </c>
      <c r="AQ801" s="3" t="s">
        <v>58</v>
      </c>
      <c r="AS801" s="6" t="str">
        <f>HYPERLINK("https://creighton-primo.hosted.exlibrisgroup.com/primo-explore/search?tab=default_tab&amp;search_scope=EVERYTHING&amp;vid=01CRU&amp;lang=en_US&amp;offset=0&amp;query=any,contains,991002061999702656","Catalog Record")</f>
        <v>Catalog Record</v>
      </c>
      <c r="AT801" s="6" t="str">
        <f>HYPERLINK("http://www.worldcat.org/oclc/26396398","WorldCat Record")</f>
        <v>WorldCat Record</v>
      </c>
      <c r="AU801" s="3" t="s">
        <v>10482</v>
      </c>
      <c r="AV801" s="3" t="s">
        <v>10483</v>
      </c>
      <c r="AW801" s="3" t="s">
        <v>10484</v>
      </c>
      <c r="AX801" s="3" t="s">
        <v>10484</v>
      </c>
      <c r="AY801" s="3" t="s">
        <v>10485</v>
      </c>
      <c r="AZ801" s="3" t="s">
        <v>74</v>
      </c>
      <c r="BB801" s="3" t="s">
        <v>10486</v>
      </c>
      <c r="BC801" s="3" t="s">
        <v>10487</v>
      </c>
      <c r="BD801" s="3" t="s">
        <v>10488</v>
      </c>
    </row>
    <row r="802" spans="1:56" ht="42.75" customHeight="1" x14ac:dyDescent="0.25">
      <c r="A802" s="7" t="s">
        <v>58</v>
      </c>
      <c r="B802" s="2" t="s">
        <v>10489</v>
      </c>
      <c r="C802" s="2" t="s">
        <v>10490</v>
      </c>
      <c r="D802" s="2" t="s">
        <v>10491</v>
      </c>
      <c r="F802" s="3" t="s">
        <v>58</v>
      </c>
      <c r="G802" s="3" t="s">
        <v>59</v>
      </c>
      <c r="H802" s="3" t="s">
        <v>58</v>
      </c>
      <c r="I802" s="3" t="s">
        <v>58</v>
      </c>
      <c r="J802" s="3" t="s">
        <v>60</v>
      </c>
      <c r="K802" s="2" t="s">
        <v>10492</v>
      </c>
      <c r="L802" s="2" t="s">
        <v>10493</v>
      </c>
      <c r="M802" s="3" t="s">
        <v>2227</v>
      </c>
      <c r="O802" s="3" t="s">
        <v>64</v>
      </c>
      <c r="P802" s="3" t="s">
        <v>115</v>
      </c>
      <c r="Q802" s="2" t="s">
        <v>10494</v>
      </c>
      <c r="R802" s="3" t="s">
        <v>67</v>
      </c>
      <c r="S802" s="4">
        <v>4</v>
      </c>
      <c r="T802" s="4">
        <v>4</v>
      </c>
      <c r="U802" s="5" t="s">
        <v>10495</v>
      </c>
      <c r="V802" s="5" t="s">
        <v>10495</v>
      </c>
      <c r="W802" s="5" t="s">
        <v>10496</v>
      </c>
      <c r="X802" s="5" t="s">
        <v>10496</v>
      </c>
      <c r="Y802" s="4">
        <v>388</v>
      </c>
      <c r="Z802" s="4">
        <v>340</v>
      </c>
      <c r="AA802" s="4">
        <v>347</v>
      </c>
      <c r="AB802" s="4">
        <v>4</v>
      </c>
      <c r="AC802" s="4">
        <v>4</v>
      </c>
      <c r="AD802" s="4">
        <v>12</v>
      </c>
      <c r="AE802" s="4">
        <v>12</v>
      </c>
      <c r="AF802" s="4">
        <v>0</v>
      </c>
      <c r="AG802" s="4">
        <v>0</v>
      </c>
      <c r="AH802" s="4">
        <v>3</v>
      </c>
      <c r="AI802" s="4">
        <v>3</v>
      </c>
      <c r="AJ802" s="4">
        <v>8</v>
      </c>
      <c r="AK802" s="4">
        <v>8</v>
      </c>
      <c r="AL802" s="4">
        <v>3</v>
      </c>
      <c r="AM802" s="4">
        <v>3</v>
      </c>
      <c r="AN802" s="4">
        <v>0</v>
      </c>
      <c r="AO802" s="4">
        <v>0</v>
      </c>
      <c r="AP802" s="3" t="s">
        <v>58</v>
      </c>
      <c r="AQ802" s="3" t="s">
        <v>86</v>
      </c>
      <c r="AR802" s="6" t="str">
        <f>HYPERLINK("http://catalog.hathitrust.org/Record/000382244","HathiTrust Record")</f>
        <v>HathiTrust Record</v>
      </c>
      <c r="AS802" s="6" t="str">
        <f>HYPERLINK("https://creighton-primo.hosted.exlibrisgroup.com/primo-explore/search?tab=default_tab&amp;search_scope=EVERYTHING&amp;vid=01CRU&amp;lang=en_US&amp;offset=0&amp;query=any,contains,991000652529702656","Catalog Record")</f>
        <v>Catalog Record</v>
      </c>
      <c r="AT802" s="6" t="str">
        <f>HYPERLINK("http://www.worldcat.org/oclc/12188472","WorldCat Record")</f>
        <v>WorldCat Record</v>
      </c>
      <c r="AU802" s="3" t="s">
        <v>10497</v>
      </c>
      <c r="AV802" s="3" t="s">
        <v>10498</v>
      </c>
      <c r="AW802" s="3" t="s">
        <v>10499</v>
      </c>
      <c r="AX802" s="3" t="s">
        <v>10499</v>
      </c>
      <c r="AY802" s="3" t="s">
        <v>10500</v>
      </c>
      <c r="AZ802" s="3" t="s">
        <v>74</v>
      </c>
      <c r="BB802" s="3" t="s">
        <v>10501</v>
      </c>
      <c r="BC802" s="3" t="s">
        <v>10502</v>
      </c>
      <c r="BD802" s="3" t="s">
        <v>10503</v>
      </c>
    </row>
    <row r="803" spans="1:56" ht="42.75" customHeight="1" x14ac:dyDescent="0.25">
      <c r="A803" s="7" t="s">
        <v>58</v>
      </c>
      <c r="B803" s="2" t="s">
        <v>10504</v>
      </c>
      <c r="C803" s="2" t="s">
        <v>10505</v>
      </c>
      <c r="D803" s="2" t="s">
        <v>10506</v>
      </c>
      <c r="F803" s="3" t="s">
        <v>58</v>
      </c>
      <c r="G803" s="3" t="s">
        <v>59</v>
      </c>
      <c r="H803" s="3" t="s">
        <v>58</v>
      </c>
      <c r="I803" s="3" t="s">
        <v>58</v>
      </c>
      <c r="J803" s="3" t="s">
        <v>60</v>
      </c>
      <c r="L803" s="2" t="s">
        <v>7652</v>
      </c>
      <c r="M803" s="3" t="s">
        <v>480</v>
      </c>
      <c r="O803" s="3" t="s">
        <v>64</v>
      </c>
      <c r="P803" s="3" t="s">
        <v>115</v>
      </c>
      <c r="Q803" s="2" t="s">
        <v>10507</v>
      </c>
      <c r="R803" s="3" t="s">
        <v>67</v>
      </c>
      <c r="S803" s="4">
        <v>6</v>
      </c>
      <c r="T803" s="4">
        <v>6</v>
      </c>
      <c r="U803" s="5" t="s">
        <v>10508</v>
      </c>
      <c r="V803" s="5" t="s">
        <v>10508</v>
      </c>
      <c r="W803" s="5" t="s">
        <v>10509</v>
      </c>
      <c r="X803" s="5" t="s">
        <v>10509</v>
      </c>
      <c r="Y803" s="4">
        <v>525</v>
      </c>
      <c r="Z803" s="4">
        <v>454</v>
      </c>
      <c r="AA803" s="4">
        <v>478</v>
      </c>
      <c r="AB803" s="4">
        <v>6</v>
      </c>
      <c r="AC803" s="4">
        <v>6</v>
      </c>
      <c r="AD803" s="4">
        <v>23</v>
      </c>
      <c r="AE803" s="4">
        <v>23</v>
      </c>
      <c r="AF803" s="4">
        <v>7</v>
      </c>
      <c r="AG803" s="4">
        <v>7</v>
      </c>
      <c r="AH803" s="4">
        <v>7</v>
      </c>
      <c r="AI803" s="4">
        <v>7</v>
      </c>
      <c r="AJ803" s="4">
        <v>9</v>
      </c>
      <c r="AK803" s="4">
        <v>9</v>
      </c>
      <c r="AL803" s="4">
        <v>5</v>
      </c>
      <c r="AM803" s="4">
        <v>5</v>
      </c>
      <c r="AN803" s="4">
        <v>0</v>
      </c>
      <c r="AO803" s="4">
        <v>0</v>
      </c>
      <c r="AP803" s="3" t="s">
        <v>58</v>
      </c>
      <c r="AQ803" s="3" t="s">
        <v>58</v>
      </c>
      <c r="AS803" s="6" t="str">
        <f>HYPERLINK("https://creighton-primo.hosted.exlibrisgroup.com/primo-explore/search?tab=default_tab&amp;search_scope=EVERYTHING&amp;vid=01CRU&amp;lang=en_US&amp;offset=0&amp;query=any,contains,991001372399702656","Catalog Record")</f>
        <v>Catalog Record</v>
      </c>
      <c r="AT803" s="6" t="str">
        <f>HYPERLINK("http://www.worldcat.org/oclc/18588250","WorldCat Record")</f>
        <v>WorldCat Record</v>
      </c>
      <c r="AU803" s="3" t="s">
        <v>10510</v>
      </c>
      <c r="AV803" s="3" t="s">
        <v>10511</v>
      </c>
      <c r="AW803" s="3" t="s">
        <v>10512</v>
      </c>
      <c r="AX803" s="3" t="s">
        <v>10512</v>
      </c>
      <c r="AY803" s="3" t="s">
        <v>10513</v>
      </c>
      <c r="AZ803" s="3" t="s">
        <v>74</v>
      </c>
      <c r="BB803" s="3" t="s">
        <v>10514</v>
      </c>
      <c r="BC803" s="3" t="s">
        <v>10515</v>
      </c>
      <c r="BD803" s="3" t="s">
        <v>10516</v>
      </c>
    </row>
    <row r="804" spans="1:56" ht="42.75" customHeight="1" x14ac:dyDescent="0.25">
      <c r="A804" s="7" t="s">
        <v>58</v>
      </c>
      <c r="B804" s="2" t="s">
        <v>10517</v>
      </c>
      <c r="C804" s="2" t="s">
        <v>10518</v>
      </c>
      <c r="D804" s="2" t="s">
        <v>10519</v>
      </c>
      <c r="F804" s="3" t="s">
        <v>58</v>
      </c>
      <c r="G804" s="3" t="s">
        <v>59</v>
      </c>
      <c r="H804" s="3" t="s">
        <v>58</v>
      </c>
      <c r="I804" s="3" t="s">
        <v>58</v>
      </c>
      <c r="J804" s="3" t="s">
        <v>60</v>
      </c>
      <c r="K804" s="2" t="s">
        <v>10520</v>
      </c>
      <c r="L804" s="2" t="s">
        <v>10521</v>
      </c>
      <c r="M804" s="3" t="s">
        <v>371</v>
      </c>
      <c r="O804" s="3" t="s">
        <v>64</v>
      </c>
      <c r="P804" s="3" t="s">
        <v>115</v>
      </c>
      <c r="R804" s="3" t="s">
        <v>67</v>
      </c>
      <c r="S804" s="4">
        <v>4</v>
      </c>
      <c r="T804" s="4">
        <v>4</v>
      </c>
      <c r="U804" s="5" t="s">
        <v>10522</v>
      </c>
      <c r="V804" s="5" t="s">
        <v>10522</v>
      </c>
      <c r="W804" s="5" t="s">
        <v>4730</v>
      </c>
      <c r="X804" s="5" t="s">
        <v>4730</v>
      </c>
      <c r="Y804" s="4">
        <v>307</v>
      </c>
      <c r="Z804" s="4">
        <v>273</v>
      </c>
      <c r="AA804" s="4">
        <v>281</v>
      </c>
      <c r="AB804" s="4">
        <v>3</v>
      </c>
      <c r="AC804" s="4">
        <v>3</v>
      </c>
      <c r="AD804" s="4">
        <v>14</v>
      </c>
      <c r="AE804" s="4">
        <v>14</v>
      </c>
      <c r="AF804" s="4">
        <v>5</v>
      </c>
      <c r="AG804" s="4">
        <v>5</v>
      </c>
      <c r="AH804" s="4">
        <v>3</v>
      </c>
      <c r="AI804" s="4">
        <v>3</v>
      </c>
      <c r="AJ804" s="4">
        <v>9</v>
      </c>
      <c r="AK804" s="4">
        <v>9</v>
      </c>
      <c r="AL804" s="4">
        <v>2</v>
      </c>
      <c r="AM804" s="4">
        <v>2</v>
      </c>
      <c r="AN804" s="4">
        <v>0</v>
      </c>
      <c r="AO804" s="4">
        <v>0</v>
      </c>
      <c r="AP804" s="3" t="s">
        <v>58</v>
      </c>
      <c r="AQ804" s="3" t="s">
        <v>86</v>
      </c>
      <c r="AR804" s="6" t="str">
        <f>HYPERLINK("http://catalog.hathitrust.org/Record/007470372","HathiTrust Record")</f>
        <v>HathiTrust Record</v>
      </c>
      <c r="AS804" s="6" t="str">
        <f>HYPERLINK("https://creighton-primo.hosted.exlibrisgroup.com/primo-explore/search?tab=default_tab&amp;search_scope=EVERYTHING&amp;vid=01CRU&amp;lang=en_US&amp;offset=0&amp;query=any,contains,991000814069702656","Catalog Record")</f>
        <v>Catalog Record</v>
      </c>
      <c r="AT804" s="6" t="str">
        <f>HYPERLINK("http://www.worldcat.org/oclc/13334273","WorldCat Record")</f>
        <v>WorldCat Record</v>
      </c>
      <c r="AU804" s="3" t="s">
        <v>10523</v>
      </c>
      <c r="AV804" s="3" t="s">
        <v>10524</v>
      </c>
      <c r="AW804" s="3" t="s">
        <v>10525</v>
      </c>
      <c r="AX804" s="3" t="s">
        <v>10525</v>
      </c>
      <c r="AY804" s="3" t="s">
        <v>10526</v>
      </c>
      <c r="AZ804" s="3" t="s">
        <v>74</v>
      </c>
      <c r="BB804" s="3" t="s">
        <v>10527</v>
      </c>
      <c r="BC804" s="3" t="s">
        <v>10528</v>
      </c>
      <c r="BD804" s="3" t="s">
        <v>10529</v>
      </c>
    </row>
    <row r="805" spans="1:56" ht="42.75" customHeight="1" x14ac:dyDescent="0.25">
      <c r="A805" s="7" t="s">
        <v>58</v>
      </c>
      <c r="B805" s="2" t="s">
        <v>10530</v>
      </c>
      <c r="C805" s="2" t="s">
        <v>10531</v>
      </c>
      <c r="D805" s="2" t="s">
        <v>10532</v>
      </c>
      <c r="F805" s="3" t="s">
        <v>58</v>
      </c>
      <c r="G805" s="3" t="s">
        <v>59</v>
      </c>
      <c r="H805" s="3" t="s">
        <v>58</v>
      </c>
      <c r="I805" s="3" t="s">
        <v>58</v>
      </c>
      <c r="J805" s="3" t="s">
        <v>60</v>
      </c>
      <c r="K805" s="2" t="s">
        <v>10533</v>
      </c>
      <c r="L805" s="2" t="s">
        <v>10534</v>
      </c>
      <c r="M805" s="3" t="s">
        <v>98</v>
      </c>
      <c r="O805" s="3" t="s">
        <v>64</v>
      </c>
      <c r="P805" s="3" t="s">
        <v>115</v>
      </c>
      <c r="R805" s="3" t="s">
        <v>67</v>
      </c>
      <c r="S805" s="4">
        <v>4</v>
      </c>
      <c r="T805" s="4">
        <v>4</v>
      </c>
      <c r="U805" s="5" t="s">
        <v>10535</v>
      </c>
      <c r="V805" s="5" t="s">
        <v>10535</v>
      </c>
      <c r="W805" s="5" t="s">
        <v>5176</v>
      </c>
      <c r="X805" s="5" t="s">
        <v>5176</v>
      </c>
      <c r="Y805" s="4">
        <v>498</v>
      </c>
      <c r="Z805" s="4">
        <v>428</v>
      </c>
      <c r="AA805" s="4">
        <v>456</v>
      </c>
      <c r="AB805" s="4">
        <v>6</v>
      </c>
      <c r="AC805" s="4">
        <v>6</v>
      </c>
      <c r="AD805" s="4">
        <v>20</v>
      </c>
      <c r="AE805" s="4">
        <v>20</v>
      </c>
      <c r="AF805" s="4">
        <v>7</v>
      </c>
      <c r="AG805" s="4">
        <v>7</v>
      </c>
      <c r="AH805" s="4">
        <v>2</v>
      </c>
      <c r="AI805" s="4">
        <v>2</v>
      </c>
      <c r="AJ805" s="4">
        <v>10</v>
      </c>
      <c r="AK805" s="4">
        <v>10</v>
      </c>
      <c r="AL805" s="4">
        <v>5</v>
      </c>
      <c r="AM805" s="4">
        <v>5</v>
      </c>
      <c r="AN805" s="4">
        <v>0</v>
      </c>
      <c r="AO805" s="4">
        <v>0</v>
      </c>
      <c r="AP805" s="3" t="s">
        <v>58</v>
      </c>
      <c r="AQ805" s="3" t="s">
        <v>58</v>
      </c>
      <c r="AS805" s="6" t="str">
        <f>HYPERLINK("https://creighton-primo.hosted.exlibrisgroup.com/primo-explore/search?tab=default_tab&amp;search_scope=EVERYTHING&amp;vid=01CRU&amp;lang=en_US&amp;offset=0&amp;query=any,contains,991001132999702656","Catalog Record")</f>
        <v>Catalog Record</v>
      </c>
      <c r="AT805" s="6" t="str">
        <f>HYPERLINK("http://www.worldcat.org/oclc/16685051","WorldCat Record")</f>
        <v>WorldCat Record</v>
      </c>
      <c r="AU805" s="3" t="s">
        <v>10536</v>
      </c>
      <c r="AV805" s="3" t="s">
        <v>10537</v>
      </c>
      <c r="AW805" s="3" t="s">
        <v>10538</v>
      </c>
      <c r="AX805" s="3" t="s">
        <v>10538</v>
      </c>
      <c r="AY805" s="3" t="s">
        <v>10539</v>
      </c>
      <c r="AZ805" s="3" t="s">
        <v>74</v>
      </c>
      <c r="BB805" s="3" t="s">
        <v>10540</v>
      </c>
      <c r="BC805" s="3" t="s">
        <v>10541</v>
      </c>
      <c r="BD805" s="3" t="s">
        <v>10542</v>
      </c>
    </row>
    <row r="806" spans="1:56" ht="42.75" customHeight="1" x14ac:dyDescent="0.25">
      <c r="A806" s="7" t="s">
        <v>58</v>
      </c>
      <c r="B806" s="2" t="s">
        <v>10543</v>
      </c>
      <c r="C806" s="2" t="s">
        <v>10544</v>
      </c>
      <c r="D806" s="2" t="s">
        <v>10545</v>
      </c>
      <c r="F806" s="3" t="s">
        <v>58</v>
      </c>
      <c r="G806" s="3" t="s">
        <v>59</v>
      </c>
      <c r="H806" s="3" t="s">
        <v>58</v>
      </c>
      <c r="I806" s="3" t="s">
        <v>58</v>
      </c>
      <c r="J806" s="3" t="s">
        <v>60</v>
      </c>
      <c r="K806" s="2" t="s">
        <v>10546</v>
      </c>
      <c r="L806" s="2" t="s">
        <v>3747</v>
      </c>
      <c r="M806" s="3" t="s">
        <v>344</v>
      </c>
      <c r="O806" s="3" t="s">
        <v>64</v>
      </c>
      <c r="P806" s="3" t="s">
        <v>83</v>
      </c>
      <c r="R806" s="3" t="s">
        <v>67</v>
      </c>
      <c r="S806" s="4">
        <v>2</v>
      </c>
      <c r="T806" s="4">
        <v>2</v>
      </c>
      <c r="U806" s="5" t="s">
        <v>10002</v>
      </c>
      <c r="V806" s="5" t="s">
        <v>10002</v>
      </c>
      <c r="W806" s="5" t="s">
        <v>4730</v>
      </c>
      <c r="X806" s="5" t="s">
        <v>4730</v>
      </c>
      <c r="Y806" s="4">
        <v>217</v>
      </c>
      <c r="Z806" s="4">
        <v>188</v>
      </c>
      <c r="AA806" s="4">
        <v>195</v>
      </c>
      <c r="AB806" s="4">
        <v>2</v>
      </c>
      <c r="AC806" s="4">
        <v>2</v>
      </c>
      <c r="AD806" s="4">
        <v>8</v>
      </c>
      <c r="AE806" s="4">
        <v>8</v>
      </c>
      <c r="AF806" s="4">
        <v>0</v>
      </c>
      <c r="AG806" s="4">
        <v>0</v>
      </c>
      <c r="AH806" s="4">
        <v>1</v>
      </c>
      <c r="AI806" s="4">
        <v>1</v>
      </c>
      <c r="AJ806" s="4">
        <v>6</v>
      </c>
      <c r="AK806" s="4">
        <v>6</v>
      </c>
      <c r="AL806" s="4">
        <v>1</v>
      </c>
      <c r="AM806" s="4">
        <v>1</v>
      </c>
      <c r="AN806" s="4">
        <v>0</v>
      </c>
      <c r="AO806" s="4">
        <v>0</v>
      </c>
      <c r="AP806" s="3" t="s">
        <v>58</v>
      </c>
      <c r="AQ806" s="3" t="s">
        <v>86</v>
      </c>
      <c r="AR806" s="6" t="str">
        <f>HYPERLINK("http://catalog.hathitrust.org/Record/000222597","HathiTrust Record")</f>
        <v>HathiTrust Record</v>
      </c>
      <c r="AS806" s="6" t="str">
        <f>HYPERLINK("https://creighton-primo.hosted.exlibrisgroup.com/primo-explore/search?tab=default_tab&amp;search_scope=EVERYTHING&amp;vid=01CRU&amp;lang=en_US&amp;offset=0&amp;query=any,contains,991004831539702656","Catalog Record")</f>
        <v>Catalog Record</v>
      </c>
      <c r="AT806" s="6" t="str">
        <f>HYPERLINK("http://www.worldcat.org/oclc/5411393","WorldCat Record")</f>
        <v>WorldCat Record</v>
      </c>
      <c r="AU806" s="3" t="s">
        <v>10547</v>
      </c>
      <c r="AV806" s="3" t="s">
        <v>10548</v>
      </c>
      <c r="AW806" s="3" t="s">
        <v>10549</v>
      </c>
      <c r="AX806" s="3" t="s">
        <v>10549</v>
      </c>
      <c r="AY806" s="3" t="s">
        <v>10550</v>
      </c>
      <c r="AZ806" s="3" t="s">
        <v>74</v>
      </c>
      <c r="BB806" s="3" t="s">
        <v>10551</v>
      </c>
      <c r="BC806" s="3" t="s">
        <v>10552</v>
      </c>
      <c r="BD806" s="3" t="s">
        <v>10553</v>
      </c>
    </row>
    <row r="807" spans="1:56" ht="42.75" customHeight="1" x14ac:dyDescent="0.25">
      <c r="A807" s="7" t="s">
        <v>58</v>
      </c>
      <c r="B807" s="2" t="s">
        <v>10554</v>
      </c>
      <c r="C807" s="2" t="s">
        <v>10555</v>
      </c>
      <c r="D807" s="2" t="s">
        <v>10556</v>
      </c>
      <c r="F807" s="3" t="s">
        <v>58</v>
      </c>
      <c r="G807" s="3" t="s">
        <v>59</v>
      </c>
      <c r="H807" s="3" t="s">
        <v>86</v>
      </c>
      <c r="I807" s="3" t="s">
        <v>58</v>
      </c>
      <c r="J807" s="3" t="s">
        <v>60</v>
      </c>
      <c r="K807" s="2" t="s">
        <v>10557</v>
      </c>
      <c r="L807" s="2" t="s">
        <v>3984</v>
      </c>
      <c r="M807" s="3" t="s">
        <v>207</v>
      </c>
      <c r="O807" s="3" t="s">
        <v>64</v>
      </c>
      <c r="P807" s="3" t="s">
        <v>115</v>
      </c>
      <c r="R807" s="3" t="s">
        <v>67</v>
      </c>
      <c r="S807" s="4">
        <v>6</v>
      </c>
      <c r="T807" s="4">
        <v>7</v>
      </c>
      <c r="U807" s="5" t="s">
        <v>10366</v>
      </c>
      <c r="V807" s="5" t="s">
        <v>10366</v>
      </c>
      <c r="W807" s="5" t="s">
        <v>10558</v>
      </c>
      <c r="X807" s="5" t="s">
        <v>10558</v>
      </c>
      <c r="Y807" s="4">
        <v>411</v>
      </c>
      <c r="Z807" s="4">
        <v>343</v>
      </c>
      <c r="AA807" s="4">
        <v>407</v>
      </c>
      <c r="AB807" s="4">
        <v>6</v>
      </c>
      <c r="AC807" s="4">
        <v>7</v>
      </c>
      <c r="AD807" s="4">
        <v>21</v>
      </c>
      <c r="AE807" s="4">
        <v>23</v>
      </c>
      <c r="AF807" s="4">
        <v>4</v>
      </c>
      <c r="AG807" s="4">
        <v>5</v>
      </c>
      <c r="AH807" s="4">
        <v>5</v>
      </c>
      <c r="AI807" s="4">
        <v>5</v>
      </c>
      <c r="AJ807" s="4">
        <v>11</v>
      </c>
      <c r="AK807" s="4">
        <v>11</v>
      </c>
      <c r="AL807" s="4">
        <v>4</v>
      </c>
      <c r="AM807" s="4">
        <v>5</v>
      </c>
      <c r="AN807" s="4">
        <v>0</v>
      </c>
      <c r="AO807" s="4">
        <v>0</v>
      </c>
      <c r="AP807" s="3" t="s">
        <v>58</v>
      </c>
      <c r="AQ807" s="3" t="s">
        <v>58</v>
      </c>
      <c r="AS807" s="6" t="str">
        <f>HYPERLINK("https://creighton-primo.hosted.exlibrisgroup.com/primo-explore/search?tab=default_tab&amp;search_scope=EVERYTHING&amp;vid=01CRU&amp;lang=en_US&amp;offset=0&amp;query=any,contains,991001801689702656","Catalog Record")</f>
        <v>Catalog Record</v>
      </c>
      <c r="AT807" s="6" t="str">
        <f>HYPERLINK("http://www.worldcat.org/oclc/7284101","WorldCat Record")</f>
        <v>WorldCat Record</v>
      </c>
      <c r="AU807" s="3" t="s">
        <v>10559</v>
      </c>
      <c r="AV807" s="3" t="s">
        <v>10560</v>
      </c>
      <c r="AW807" s="3" t="s">
        <v>10561</v>
      </c>
      <c r="AX807" s="3" t="s">
        <v>10561</v>
      </c>
      <c r="AY807" s="3" t="s">
        <v>10562</v>
      </c>
      <c r="AZ807" s="3" t="s">
        <v>74</v>
      </c>
      <c r="BB807" s="3" t="s">
        <v>10563</v>
      </c>
      <c r="BC807" s="3" t="s">
        <v>10564</v>
      </c>
      <c r="BD807" s="3" t="s">
        <v>10565</v>
      </c>
    </row>
    <row r="808" spans="1:56" ht="42.75" customHeight="1" x14ac:dyDescent="0.25">
      <c r="A808" s="7" t="s">
        <v>58</v>
      </c>
      <c r="B808" s="2" t="s">
        <v>10566</v>
      </c>
      <c r="C808" s="2" t="s">
        <v>10567</v>
      </c>
      <c r="D808" s="2" t="s">
        <v>10568</v>
      </c>
      <c r="F808" s="3" t="s">
        <v>58</v>
      </c>
      <c r="G808" s="3" t="s">
        <v>59</v>
      </c>
      <c r="H808" s="3" t="s">
        <v>58</v>
      </c>
      <c r="I808" s="3" t="s">
        <v>58</v>
      </c>
      <c r="J808" s="3" t="s">
        <v>60</v>
      </c>
      <c r="K808" s="2" t="s">
        <v>10569</v>
      </c>
      <c r="L808" s="2" t="s">
        <v>10570</v>
      </c>
      <c r="M808" s="3" t="s">
        <v>765</v>
      </c>
      <c r="O808" s="3" t="s">
        <v>64</v>
      </c>
      <c r="P808" s="3" t="s">
        <v>115</v>
      </c>
      <c r="R808" s="3" t="s">
        <v>67</v>
      </c>
      <c r="S808" s="4">
        <v>1</v>
      </c>
      <c r="T808" s="4">
        <v>1</v>
      </c>
      <c r="U808" s="5" t="s">
        <v>10571</v>
      </c>
      <c r="V808" s="5" t="s">
        <v>10571</v>
      </c>
      <c r="W808" s="5" t="s">
        <v>10571</v>
      </c>
      <c r="X808" s="5" t="s">
        <v>10571</v>
      </c>
      <c r="Y808" s="4">
        <v>226</v>
      </c>
      <c r="Z808" s="4">
        <v>204</v>
      </c>
      <c r="AA808" s="4">
        <v>211</v>
      </c>
      <c r="AB808" s="4">
        <v>3</v>
      </c>
      <c r="AC808" s="4">
        <v>3</v>
      </c>
      <c r="AD808" s="4">
        <v>12</v>
      </c>
      <c r="AE808" s="4">
        <v>12</v>
      </c>
      <c r="AF808" s="4">
        <v>4</v>
      </c>
      <c r="AG808" s="4">
        <v>4</v>
      </c>
      <c r="AH808" s="4">
        <v>2</v>
      </c>
      <c r="AI808" s="4">
        <v>2</v>
      </c>
      <c r="AJ808" s="4">
        <v>8</v>
      </c>
      <c r="AK808" s="4">
        <v>8</v>
      </c>
      <c r="AL808" s="4">
        <v>2</v>
      </c>
      <c r="AM808" s="4">
        <v>2</v>
      </c>
      <c r="AN808" s="4">
        <v>0</v>
      </c>
      <c r="AO808" s="4">
        <v>0</v>
      </c>
      <c r="AP808" s="3" t="s">
        <v>58</v>
      </c>
      <c r="AQ808" s="3" t="s">
        <v>86</v>
      </c>
      <c r="AR808" s="6" t="str">
        <f>HYPERLINK("http://catalog.hathitrust.org/Record/003030512","HathiTrust Record")</f>
        <v>HathiTrust Record</v>
      </c>
      <c r="AS808" s="6" t="str">
        <f>HYPERLINK("https://creighton-primo.hosted.exlibrisgroup.com/primo-explore/search?tab=default_tab&amp;search_scope=EVERYTHING&amp;vid=01CRU&amp;lang=en_US&amp;offset=0&amp;query=any,contains,991003284269702656","Catalog Record")</f>
        <v>Catalog Record</v>
      </c>
      <c r="AT808" s="6" t="str">
        <f>HYPERLINK("http://www.worldcat.org/oclc/32591132","WorldCat Record")</f>
        <v>WorldCat Record</v>
      </c>
      <c r="AU808" s="3" t="s">
        <v>10572</v>
      </c>
      <c r="AV808" s="3" t="s">
        <v>10573</v>
      </c>
      <c r="AW808" s="3" t="s">
        <v>10574</v>
      </c>
      <c r="AX808" s="3" t="s">
        <v>10574</v>
      </c>
      <c r="AY808" s="3" t="s">
        <v>10575</v>
      </c>
      <c r="AZ808" s="3" t="s">
        <v>74</v>
      </c>
      <c r="BB808" s="3" t="s">
        <v>10576</v>
      </c>
      <c r="BC808" s="3" t="s">
        <v>10577</v>
      </c>
      <c r="BD808" s="3" t="s">
        <v>10578</v>
      </c>
    </row>
    <row r="809" spans="1:56" ht="42.75" customHeight="1" x14ac:dyDescent="0.25">
      <c r="A809" s="7" t="s">
        <v>58</v>
      </c>
      <c r="B809" s="2" t="s">
        <v>10579</v>
      </c>
      <c r="C809" s="2" t="s">
        <v>10580</v>
      </c>
      <c r="D809" s="2" t="s">
        <v>10581</v>
      </c>
      <c r="F809" s="3" t="s">
        <v>58</v>
      </c>
      <c r="G809" s="3" t="s">
        <v>59</v>
      </c>
      <c r="H809" s="3" t="s">
        <v>58</v>
      </c>
      <c r="I809" s="3" t="s">
        <v>58</v>
      </c>
      <c r="J809" s="3" t="s">
        <v>60</v>
      </c>
      <c r="L809" s="2" t="s">
        <v>3783</v>
      </c>
      <c r="M809" s="3" t="s">
        <v>82</v>
      </c>
      <c r="O809" s="3" t="s">
        <v>64</v>
      </c>
      <c r="P809" s="3" t="s">
        <v>115</v>
      </c>
      <c r="R809" s="3" t="s">
        <v>67</v>
      </c>
      <c r="S809" s="4">
        <v>8</v>
      </c>
      <c r="T809" s="4">
        <v>8</v>
      </c>
      <c r="U809" s="5" t="s">
        <v>10582</v>
      </c>
      <c r="V809" s="5" t="s">
        <v>10582</v>
      </c>
      <c r="W809" s="5" t="s">
        <v>10583</v>
      </c>
      <c r="X809" s="5" t="s">
        <v>10583</v>
      </c>
      <c r="Y809" s="4">
        <v>90</v>
      </c>
      <c r="Z809" s="4">
        <v>61</v>
      </c>
      <c r="AA809" s="4">
        <v>61</v>
      </c>
      <c r="AB809" s="4">
        <v>1</v>
      </c>
      <c r="AC809" s="4">
        <v>1</v>
      </c>
      <c r="AD809" s="4">
        <v>3</v>
      </c>
      <c r="AE809" s="4">
        <v>3</v>
      </c>
      <c r="AF809" s="4">
        <v>1</v>
      </c>
      <c r="AG809" s="4">
        <v>1</v>
      </c>
      <c r="AH809" s="4">
        <v>1</v>
      </c>
      <c r="AI809" s="4">
        <v>1</v>
      </c>
      <c r="AJ809" s="4">
        <v>1</v>
      </c>
      <c r="AK809" s="4">
        <v>1</v>
      </c>
      <c r="AL809" s="4">
        <v>0</v>
      </c>
      <c r="AM809" s="4">
        <v>0</v>
      </c>
      <c r="AN809" s="4">
        <v>0</v>
      </c>
      <c r="AO809" s="4">
        <v>0</v>
      </c>
      <c r="AP809" s="3" t="s">
        <v>58</v>
      </c>
      <c r="AQ809" s="3" t="s">
        <v>58</v>
      </c>
      <c r="AS809" s="6" t="str">
        <f>HYPERLINK("https://creighton-primo.hosted.exlibrisgroup.com/primo-explore/search?tab=default_tab&amp;search_scope=EVERYTHING&amp;vid=01CRU&amp;lang=en_US&amp;offset=0&amp;query=any,contains,991001036429702656","Catalog Record")</f>
        <v>Catalog Record</v>
      </c>
      <c r="AT809" s="6" t="str">
        <f>HYPERLINK("http://www.worldcat.org/oclc/15549406","WorldCat Record")</f>
        <v>WorldCat Record</v>
      </c>
      <c r="AU809" s="3" t="s">
        <v>10584</v>
      </c>
      <c r="AV809" s="3" t="s">
        <v>10585</v>
      </c>
      <c r="AW809" s="3" t="s">
        <v>10586</v>
      </c>
      <c r="AX809" s="3" t="s">
        <v>10586</v>
      </c>
      <c r="AY809" s="3" t="s">
        <v>10587</v>
      </c>
      <c r="AZ809" s="3" t="s">
        <v>74</v>
      </c>
      <c r="BB809" s="3" t="s">
        <v>10588</v>
      </c>
      <c r="BC809" s="3" t="s">
        <v>10589</v>
      </c>
      <c r="BD809" s="3" t="s">
        <v>10590</v>
      </c>
    </row>
    <row r="810" spans="1:56" ht="42.75" customHeight="1" x14ac:dyDescent="0.25">
      <c r="A810" s="7" t="s">
        <v>58</v>
      </c>
      <c r="B810" s="2" t="s">
        <v>10591</v>
      </c>
      <c r="C810" s="2" t="s">
        <v>10592</v>
      </c>
      <c r="D810" s="2" t="s">
        <v>10593</v>
      </c>
      <c r="F810" s="3" t="s">
        <v>58</v>
      </c>
      <c r="G810" s="3" t="s">
        <v>59</v>
      </c>
      <c r="H810" s="3" t="s">
        <v>58</v>
      </c>
      <c r="I810" s="3" t="s">
        <v>58</v>
      </c>
      <c r="J810" s="3" t="s">
        <v>60</v>
      </c>
      <c r="K810" s="2" t="s">
        <v>10594</v>
      </c>
      <c r="L810" s="2" t="s">
        <v>10352</v>
      </c>
      <c r="M810" s="3" t="s">
        <v>2227</v>
      </c>
      <c r="O810" s="3" t="s">
        <v>64</v>
      </c>
      <c r="P810" s="3" t="s">
        <v>115</v>
      </c>
      <c r="Q810" s="2" t="s">
        <v>6131</v>
      </c>
      <c r="R810" s="3" t="s">
        <v>67</v>
      </c>
      <c r="S810" s="4">
        <v>2</v>
      </c>
      <c r="T810" s="4">
        <v>2</v>
      </c>
      <c r="U810" s="5" t="s">
        <v>10582</v>
      </c>
      <c r="V810" s="5" t="s">
        <v>10582</v>
      </c>
      <c r="W810" s="5" t="s">
        <v>10583</v>
      </c>
      <c r="X810" s="5" t="s">
        <v>10583</v>
      </c>
      <c r="Y810" s="4">
        <v>511</v>
      </c>
      <c r="Z810" s="4">
        <v>446</v>
      </c>
      <c r="AA810" s="4">
        <v>452</v>
      </c>
      <c r="AB810" s="4">
        <v>6</v>
      </c>
      <c r="AC810" s="4">
        <v>6</v>
      </c>
      <c r="AD810" s="4">
        <v>19</v>
      </c>
      <c r="AE810" s="4">
        <v>19</v>
      </c>
      <c r="AF810" s="4">
        <v>6</v>
      </c>
      <c r="AG810" s="4">
        <v>6</v>
      </c>
      <c r="AH810" s="4">
        <v>3</v>
      </c>
      <c r="AI810" s="4">
        <v>3</v>
      </c>
      <c r="AJ810" s="4">
        <v>9</v>
      </c>
      <c r="AK810" s="4">
        <v>9</v>
      </c>
      <c r="AL810" s="4">
        <v>4</v>
      </c>
      <c r="AM810" s="4">
        <v>4</v>
      </c>
      <c r="AN810" s="4">
        <v>1</v>
      </c>
      <c r="AO810" s="4">
        <v>1</v>
      </c>
      <c r="AP810" s="3" t="s">
        <v>58</v>
      </c>
      <c r="AQ810" s="3" t="s">
        <v>58</v>
      </c>
      <c r="AS810" s="6" t="str">
        <f>HYPERLINK("https://creighton-primo.hosted.exlibrisgroup.com/primo-explore/search?tab=default_tab&amp;search_scope=EVERYTHING&amp;vid=01CRU&amp;lang=en_US&amp;offset=0&amp;query=any,contains,991000749539702656","Catalog Record")</f>
        <v>Catalog Record</v>
      </c>
      <c r="AT810" s="6" t="str">
        <f>HYPERLINK("http://www.worldcat.org/oclc/12907384","WorldCat Record")</f>
        <v>WorldCat Record</v>
      </c>
      <c r="AU810" s="3" t="s">
        <v>10595</v>
      </c>
      <c r="AV810" s="3" t="s">
        <v>10596</v>
      </c>
      <c r="AW810" s="3" t="s">
        <v>10597</v>
      </c>
      <c r="AX810" s="3" t="s">
        <v>10597</v>
      </c>
      <c r="AY810" s="3" t="s">
        <v>10598</v>
      </c>
      <c r="AZ810" s="3" t="s">
        <v>74</v>
      </c>
      <c r="BB810" s="3" t="s">
        <v>10599</v>
      </c>
      <c r="BC810" s="3" t="s">
        <v>10600</v>
      </c>
      <c r="BD810" s="3" t="s">
        <v>10601</v>
      </c>
    </row>
    <row r="811" spans="1:56" ht="42.75" customHeight="1" x14ac:dyDescent="0.25">
      <c r="A811" s="7" t="s">
        <v>58</v>
      </c>
      <c r="B811" s="2" t="s">
        <v>10602</v>
      </c>
      <c r="C811" s="2" t="s">
        <v>10603</v>
      </c>
      <c r="D811" s="2" t="s">
        <v>10604</v>
      </c>
      <c r="F811" s="3" t="s">
        <v>58</v>
      </c>
      <c r="G811" s="3" t="s">
        <v>59</v>
      </c>
      <c r="H811" s="3" t="s">
        <v>58</v>
      </c>
      <c r="I811" s="3" t="s">
        <v>58</v>
      </c>
      <c r="J811" s="3" t="s">
        <v>60</v>
      </c>
      <c r="K811" s="2" t="s">
        <v>10605</v>
      </c>
      <c r="L811" s="2" t="s">
        <v>7572</v>
      </c>
      <c r="M811" s="3" t="s">
        <v>586</v>
      </c>
      <c r="O811" s="3" t="s">
        <v>64</v>
      </c>
      <c r="P811" s="3" t="s">
        <v>65</v>
      </c>
      <c r="Q811" s="2" t="s">
        <v>10606</v>
      </c>
      <c r="R811" s="3" t="s">
        <v>67</v>
      </c>
      <c r="S811" s="4">
        <v>16</v>
      </c>
      <c r="T811" s="4">
        <v>16</v>
      </c>
      <c r="U811" s="5" t="s">
        <v>6459</v>
      </c>
      <c r="V811" s="5" t="s">
        <v>6459</v>
      </c>
      <c r="W811" s="5" t="s">
        <v>5742</v>
      </c>
      <c r="X811" s="5" t="s">
        <v>5742</v>
      </c>
      <c r="Y811" s="4">
        <v>271</v>
      </c>
      <c r="Z811" s="4">
        <v>140</v>
      </c>
      <c r="AA811" s="4">
        <v>145</v>
      </c>
      <c r="AB811" s="4">
        <v>1</v>
      </c>
      <c r="AC811" s="4">
        <v>1</v>
      </c>
      <c r="AD811" s="4">
        <v>3</v>
      </c>
      <c r="AE811" s="4">
        <v>3</v>
      </c>
      <c r="AF811" s="4">
        <v>2</v>
      </c>
      <c r="AG811" s="4">
        <v>2</v>
      </c>
      <c r="AH811" s="4">
        <v>0</v>
      </c>
      <c r="AI811" s="4">
        <v>0</v>
      </c>
      <c r="AJ811" s="4">
        <v>3</v>
      </c>
      <c r="AK811" s="4">
        <v>3</v>
      </c>
      <c r="AL811" s="4">
        <v>0</v>
      </c>
      <c r="AM811" s="4">
        <v>0</v>
      </c>
      <c r="AN811" s="4">
        <v>0</v>
      </c>
      <c r="AO811" s="4">
        <v>0</v>
      </c>
      <c r="AP811" s="3" t="s">
        <v>58</v>
      </c>
      <c r="AQ811" s="3" t="s">
        <v>58</v>
      </c>
      <c r="AS811" s="6" t="str">
        <f>HYPERLINK("https://creighton-primo.hosted.exlibrisgroup.com/primo-explore/search?tab=default_tab&amp;search_scope=EVERYTHING&amp;vid=01CRU&amp;lang=en_US&amp;offset=0&amp;query=any,contains,991001666739702656","Catalog Record")</f>
        <v>Catalog Record</v>
      </c>
      <c r="AT811" s="6" t="str">
        <f>HYPERLINK("http://www.worldcat.org/oclc/21227510","WorldCat Record")</f>
        <v>WorldCat Record</v>
      </c>
      <c r="AU811" s="3" t="s">
        <v>10607</v>
      </c>
      <c r="AV811" s="3" t="s">
        <v>10608</v>
      </c>
      <c r="AW811" s="3" t="s">
        <v>10609</v>
      </c>
      <c r="AX811" s="3" t="s">
        <v>10609</v>
      </c>
      <c r="AY811" s="3" t="s">
        <v>10610</v>
      </c>
      <c r="AZ811" s="3" t="s">
        <v>74</v>
      </c>
      <c r="BB811" s="3" t="s">
        <v>10611</v>
      </c>
      <c r="BC811" s="3" t="s">
        <v>10612</v>
      </c>
      <c r="BD811" s="3" t="s">
        <v>10613</v>
      </c>
    </row>
    <row r="812" spans="1:56" ht="42.75" customHeight="1" x14ac:dyDescent="0.25">
      <c r="A812" s="7" t="s">
        <v>58</v>
      </c>
      <c r="B812" s="2" t="s">
        <v>10614</v>
      </c>
      <c r="C812" s="2" t="s">
        <v>10615</v>
      </c>
      <c r="D812" s="2" t="s">
        <v>10616</v>
      </c>
      <c r="F812" s="3" t="s">
        <v>58</v>
      </c>
      <c r="G812" s="3" t="s">
        <v>59</v>
      </c>
      <c r="H812" s="3" t="s">
        <v>58</v>
      </c>
      <c r="I812" s="3" t="s">
        <v>58</v>
      </c>
      <c r="J812" s="3" t="s">
        <v>60</v>
      </c>
      <c r="K812" s="2" t="s">
        <v>10617</v>
      </c>
      <c r="L812" s="2" t="s">
        <v>10618</v>
      </c>
      <c r="M812" s="3" t="s">
        <v>238</v>
      </c>
      <c r="O812" s="3" t="s">
        <v>64</v>
      </c>
      <c r="P812" s="3" t="s">
        <v>99</v>
      </c>
      <c r="Q812" s="2" t="s">
        <v>10619</v>
      </c>
      <c r="R812" s="3" t="s">
        <v>67</v>
      </c>
      <c r="S812" s="4">
        <v>4</v>
      </c>
      <c r="T812" s="4">
        <v>4</v>
      </c>
      <c r="U812" s="5" t="s">
        <v>7063</v>
      </c>
      <c r="V812" s="5" t="s">
        <v>7063</v>
      </c>
      <c r="W812" s="5" t="s">
        <v>10620</v>
      </c>
      <c r="X812" s="5" t="s">
        <v>10620</v>
      </c>
      <c r="Y812" s="4">
        <v>305</v>
      </c>
      <c r="Z812" s="4">
        <v>237</v>
      </c>
      <c r="AA812" s="4">
        <v>242</v>
      </c>
      <c r="AB812" s="4">
        <v>3</v>
      </c>
      <c r="AC812" s="4">
        <v>3</v>
      </c>
      <c r="AD812" s="4">
        <v>8</v>
      </c>
      <c r="AE812" s="4">
        <v>8</v>
      </c>
      <c r="AF812" s="4">
        <v>2</v>
      </c>
      <c r="AG812" s="4">
        <v>2</v>
      </c>
      <c r="AH812" s="4">
        <v>2</v>
      </c>
      <c r="AI812" s="4">
        <v>2</v>
      </c>
      <c r="AJ812" s="4">
        <v>5</v>
      </c>
      <c r="AK812" s="4">
        <v>5</v>
      </c>
      <c r="AL812" s="4">
        <v>1</v>
      </c>
      <c r="AM812" s="4">
        <v>1</v>
      </c>
      <c r="AN812" s="4">
        <v>0</v>
      </c>
      <c r="AO812" s="4">
        <v>0</v>
      </c>
      <c r="AP812" s="3" t="s">
        <v>58</v>
      </c>
      <c r="AQ812" s="3" t="s">
        <v>58</v>
      </c>
      <c r="AS812" s="6" t="str">
        <f>HYPERLINK("https://creighton-primo.hosted.exlibrisgroup.com/primo-explore/search?tab=default_tab&amp;search_scope=EVERYTHING&amp;vid=01CRU&amp;lang=en_US&amp;offset=0&amp;query=any,contains,991004687839702656","Catalog Record")</f>
        <v>Catalog Record</v>
      </c>
      <c r="AT812" s="6" t="str">
        <f>HYPERLINK("http://www.worldcat.org/oclc/4593420","WorldCat Record")</f>
        <v>WorldCat Record</v>
      </c>
      <c r="AU812" s="3" t="s">
        <v>10621</v>
      </c>
      <c r="AV812" s="3" t="s">
        <v>10622</v>
      </c>
      <c r="AW812" s="3" t="s">
        <v>10623</v>
      </c>
      <c r="AX812" s="3" t="s">
        <v>10623</v>
      </c>
      <c r="AY812" s="3" t="s">
        <v>10624</v>
      </c>
      <c r="AZ812" s="3" t="s">
        <v>74</v>
      </c>
      <c r="BB812" s="3" t="s">
        <v>10625</v>
      </c>
      <c r="BC812" s="3" t="s">
        <v>10626</v>
      </c>
      <c r="BD812" s="3" t="s">
        <v>10627</v>
      </c>
    </row>
    <row r="813" spans="1:56" ht="42.75" customHeight="1" x14ac:dyDescent="0.25">
      <c r="A813" s="7" t="s">
        <v>58</v>
      </c>
      <c r="B813" s="2" t="s">
        <v>10628</v>
      </c>
      <c r="C813" s="2" t="s">
        <v>10629</v>
      </c>
      <c r="D813" s="2" t="s">
        <v>10630</v>
      </c>
      <c r="F813" s="3" t="s">
        <v>58</v>
      </c>
      <c r="G813" s="3" t="s">
        <v>59</v>
      </c>
      <c r="H813" s="3" t="s">
        <v>58</v>
      </c>
      <c r="I813" s="3" t="s">
        <v>58</v>
      </c>
      <c r="J813" s="3" t="s">
        <v>60</v>
      </c>
      <c r="L813" s="2" t="s">
        <v>10631</v>
      </c>
      <c r="M813" s="3" t="s">
        <v>223</v>
      </c>
      <c r="O813" s="3" t="s">
        <v>64</v>
      </c>
      <c r="P813" s="3" t="s">
        <v>359</v>
      </c>
      <c r="R813" s="3" t="s">
        <v>67</v>
      </c>
      <c r="S813" s="4">
        <v>1</v>
      </c>
      <c r="T813" s="4">
        <v>1</v>
      </c>
      <c r="U813" s="5" t="s">
        <v>4947</v>
      </c>
      <c r="V813" s="5" t="s">
        <v>4947</v>
      </c>
      <c r="W813" s="5" t="s">
        <v>10632</v>
      </c>
      <c r="X813" s="5" t="s">
        <v>10632</v>
      </c>
      <c r="Y813" s="4">
        <v>187</v>
      </c>
      <c r="Z813" s="4">
        <v>140</v>
      </c>
      <c r="AA813" s="4">
        <v>148</v>
      </c>
      <c r="AB813" s="4">
        <v>2</v>
      </c>
      <c r="AC813" s="4">
        <v>2</v>
      </c>
      <c r="AD813" s="4">
        <v>4</v>
      </c>
      <c r="AE813" s="4">
        <v>4</v>
      </c>
      <c r="AF813" s="4">
        <v>0</v>
      </c>
      <c r="AG813" s="4">
        <v>0</v>
      </c>
      <c r="AH813" s="4">
        <v>2</v>
      </c>
      <c r="AI813" s="4">
        <v>2</v>
      </c>
      <c r="AJ813" s="4">
        <v>2</v>
      </c>
      <c r="AK813" s="4">
        <v>2</v>
      </c>
      <c r="AL813" s="4">
        <v>1</v>
      </c>
      <c r="AM813" s="4">
        <v>1</v>
      </c>
      <c r="AN813" s="4">
        <v>0</v>
      </c>
      <c r="AO813" s="4">
        <v>0</v>
      </c>
      <c r="AP813" s="3" t="s">
        <v>58</v>
      </c>
      <c r="AQ813" s="3" t="s">
        <v>86</v>
      </c>
      <c r="AR813" s="6" t="str">
        <f>HYPERLINK("http://catalog.hathitrust.org/Record/000292344","HathiTrust Record")</f>
        <v>HathiTrust Record</v>
      </c>
      <c r="AS813" s="6" t="str">
        <f>HYPERLINK("https://creighton-primo.hosted.exlibrisgroup.com/primo-explore/search?tab=default_tab&amp;search_scope=EVERYTHING&amp;vid=01CRU&amp;lang=en_US&amp;offset=0&amp;query=any,contains,991004350479702656","Catalog Record")</f>
        <v>Catalog Record</v>
      </c>
      <c r="AT813" s="6" t="str">
        <f>HYPERLINK("http://www.worldcat.org/oclc/3119619","WorldCat Record")</f>
        <v>WorldCat Record</v>
      </c>
      <c r="AU813" s="3" t="s">
        <v>10633</v>
      </c>
      <c r="AV813" s="3" t="s">
        <v>10634</v>
      </c>
      <c r="AW813" s="3" t="s">
        <v>10635</v>
      </c>
      <c r="AX813" s="3" t="s">
        <v>10635</v>
      </c>
      <c r="AY813" s="3" t="s">
        <v>10636</v>
      </c>
      <c r="AZ813" s="3" t="s">
        <v>74</v>
      </c>
      <c r="BB813" s="3" t="s">
        <v>10637</v>
      </c>
      <c r="BC813" s="3" t="s">
        <v>10638</v>
      </c>
      <c r="BD813" s="3" t="s">
        <v>10639</v>
      </c>
    </row>
    <row r="814" spans="1:56" ht="42.75" customHeight="1" x14ac:dyDescent="0.25">
      <c r="A814" s="7" t="s">
        <v>58</v>
      </c>
      <c r="B814" s="2" t="s">
        <v>10640</v>
      </c>
      <c r="C814" s="2" t="s">
        <v>10641</v>
      </c>
      <c r="D814" s="2" t="s">
        <v>10642</v>
      </c>
      <c r="F814" s="3" t="s">
        <v>58</v>
      </c>
      <c r="G814" s="3" t="s">
        <v>59</v>
      </c>
      <c r="H814" s="3" t="s">
        <v>58</v>
      </c>
      <c r="I814" s="3" t="s">
        <v>58</v>
      </c>
      <c r="J814" s="3" t="s">
        <v>60</v>
      </c>
      <c r="L814" s="2" t="s">
        <v>5519</v>
      </c>
      <c r="M814" s="3" t="s">
        <v>207</v>
      </c>
      <c r="N814" s="2" t="s">
        <v>1844</v>
      </c>
      <c r="O814" s="3" t="s">
        <v>64</v>
      </c>
      <c r="P814" s="3" t="s">
        <v>115</v>
      </c>
      <c r="Q814" s="2" t="s">
        <v>10643</v>
      </c>
      <c r="R814" s="3" t="s">
        <v>67</v>
      </c>
      <c r="S814" s="4">
        <v>6</v>
      </c>
      <c r="T814" s="4">
        <v>6</v>
      </c>
      <c r="U814" s="5" t="s">
        <v>6513</v>
      </c>
      <c r="V814" s="5" t="s">
        <v>6513</v>
      </c>
      <c r="W814" s="5" t="s">
        <v>4730</v>
      </c>
      <c r="X814" s="5" t="s">
        <v>4730</v>
      </c>
      <c r="Y814" s="4">
        <v>346</v>
      </c>
      <c r="Z814" s="4">
        <v>255</v>
      </c>
      <c r="AA814" s="4">
        <v>588</v>
      </c>
      <c r="AB814" s="4">
        <v>2</v>
      </c>
      <c r="AC814" s="4">
        <v>5</v>
      </c>
      <c r="AD814" s="4">
        <v>4</v>
      </c>
      <c r="AE814" s="4">
        <v>31</v>
      </c>
      <c r="AF814" s="4">
        <v>0</v>
      </c>
      <c r="AG814" s="4">
        <v>13</v>
      </c>
      <c r="AH814" s="4">
        <v>2</v>
      </c>
      <c r="AI814" s="4">
        <v>7</v>
      </c>
      <c r="AJ814" s="4">
        <v>3</v>
      </c>
      <c r="AK814" s="4">
        <v>17</v>
      </c>
      <c r="AL814" s="4">
        <v>1</v>
      </c>
      <c r="AM814" s="4">
        <v>4</v>
      </c>
      <c r="AN814" s="4">
        <v>0</v>
      </c>
      <c r="AO814" s="4">
        <v>0</v>
      </c>
      <c r="AP814" s="3" t="s">
        <v>58</v>
      </c>
      <c r="AQ814" s="3" t="s">
        <v>86</v>
      </c>
      <c r="AR814" s="6" t="str">
        <f>HYPERLINK("http://catalog.hathitrust.org/Record/000769052","HathiTrust Record")</f>
        <v>HathiTrust Record</v>
      </c>
      <c r="AS814" s="6" t="str">
        <f>HYPERLINK("https://creighton-primo.hosted.exlibrisgroup.com/primo-explore/search?tab=default_tab&amp;search_scope=EVERYTHING&amp;vid=01CRU&amp;lang=en_US&amp;offset=0&amp;query=any,contains,991005100229702656","Catalog Record")</f>
        <v>Catalog Record</v>
      </c>
      <c r="AT814" s="6" t="str">
        <f>HYPERLINK("http://www.worldcat.org/oclc/7282484","WorldCat Record")</f>
        <v>WorldCat Record</v>
      </c>
      <c r="AU814" s="3" t="s">
        <v>10644</v>
      </c>
      <c r="AV814" s="3" t="s">
        <v>10645</v>
      </c>
      <c r="AW814" s="3" t="s">
        <v>10646</v>
      </c>
      <c r="AX814" s="3" t="s">
        <v>10646</v>
      </c>
      <c r="AY814" s="3" t="s">
        <v>10647</v>
      </c>
      <c r="AZ814" s="3" t="s">
        <v>74</v>
      </c>
      <c r="BB814" s="3" t="s">
        <v>10648</v>
      </c>
      <c r="BC814" s="3" t="s">
        <v>10649</v>
      </c>
      <c r="BD814" s="3" t="s">
        <v>10650</v>
      </c>
    </row>
    <row r="815" spans="1:56" ht="42.75" customHeight="1" x14ac:dyDescent="0.25">
      <c r="A815" s="7" t="s">
        <v>58</v>
      </c>
      <c r="B815" s="2" t="s">
        <v>10651</v>
      </c>
      <c r="C815" s="2" t="s">
        <v>10652</v>
      </c>
      <c r="D815" s="2" t="s">
        <v>10653</v>
      </c>
      <c r="F815" s="3" t="s">
        <v>58</v>
      </c>
      <c r="G815" s="3" t="s">
        <v>59</v>
      </c>
      <c r="H815" s="3" t="s">
        <v>58</v>
      </c>
      <c r="I815" s="3" t="s">
        <v>58</v>
      </c>
      <c r="J815" s="3" t="s">
        <v>60</v>
      </c>
      <c r="L815" s="2" t="s">
        <v>10654</v>
      </c>
      <c r="M815" s="3" t="s">
        <v>207</v>
      </c>
      <c r="O815" s="3" t="s">
        <v>64</v>
      </c>
      <c r="P815" s="3" t="s">
        <v>1898</v>
      </c>
      <c r="R815" s="3" t="s">
        <v>67</v>
      </c>
      <c r="S815" s="4">
        <v>6</v>
      </c>
      <c r="T815" s="4">
        <v>6</v>
      </c>
      <c r="U815" s="5" t="s">
        <v>7063</v>
      </c>
      <c r="V815" s="5" t="s">
        <v>7063</v>
      </c>
      <c r="W815" s="5" t="s">
        <v>4730</v>
      </c>
      <c r="X815" s="5" t="s">
        <v>4730</v>
      </c>
      <c r="Y815" s="4">
        <v>328</v>
      </c>
      <c r="Z815" s="4">
        <v>250</v>
      </c>
      <c r="AA815" s="4">
        <v>257</v>
      </c>
      <c r="AB815" s="4">
        <v>3</v>
      </c>
      <c r="AC815" s="4">
        <v>3</v>
      </c>
      <c r="AD815" s="4">
        <v>8</v>
      </c>
      <c r="AE815" s="4">
        <v>8</v>
      </c>
      <c r="AF815" s="4">
        <v>4</v>
      </c>
      <c r="AG815" s="4">
        <v>4</v>
      </c>
      <c r="AH815" s="4">
        <v>0</v>
      </c>
      <c r="AI815" s="4">
        <v>0</v>
      </c>
      <c r="AJ815" s="4">
        <v>5</v>
      </c>
      <c r="AK815" s="4">
        <v>5</v>
      </c>
      <c r="AL815" s="4">
        <v>2</v>
      </c>
      <c r="AM815" s="4">
        <v>2</v>
      </c>
      <c r="AN815" s="4">
        <v>0</v>
      </c>
      <c r="AO815" s="4">
        <v>0</v>
      </c>
      <c r="AP815" s="3" t="s">
        <v>58</v>
      </c>
      <c r="AQ815" s="3" t="s">
        <v>86</v>
      </c>
      <c r="AR815" s="6" t="str">
        <f>HYPERLINK("http://catalog.hathitrust.org/Record/000098205","HathiTrust Record")</f>
        <v>HathiTrust Record</v>
      </c>
      <c r="AS815" s="6" t="str">
        <f>HYPERLINK("https://creighton-primo.hosted.exlibrisgroup.com/primo-explore/search?tab=default_tab&amp;search_scope=EVERYTHING&amp;vid=01CRU&amp;lang=en_US&amp;offset=0&amp;query=any,contains,991005064539702656","Catalog Record")</f>
        <v>Catalog Record</v>
      </c>
      <c r="AT815" s="6" t="str">
        <f>HYPERLINK("http://www.worldcat.org/oclc/6943171","WorldCat Record")</f>
        <v>WorldCat Record</v>
      </c>
      <c r="AU815" s="3" t="s">
        <v>10655</v>
      </c>
      <c r="AV815" s="3" t="s">
        <v>10656</v>
      </c>
      <c r="AW815" s="3" t="s">
        <v>10657</v>
      </c>
      <c r="AX815" s="3" t="s">
        <v>10657</v>
      </c>
      <c r="AY815" s="3" t="s">
        <v>10658</v>
      </c>
      <c r="AZ815" s="3" t="s">
        <v>74</v>
      </c>
      <c r="BB815" s="3" t="s">
        <v>10659</v>
      </c>
      <c r="BC815" s="3" t="s">
        <v>10660</v>
      </c>
      <c r="BD815" s="3" t="s">
        <v>10661</v>
      </c>
    </row>
    <row r="816" spans="1:56" ht="42.75" customHeight="1" x14ac:dyDescent="0.25">
      <c r="A816" s="7" t="s">
        <v>58</v>
      </c>
      <c r="B816" s="2" t="s">
        <v>10662</v>
      </c>
      <c r="C816" s="2" t="s">
        <v>10663</v>
      </c>
      <c r="D816" s="2" t="s">
        <v>10664</v>
      </c>
      <c r="F816" s="3" t="s">
        <v>58</v>
      </c>
      <c r="G816" s="3" t="s">
        <v>59</v>
      </c>
      <c r="H816" s="3" t="s">
        <v>58</v>
      </c>
      <c r="I816" s="3" t="s">
        <v>58</v>
      </c>
      <c r="J816" s="3" t="s">
        <v>60</v>
      </c>
      <c r="K816" s="2" t="s">
        <v>10665</v>
      </c>
      <c r="L816" s="2" t="s">
        <v>10666</v>
      </c>
      <c r="M816" s="3" t="s">
        <v>223</v>
      </c>
      <c r="O816" s="3" t="s">
        <v>64</v>
      </c>
      <c r="P816" s="3" t="s">
        <v>65</v>
      </c>
      <c r="R816" s="3" t="s">
        <v>67</v>
      </c>
      <c r="S816" s="4">
        <v>6</v>
      </c>
      <c r="T816" s="4">
        <v>6</v>
      </c>
      <c r="U816" s="5" t="s">
        <v>7063</v>
      </c>
      <c r="V816" s="5" t="s">
        <v>7063</v>
      </c>
      <c r="W816" s="5" t="s">
        <v>4730</v>
      </c>
      <c r="X816" s="5" t="s">
        <v>4730</v>
      </c>
      <c r="Y816" s="4">
        <v>580</v>
      </c>
      <c r="Z816" s="4">
        <v>461</v>
      </c>
      <c r="AA816" s="4">
        <v>465</v>
      </c>
      <c r="AB816" s="4">
        <v>2</v>
      </c>
      <c r="AC816" s="4">
        <v>2</v>
      </c>
      <c r="AD816" s="4">
        <v>20</v>
      </c>
      <c r="AE816" s="4">
        <v>20</v>
      </c>
      <c r="AF816" s="4">
        <v>6</v>
      </c>
      <c r="AG816" s="4">
        <v>6</v>
      </c>
      <c r="AH816" s="4">
        <v>4</v>
      </c>
      <c r="AI816" s="4">
        <v>4</v>
      </c>
      <c r="AJ816" s="4">
        <v>15</v>
      </c>
      <c r="AK816" s="4">
        <v>15</v>
      </c>
      <c r="AL816" s="4">
        <v>1</v>
      </c>
      <c r="AM816" s="4">
        <v>1</v>
      </c>
      <c r="AN816" s="4">
        <v>0</v>
      </c>
      <c r="AO816" s="4">
        <v>0</v>
      </c>
      <c r="AP816" s="3" t="s">
        <v>58</v>
      </c>
      <c r="AQ816" s="3" t="s">
        <v>58</v>
      </c>
      <c r="AS816" s="6" t="str">
        <f>HYPERLINK("https://creighton-primo.hosted.exlibrisgroup.com/primo-explore/search?tab=default_tab&amp;search_scope=EVERYTHING&amp;vid=01CRU&amp;lang=en_US&amp;offset=0&amp;query=any,contains,991005265549702656","Catalog Record")</f>
        <v>Catalog Record</v>
      </c>
      <c r="AT816" s="6" t="str">
        <f>HYPERLINK("http://www.worldcat.org/oclc/3966062","WorldCat Record")</f>
        <v>WorldCat Record</v>
      </c>
      <c r="AU816" s="3" t="s">
        <v>10667</v>
      </c>
      <c r="AV816" s="3" t="s">
        <v>10668</v>
      </c>
      <c r="AW816" s="3" t="s">
        <v>10669</v>
      </c>
      <c r="AX816" s="3" t="s">
        <v>10669</v>
      </c>
      <c r="AY816" s="3" t="s">
        <v>10670</v>
      </c>
      <c r="AZ816" s="3" t="s">
        <v>74</v>
      </c>
      <c r="BB816" s="3" t="s">
        <v>10671</v>
      </c>
      <c r="BC816" s="3" t="s">
        <v>10672</v>
      </c>
      <c r="BD816" s="3" t="s">
        <v>10673</v>
      </c>
    </row>
    <row r="817" spans="1:56" ht="42.75" customHeight="1" x14ac:dyDescent="0.25">
      <c r="A817" s="7" t="s">
        <v>58</v>
      </c>
      <c r="B817" s="2" t="s">
        <v>10674</v>
      </c>
      <c r="C817" s="2" t="s">
        <v>10675</v>
      </c>
      <c r="D817" s="2" t="s">
        <v>10676</v>
      </c>
      <c r="F817" s="3" t="s">
        <v>58</v>
      </c>
      <c r="G817" s="3" t="s">
        <v>59</v>
      </c>
      <c r="H817" s="3" t="s">
        <v>58</v>
      </c>
      <c r="I817" s="3" t="s">
        <v>58</v>
      </c>
      <c r="J817" s="3" t="s">
        <v>60</v>
      </c>
      <c r="L817" s="2" t="s">
        <v>10677</v>
      </c>
      <c r="M817" s="3" t="s">
        <v>207</v>
      </c>
      <c r="O817" s="3" t="s">
        <v>64</v>
      </c>
      <c r="P817" s="3" t="s">
        <v>115</v>
      </c>
      <c r="Q817" s="2" t="s">
        <v>10678</v>
      </c>
      <c r="R817" s="3" t="s">
        <v>67</v>
      </c>
      <c r="S817" s="4">
        <v>4</v>
      </c>
      <c r="T817" s="4">
        <v>4</v>
      </c>
      <c r="U817" s="5" t="s">
        <v>9417</v>
      </c>
      <c r="V817" s="5" t="s">
        <v>9417</v>
      </c>
      <c r="W817" s="5" t="s">
        <v>4730</v>
      </c>
      <c r="X817" s="5" t="s">
        <v>4730</v>
      </c>
      <c r="Y817" s="4">
        <v>271</v>
      </c>
      <c r="Z817" s="4">
        <v>197</v>
      </c>
      <c r="AA817" s="4">
        <v>222</v>
      </c>
      <c r="AB817" s="4">
        <v>4</v>
      </c>
      <c r="AC817" s="4">
        <v>4</v>
      </c>
      <c r="AD817" s="4">
        <v>10</v>
      </c>
      <c r="AE817" s="4">
        <v>12</v>
      </c>
      <c r="AF817" s="4">
        <v>3</v>
      </c>
      <c r="AG817" s="4">
        <v>5</v>
      </c>
      <c r="AH817" s="4">
        <v>1</v>
      </c>
      <c r="AI817" s="4">
        <v>1</v>
      </c>
      <c r="AJ817" s="4">
        <v>4</v>
      </c>
      <c r="AK817" s="4">
        <v>5</v>
      </c>
      <c r="AL817" s="4">
        <v>3</v>
      </c>
      <c r="AM817" s="4">
        <v>3</v>
      </c>
      <c r="AN817" s="4">
        <v>0</v>
      </c>
      <c r="AO817" s="4">
        <v>0</v>
      </c>
      <c r="AP817" s="3" t="s">
        <v>58</v>
      </c>
      <c r="AQ817" s="3" t="s">
        <v>58</v>
      </c>
      <c r="AS817" s="6" t="str">
        <f>HYPERLINK("https://creighton-primo.hosted.exlibrisgroup.com/primo-explore/search?tab=default_tab&amp;search_scope=EVERYTHING&amp;vid=01CRU&amp;lang=en_US&amp;offset=0&amp;query=any,contains,991005138599702656","Catalog Record")</f>
        <v>Catalog Record</v>
      </c>
      <c r="AT817" s="6" t="str">
        <f>HYPERLINK("http://www.worldcat.org/oclc/7596366","WorldCat Record")</f>
        <v>WorldCat Record</v>
      </c>
      <c r="AU817" s="3" t="s">
        <v>10679</v>
      </c>
      <c r="AV817" s="3" t="s">
        <v>10680</v>
      </c>
      <c r="AW817" s="3" t="s">
        <v>10681</v>
      </c>
      <c r="AX817" s="3" t="s">
        <v>10681</v>
      </c>
      <c r="AY817" s="3" t="s">
        <v>10682</v>
      </c>
      <c r="AZ817" s="3" t="s">
        <v>74</v>
      </c>
      <c r="BB817" s="3" t="s">
        <v>10683</v>
      </c>
      <c r="BC817" s="3" t="s">
        <v>10684</v>
      </c>
      <c r="BD817" s="3" t="s">
        <v>10685</v>
      </c>
    </row>
    <row r="818" spans="1:56" ht="42.75" customHeight="1" x14ac:dyDescent="0.25">
      <c r="A818" s="7" t="s">
        <v>58</v>
      </c>
      <c r="B818" s="2" t="s">
        <v>10686</v>
      </c>
      <c r="C818" s="2" t="s">
        <v>10687</v>
      </c>
      <c r="D818" s="2" t="s">
        <v>10688</v>
      </c>
      <c r="F818" s="3" t="s">
        <v>58</v>
      </c>
      <c r="G818" s="3" t="s">
        <v>59</v>
      </c>
      <c r="H818" s="3" t="s">
        <v>58</v>
      </c>
      <c r="I818" s="3" t="s">
        <v>58</v>
      </c>
      <c r="J818" s="3" t="s">
        <v>60</v>
      </c>
      <c r="L818" s="2" t="s">
        <v>3285</v>
      </c>
      <c r="M818" s="3" t="s">
        <v>695</v>
      </c>
      <c r="O818" s="3" t="s">
        <v>64</v>
      </c>
      <c r="P818" s="3" t="s">
        <v>115</v>
      </c>
      <c r="Q818" s="2" t="s">
        <v>10689</v>
      </c>
      <c r="R818" s="3" t="s">
        <v>67</v>
      </c>
      <c r="S818" s="4">
        <v>5</v>
      </c>
      <c r="T818" s="4">
        <v>5</v>
      </c>
      <c r="U818" s="5" t="s">
        <v>10690</v>
      </c>
      <c r="V818" s="5" t="s">
        <v>10690</v>
      </c>
      <c r="W818" s="5" t="s">
        <v>2541</v>
      </c>
      <c r="X818" s="5" t="s">
        <v>2541</v>
      </c>
      <c r="Y818" s="4">
        <v>205</v>
      </c>
      <c r="Z818" s="4">
        <v>132</v>
      </c>
      <c r="AA818" s="4">
        <v>151</v>
      </c>
      <c r="AB818" s="4">
        <v>1</v>
      </c>
      <c r="AC818" s="4">
        <v>1</v>
      </c>
      <c r="AD818" s="4">
        <v>6</v>
      </c>
      <c r="AE818" s="4">
        <v>6</v>
      </c>
      <c r="AF818" s="4">
        <v>0</v>
      </c>
      <c r="AG818" s="4">
        <v>0</v>
      </c>
      <c r="AH818" s="4">
        <v>2</v>
      </c>
      <c r="AI818" s="4">
        <v>2</v>
      </c>
      <c r="AJ818" s="4">
        <v>5</v>
      </c>
      <c r="AK818" s="4">
        <v>5</v>
      </c>
      <c r="AL818" s="4">
        <v>0</v>
      </c>
      <c r="AM818" s="4">
        <v>0</v>
      </c>
      <c r="AN818" s="4">
        <v>0</v>
      </c>
      <c r="AO818" s="4">
        <v>0</v>
      </c>
      <c r="AP818" s="3" t="s">
        <v>58</v>
      </c>
      <c r="AQ818" s="3" t="s">
        <v>86</v>
      </c>
      <c r="AR818" s="6" t="str">
        <f>HYPERLINK("http://catalog.hathitrust.org/Record/002650250","HathiTrust Record")</f>
        <v>HathiTrust Record</v>
      </c>
      <c r="AS818" s="6" t="str">
        <f>HYPERLINK("https://creighton-primo.hosted.exlibrisgroup.com/primo-explore/search?tab=default_tab&amp;search_scope=EVERYTHING&amp;vid=01CRU&amp;lang=en_US&amp;offset=0&amp;query=any,contains,991002094919702656","Catalog Record")</f>
        <v>Catalog Record</v>
      </c>
      <c r="AT818" s="6" t="str">
        <f>HYPERLINK("http://www.worldcat.org/oclc/26856626","WorldCat Record")</f>
        <v>WorldCat Record</v>
      </c>
      <c r="AU818" s="3" t="s">
        <v>10691</v>
      </c>
      <c r="AV818" s="3" t="s">
        <v>10692</v>
      </c>
      <c r="AW818" s="3" t="s">
        <v>10693</v>
      </c>
      <c r="AX818" s="3" t="s">
        <v>10693</v>
      </c>
      <c r="AY818" s="3" t="s">
        <v>10694</v>
      </c>
      <c r="AZ818" s="3" t="s">
        <v>74</v>
      </c>
      <c r="BB818" s="3" t="s">
        <v>10695</v>
      </c>
      <c r="BC818" s="3" t="s">
        <v>10696</v>
      </c>
      <c r="BD818" s="3" t="s">
        <v>10697</v>
      </c>
    </row>
    <row r="819" spans="1:56" ht="42.75" customHeight="1" x14ac:dyDescent="0.25">
      <c r="A819" s="7" t="s">
        <v>58</v>
      </c>
      <c r="B819" s="2" t="s">
        <v>10698</v>
      </c>
      <c r="C819" s="2" t="s">
        <v>10699</v>
      </c>
      <c r="D819" s="2" t="s">
        <v>10700</v>
      </c>
      <c r="F819" s="3" t="s">
        <v>58</v>
      </c>
      <c r="G819" s="3" t="s">
        <v>59</v>
      </c>
      <c r="H819" s="3" t="s">
        <v>86</v>
      </c>
      <c r="I819" s="3" t="s">
        <v>58</v>
      </c>
      <c r="J819" s="3" t="s">
        <v>60</v>
      </c>
      <c r="L819" s="2" t="s">
        <v>3984</v>
      </c>
      <c r="M819" s="3" t="s">
        <v>207</v>
      </c>
      <c r="O819" s="3" t="s">
        <v>64</v>
      </c>
      <c r="P819" s="3" t="s">
        <v>115</v>
      </c>
      <c r="Q819" s="2" t="s">
        <v>6278</v>
      </c>
      <c r="R819" s="3" t="s">
        <v>67</v>
      </c>
      <c r="S819" s="4">
        <v>3</v>
      </c>
      <c r="T819" s="4">
        <v>3</v>
      </c>
      <c r="U819" s="5" t="s">
        <v>6459</v>
      </c>
      <c r="V819" s="5" t="s">
        <v>6459</v>
      </c>
      <c r="W819" s="5" t="s">
        <v>4730</v>
      </c>
      <c r="X819" s="5" t="s">
        <v>4730</v>
      </c>
      <c r="Y819" s="4">
        <v>439</v>
      </c>
      <c r="Z819" s="4">
        <v>343</v>
      </c>
      <c r="AA819" s="4">
        <v>455</v>
      </c>
      <c r="AB819" s="4">
        <v>5</v>
      </c>
      <c r="AC819" s="4">
        <v>5</v>
      </c>
      <c r="AD819" s="4">
        <v>13</v>
      </c>
      <c r="AE819" s="4">
        <v>21</v>
      </c>
      <c r="AF819" s="4">
        <v>3</v>
      </c>
      <c r="AG819" s="4">
        <v>5</v>
      </c>
      <c r="AH819" s="4">
        <v>2</v>
      </c>
      <c r="AI819" s="4">
        <v>7</v>
      </c>
      <c r="AJ819" s="4">
        <v>11</v>
      </c>
      <c r="AK819" s="4">
        <v>15</v>
      </c>
      <c r="AL819" s="4">
        <v>2</v>
      </c>
      <c r="AM819" s="4">
        <v>2</v>
      </c>
      <c r="AN819" s="4">
        <v>0</v>
      </c>
      <c r="AO819" s="4">
        <v>0</v>
      </c>
      <c r="AP819" s="3" t="s">
        <v>58</v>
      </c>
      <c r="AQ819" s="3" t="s">
        <v>86</v>
      </c>
      <c r="AR819" s="6" t="str">
        <f>HYPERLINK("http://catalog.hathitrust.org/Record/000098660","HathiTrust Record")</f>
        <v>HathiTrust Record</v>
      </c>
      <c r="AS819" s="6" t="str">
        <f>HYPERLINK("https://creighton-primo.hosted.exlibrisgroup.com/primo-explore/search?tab=default_tab&amp;search_scope=EVERYTHING&amp;vid=01CRU&amp;lang=en_US&amp;offset=0&amp;query=any,contains,991004975179702656","Catalog Record")</f>
        <v>Catalog Record</v>
      </c>
      <c r="AT819" s="6" t="str">
        <f>HYPERLINK("http://www.worldcat.org/oclc/6379434","WorldCat Record")</f>
        <v>WorldCat Record</v>
      </c>
      <c r="AU819" s="3" t="s">
        <v>10701</v>
      </c>
      <c r="AV819" s="3" t="s">
        <v>10702</v>
      </c>
      <c r="AW819" s="3" t="s">
        <v>10703</v>
      </c>
      <c r="AX819" s="3" t="s">
        <v>10703</v>
      </c>
      <c r="AY819" s="3" t="s">
        <v>10704</v>
      </c>
      <c r="AZ819" s="3" t="s">
        <v>74</v>
      </c>
      <c r="BB819" s="3" t="s">
        <v>10705</v>
      </c>
      <c r="BC819" s="3" t="s">
        <v>10706</v>
      </c>
      <c r="BD819" s="3" t="s">
        <v>10707</v>
      </c>
    </row>
    <row r="820" spans="1:56" ht="42.75" customHeight="1" x14ac:dyDescent="0.25">
      <c r="A820" s="7" t="s">
        <v>58</v>
      </c>
      <c r="B820" s="2" t="s">
        <v>10708</v>
      </c>
      <c r="C820" s="2" t="s">
        <v>10709</v>
      </c>
      <c r="D820" s="2" t="s">
        <v>10710</v>
      </c>
      <c r="F820" s="3" t="s">
        <v>58</v>
      </c>
      <c r="G820" s="3" t="s">
        <v>59</v>
      </c>
      <c r="H820" s="3" t="s">
        <v>58</v>
      </c>
      <c r="I820" s="3" t="s">
        <v>58</v>
      </c>
      <c r="J820" s="3" t="s">
        <v>60</v>
      </c>
      <c r="K820" s="2" t="s">
        <v>10711</v>
      </c>
      <c r="L820" s="2" t="s">
        <v>10712</v>
      </c>
      <c r="M820" s="3" t="s">
        <v>4296</v>
      </c>
      <c r="O820" s="3" t="s">
        <v>64</v>
      </c>
      <c r="P820" s="3" t="s">
        <v>115</v>
      </c>
      <c r="R820" s="3" t="s">
        <v>67</v>
      </c>
      <c r="S820" s="4">
        <v>3</v>
      </c>
      <c r="T820" s="4">
        <v>3</v>
      </c>
      <c r="U820" s="5" t="s">
        <v>10713</v>
      </c>
      <c r="V820" s="5" t="s">
        <v>10713</v>
      </c>
      <c r="W820" s="5" t="s">
        <v>8602</v>
      </c>
      <c r="X820" s="5" t="s">
        <v>8602</v>
      </c>
      <c r="Y820" s="4">
        <v>372</v>
      </c>
      <c r="Z820" s="4">
        <v>290</v>
      </c>
      <c r="AA820" s="4">
        <v>297</v>
      </c>
      <c r="AB820" s="4">
        <v>4</v>
      </c>
      <c r="AC820" s="4">
        <v>4</v>
      </c>
      <c r="AD820" s="4">
        <v>11</v>
      </c>
      <c r="AE820" s="4">
        <v>11</v>
      </c>
      <c r="AF820" s="4">
        <v>3</v>
      </c>
      <c r="AG820" s="4">
        <v>3</v>
      </c>
      <c r="AH820" s="4">
        <v>2</v>
      </c>
      <c r="AI820" s="4">
        <v>2</v>
      </c>
      <c r="AJ820" s="4">
        <v>5</v>
      </c>
      <c r="AK820" s="4">
        <v>5</v>
      </c>
      <c r="AL820" s="4">
        <v>2</v>
      </c>
      <c r="AM820" s="4">
        <v>2</v>
      </c>
      <c r="AN820" s="4">
        <v>0</v>
      </c>
      <c r="AO820" s="4">
        <v>0</v>
      </c>
      <c r="AP820" s="3" t="s">
        <v>58</v>
      </c>
      <c r="AQ820" s="3" t="s">
        <v>86</v>
      </c>
      <c r="AR820" s="6" t="str">
        <f>HYPERLINK("http://catalog.hathitrust.org/Record/000041699","HathiTrust Record")</f>
        <v>HathiTrust Record</v>
      </c>
      <c r="AS820" s="6" t="str">
        <f>HYPERLINK("https://creighton-primo.hosted.exlibrisgroup.com/primo-explore/search?tab=default_tab&amp;search_scope=EVERYTHING&amp;vid=01CRU&amp;lang=en_US&amp;offset=0&amp;query=any,contains,991003596919702656","Catalog Record")</f>
        <v>Catalog Record</v>
      </c>
      <c r="AT820" s="6" t="str">
        <f>HYPERLINK("http://www.worldcat.org/oclc/1175853","WorldCat Record")</f>
        <v>WorldCat Record</v>
      </c>
      <c r="AU820" s="3" t="s">
        <v>10714</v>
      </c>
      <c r="AV820" s="3" t="s">
        <v>10715</v>
      </c>
      <c r="AW820" s="3" t="s">
        <v>10716</v>
      </c>
      <c r="AX820" s="3" t="s">
        <v>10716</v>
      </c>
      <c r="AY820" s="3" t="s">
        <v>10717</v>
      </c>
      <c r="AZ820" s="3" t="s">
        <v>74</v>
      </c>
      <c r="BB820" s="3" t="s">
        <v>10718</v>
      </c>
      <c r="BC820" s="3" t="s">
        <v>10719</v>
      </c>
      <c r="BD820" s="3" t="s">
        <v>10720</v>
      </c>
    </row>
    <row r="821" spans="1:56" ht="42.75" customHeight="1" x14ac:dyDescent="0.25">
      <c r="A821" s="7" t="s">
        <v>58</v>
      </c>
      <c r="B821" s="2" t="s">
        <v>10721</v>
      </c>
      <c r="C821" s="2" t="s">
        <v>10722</v>
      </c>
      <c r="D821" s="2" t="s">
        <v>10723</v>
      </c>
      <c r="F821" s="3" t="s">
        <v>58</v>
      </c>
      <c r="G821" s="3" t="s">
        <v>59</v>
      </c>
      <c r="H821" s="3" t="s">
        <v>58</v>
      </c>
      <c r="I821" s="3" t="s">
        <v>58</v>
      </c>
      <c r="J821" s="3" t="s">
        <v>60</v>
      </c>
      <c r="K821" s="2" t="s">
        <v>10724</v>
      </c>
      <c r="L821" s="2" t="s">
        <v>10725</v>
      </c>
      <c r="M821" s="3" t="s">
        <v>223</v>
      </c>
      <c r="O821" s="3" t="s">
        <v>64</v>
      </c>
      <c r="P821" s="3" t="s">
        <v>208</v>
      </c>
      <c r="R821" s="3" t="s">
        <v>67</v>
      </c>
      <c r="S821" s="4">
        <v>1</v>
      </c>
      <c r="T821" s="4">
        <v>1</v>
      </c>
      <c r="U821" s="5" t="s">
        <v>10726</v>
      </c>
      <c r="V821" s="5" t="s">
        <v>10726</v>
      </c>
      <c r="W821" s="5" t="s">
        <v>4730</v>
      </c>
      <c r="X821" s="5" t="s">
        <v>4730</v>
      </c>
      <c r="Y821" s="4">
        <v>277</v>
      </c>
      <c r="Z821" s="4">
        <v>212</v>
      </c>
      <c r="AA821" s="4">
        <v>310</v>
      </c>
      <c r="AB821" s="4">
        <v>2</v>
      </c>
      <c r="AC821" s="4">
        <v>5</v>
      </c>
      <c r="AD821" s="4">
        <v>11</v>
      </c>
      <c r="AE821" s="4">
        <v>15</v>
      </c>
      <c r="AF821" s="4">
        <v>2</v>
      </c>
      <c r="AG821" s="4">
        <v>4</v>
      </c>
      <c r="AH821" s="4">
        <v>3</v>
      </c>
      <c r="AI821" s="4">
        <v>4</v>
      </c>
      <c r="AJ821" s="4">
        <v>8</v>
      </c>
      <c r="AK821" s="4">
        <v>9</v>
      </c>
      <c r="AL821" s="4">
        <v>1</v>
      </c>
      <c r="AM821" s="4">
        <v>2</v>
      </c>
      <c r="AN821" s="4">
        <v>0</v>
      </c>
      <c r="AO821" s="4">
        <v>0</v>
      </c>
      <c r="AP821" s="3" t="s">
        <v>58</v>
      </c>
      <c r="AQ821" s="3" t="s">
        <v>86</v>
      </c>
      <c r="AR821" s="6" t="str">
        <f>HYPERLINK("http://catalog.hathitrust.org/Record/000713056","HathiTrust Record")</f>
        <v>HathiTrust Record</v>
      </c>
      <c r="AS821" s="6" t="str">
        <f>HYPERLINK("https://creighton-primo.hosted.exlibrisgroup.com/primo-explore/search?tab=default_tab&amp;search_scope=EVERYTHING&amp;vid=01CRU&amp;lang=en_US&amp;offset=0&amp;query=any,contains,991004381779702656","Catalog Record")</f>
        <v>Catalog Record</v>
      </c>
      <c r="AT821" s="6" t="str">
        <f>HYPERLINK("http://www.worldcat.org/oclc/3223707","WorldCat Record")</f>
        <v>WorldCat Record</v>
      </c>
      <c r="AU821" s="3" t="s">
        <v>10727</v>
      </c>
      <c r="AV821" s="3" t="s">
        <v>10728</v>
      </c>
      <c r="AW821" s="3" t="s">
        <v>10729</v>
      </c>
      <c r="AX821" s="3" t="s">
        <v>10729</v>
      </c>
      <c r="AY821" s="3" t="s">
        <v>10730</v>
      </c>
      <c r="AZ821" s="3" t="s">
        <v>74</v>
      </c>
      <c r="BB821" s="3" t="s">
        <v>10731</v>
      </c>
      <c r="BC821" s="3" t="s">
        <v>10732</v>
      </c>
      <c r="BD821" s="3" t="s">
        <v>10733</v>
      </c>
    </row>
    <row r="822" spans="1:56" ht="42.75" customHeight="1" x14ac:dyDescent="0.25">
      <c r="A822" s="7" t="s">
        <v>58</v>
      </c>
      <c r="B822" s="2" t="s">
        <v>10734</v>
      </c>
      <c r="C822" s="2" t="s">
        <v>10735</v>
      </c>
      <c r="D822" s="2" t="s">
        <v>10736</v>
      </c>
      <c r="F822" s="3" t="s">
        <v>58</v>
      </c>
      <c r="G822" s="3" t="s">
        <v>59</v>
      </c>
      <c r="H822" s="3" t="s">
        <v>58</v>
      </c>
      <c r="I822" s="3" t="s">
        <v>58</v>
      </c>
      <c r="J822" s="3" t="s">
        <v>60</v>
      </c>
      <c r="K822" s="2" t="s">
        <v>8573</v>
      </c>
      <c r="L822" s="2" t="s">
        <v>10737</v>
      </c>
      <c r="M822" s="3" t="s">
        <v>163</v>
      </c>
      <c r="O822" s="3" t="s">
        <v>64</v>
      </c>
      <c r="P822" s="3" t="s">
        <v>115</v>
      </c>
      <c r="Q822" s="2" t="s">
        <v>10738</v>
      </c>
      <c r="R822" s="3" t="s">
        <v>67</v>
      </c>
      <c r="S822" s="4">
        <v>1</v>
      </c>
      <c r="T822" s="4">
        <v>1</v>
      </c>
      <c r="U822" s="5" t="s">
        <v>8574</v>
      </c>
      <c r="V822" s="5" t="s">
        <v>8574</v>
      </c>
      <c r="W822" s="5" t="s">
        <v>165</v>
      </c>
      <c r="X822" s="5" t="s">
        <v>165</v>
      </c>
      <c r="Y822" s="4">
        <v>757</v>
      </c>
      <c r="Z822" s="4">
        <v>595</v>
      </c>
      <c r="AA822" s="4">
        <v>615</v>
      </c>
      <c r="AB822" s="4">
        <v>5</v>
      </c>
      <c r="AC822" s="4">
        <v>5</v>
      </c>
      <c r="AD822" s="4">
        <v>25</v>
      </c>
      <c r="AE822" s="4">
        <v>25</v>
      </c>
      <c r="AF822" s="4">
        <v>10</v>
      </c>
      <c r="AG822" s="4">
        <v>10</v>
      </c>
      <c r="AH822" s="4">
        <v>3</v>
      </c>
      <c r="AI822" s="4">
        <v>3</v>
      </c>
      <c r="AJ822" s="4">
        <v>12</v>
      </c>
      <c r="AK822" s="4">
        <v>12</v>
      </c>
      <c r="AL822" s="4">
        <v>4</v>
      </c>
      <c r="AM822" s="4">
        <v>4</v>
      </c>
      <c r="AN822" s="4">
        <v>0</v>
      </c>
      <c r="AO822" s="4">
        <v>0</v>
      </c>
      <c r="AP822" s="3" t="s">
        <v>58</v>
      </c>
      <c r="AQ822" s="3" t="s">
        <v>86</v>
      </c>
      <c r="AR822" s="6" t="str">
        <f>HYPERLINK("http://catalog.hathitrust.org/Record/001564717","HathiTrust Record")</f>
        <v>HathiTrust Record</v>
      </c>
      <c r="AS822" s="6" t="str">
        <f>HYPERLINK("https://creighton-primo.hosted.exlibrisgroup.com/primo-explore/search?tab=default_tab&amp;search_scope=EVERYTHING&amp;vid=01CRU&amp;lang=en_US&amp;offset=0&amp;query=any,contains,991000801549702656","Catalog Record")</f>
        <v>Catalog Record</v>
      </c>
      <c r="AT822" s="6" t="str">
        <f>HYPERLINK("http://www.worldcat.org/oclc/139060","WorldCat Record")</f>
        <v>WorldCat Record</v>
      </c>
      <c r="AU822" s="3" t="s">
        <v>10739</v>
      </c>
      <c r="AV822" s="3" t="s">
        <v>10740</v>
      </c>
      <c r="AW822" s="3" t="s">
        <v>10741</v>
      </c>
      <c r="AX822" s="3" t="s">
        <v>10741</v>
      </c>
      <c r="AY822" s="3" t="s">
        <v>10742</v>
      </c>
      <c r="AZ822" s="3" t="s">
        <v>74</v>
      </c>
      <c r="BB822" s="3" t="s">
        <v>10743</v>
      </c>
      <c r="BC822" s="3" t="s">
        <v>10744</v>
      </c>
      <c r="BD822" s="3" t="s">
        <v>10745</v>
      </c>
    </row>
    <row r="823" spans="1:56" ht="42.75" customHeight="1" x14ac:dyDescent="0.25">
      <c r="A823" s="7" t="s">
        <v>58</v>
      </c>
      <c r="B823" s="2" t="s">
        <v>10746</v>
      </c>
      <c r="C823" s="2" t="s">
        <v>10747</v>
      </c>
      <c r="D823" s="2" t="s">
        <v>10748</v>
      </c>
      <c r="F823" s="3" t="s">
        <v>58</v>
      </c>
      <c r="G823" s="3" t="s">
        <v>59</v>
      </c>
      <c r="H823" s="3" t="s">
        <v>58</v>
      </c>
      <c r="I823" s="3" t="s">
        <v>58</v>
      </c>
      <c r="J823" s="3" t="s">
        <v>60</v>
      </c>
      <c r="K823" s="2" t="s">
        <v>10749</v>
      </c>
      <c r="L823" s="2" t="s">
        <v>10750</v>
      </c>
      <c r="M823" s="3" t="s">
        <v>5200</v>
      </c>
      <c r="O823" s="3" t="s">
        <v>64</v>
      </c>
      <c r="P823" s="3" t="s">
        <v>115</v>
      </c>
      <c r="Q823" s="2" t="s">
        <v>10751</v>
      </c>
      <c r="R823" s="3" t="s">
        <v>67</v>
      </c>
      <c r="S823" s="4">
        <v>1</v>
      </c>
      <c r="T823" s="4">
        <v>1</v>
      </c>
      <c r="U823" s="5" t="s">
        <v>6569</v>
      </c>
      <c r="V823" s="5" t="s">
        <v>6569</v>
      </c>
      <c r="W823" s="5" t="s">
        <v>165</v>
      </c>
      <c r="X823" s="5" t="s">
        <v>165</v>
      </c>
      <c r="Y823" s="4">
        <v>358</v>
      </c>
      <c r="Z823" s="4">
        <v>269</v>
      </c>
      <c r="AA823" s="4">
        <v>276</v>
      </c>
      <c r="AB823" s="4">
        <v>3</v>
      </c>
      <c r="AC823" s="4">
        <v>3</v>
      </c>
      <c r="AD823" s="4">
        <v>14</v>
      </c>
      <c r="AE823" s="4">
        <v>14</v>
      </c>
      <c r="AF823" s="4">
        <v>4</v>
      </c>
      <c r="AG823" s="4">
        <v>4</v>
      </c>
      <c r="AH823" s="4">
        <v>4</v>
      </c>
      <c r="AI823" s="4">
        <v>4</v>
      </c>
      <c r="AJ823" s="4">
        <v>9</v>
      </c>
      <c r="AK823" s="4">
        <v>9</v>
      </c>
      <c r="AL823" s="4">
        <v>2</v>
      </c>
      <c r="AM823" s="4">
        <v>2</v>
      </c>
      <c r="AN823" s="4">
        <v>0</v>
      </c>
      <c r="AO823" s="4">
        <v>0</v>
      </c>
      <c r="AP823" s="3" t="s">
        <v>58</v>
      </c>
      <c r="AQ823" s="3" t="s">
        <v>86</v>
      </c>
      <c r="AR823" s="6" t="str">
        <f>HYPERLINK("http://catalog.hathitrust.org/Record/000009102","HathiTrust Record")</f>
        <v>HathiTrust Record</v>
      </c>
      <c r="AS823" s="6" t="str">
        <f>HYPERLINK("https://creighton-primo.hosted.exlibrisgroup.com/primo-explore/search?tab=default_tab&amp;search_scope=EVERYTHING&amp;vid=01CRU&amp;lang=en_US&amp;offset=0&amp;query=any,contains,991003103169702656","Catalog Record")</f>
        <v>Catalog Record</v>
      </c>
      <c r="AT823" s="6" t="str">
        <f>HYPERLINK("http://www.worldcat.org/oclc/652433","WorldCat Record")</f>
        <v>WorldCat Record</v>
      </c>
      <c r="AU823" s="3" t="s">
        <v>10752</v>
      </c>
      <c r="AV823" s="3" t="s">
        <v>10753</v>
      </c>
      <c r="AW823" s="3" t="s">
        <v>10754</v>
      </c>
      <c r="AX823" s="3" t="s">
        <v>10754</v>
      </c>
      <c r="AY823" s="3" t="s">
        <v>10755</v>
      </c>
      <c r="AZ823" s="3" t="s">
        <v>74</v>
      </c>
      <c r="BC823" s="3" t="s">
        <v>10756</v>
      </c>
      <c r="BD823" s="3" t="s">
        <v>10757</v>
      </c>
    </row>
    <row r="824" spans="1:56" ht="42.75" customHeight="1" x14ac:dyDescent="0.25">
      <c r="A824" s="7" t="s">
        <v>58</v>
      </c>
      <c r="B824" s="2" t="s">
        <v>10758</v>
      </c>
      <c r="C824" s="2" t="s">
        <v>10759</v>
      </c>
      <c r="D824" s="2" t="s">
        <v>10760</v>
      </c>
      <c r="F824" s="3" t="s">
        <v>58</v>
      </c>
      <c r="G824" s="3" t="s">
        <v>59</v>
      </c>
      <c r="H824" s="3" t="s">
        <v>58</v>
      </c>
      <c r="I824" s="3" t="s">
        <v>58</v>
      </c>
      <c r="J824" s="3" t="s">
        <v>60</v>
      </c>
      <c r="K824" s="2" t="s">
        <v>10761</v>
      </c>
      <c r="L824" s="2" t="s">
        <v>113</v>
      </c>
      <c r="M824" s="3" t="s">
        <v>114</v>
      </c>
      <c r="O824" s="3" t="s">
        <v>64</v>
      </c>
      <c r="P824" s="3" t="s">
        <v>115</v>
      </c>
      <c r="Q824" s="2" t="s">
        <v>10762</v>
      </c>
      <c r="R824" s="3" t="s">
        <v>67</v>
      </c>
      <c r="S824" s="4">
        <v>9</v>
      </c>
      <c r="T824" s="4">
        <v>9</v>
      </c>
      <c r="U824" s="5" t="s">
        <v>8405</v>
      </c>
      <c r="V824" s="5" t="s">
        <v>8405</v>
      </c>
      <c r="W824" s="5" t="s">
        <v>415</v>
      </c>
      <c r="X824" s="5" t="s">
        <v>415</v>
      </c>
      <c r="Y824" s="4">
        <v>420</v>
      </c>
      <c r="Z824" s="4">
        <v>363</v>
      </c>
      <c r="AA824" s="4">
        <v>373</v>
      </c>
      <c r="AB824" s="4">
        <v>3</v>
      </c>
      <c r="AC824" s="4">
        <v>3</v>
      </c>
      <c r="AD824" s="4">
        <v>20</v>
      </c>
      <c r="AE824" s="4">
        <v>21</v>
      </c>
      <c r="AF824" s="4">
        <v>6</v>
      </c>
      <c r="AG824" s="4">
        <v>7</v>
      </c>
      <c r="AH824" s="4">
        <v>5</v>
      </c>
      <c r="AI824" s="4">
        <v>5</v>
      </c>
      <c r="AJ824" s="4">
        <v>11</v>
      </c>
      <c r="AK824" s="4">
        <v>12</v>
      </c>
      <c r="AL824" s="4">
        <v>2</v>
      </c>
      <c r="AM824" s="4">
        <v>2</v>
      </c>
      <c r="AN824" s="4">
        <v>1</v>
      </c>
      <c r="AO824" s="4">
        <v>1</v>
      </c>
      <c r="AP824" s="3" t="s">
        <v>58</v>
      </c>
      <c r="AQ824" s="3" t="s">
        <v>86</v>
      </c>
      <c r="AR824" s="6" t="str">
        <f>HYPERLINK("http://catalog.hathitrust.org/Record/000126165","HathiTrust Record")</f>
        <v>HathiTrust Record</v>
      </c>
      <c r="AS824" s="6" t="str">
        <f>HYPERLINK("https://creighton-primo.hosted.exlibrisgroup.com/primo-explore/search?tab=default_tab&amp;search_scope=EVERYTHING&amp;vid=01CRU&amp;lang=en_US&amp;offset=0&amp;query=any,contains,991000292159702656","Catalog Record")</f>
        <v>Catalog Record</v>
      </c>
      <c r="AT824" s="6" t="str">
        <f>HYPERLINK("http://www.worldcat.org/oclc/9970354","WorldCat Record")</f>
        <v>WorldCat Record</v>
      </c>
      <c r="AU824" s="3" t="s">
        <v>10763</v>
      </c>
      <c r="AV824" s="3" t="s">
        <v>10764</v>
      </c>
      <c r="AW824" s="3" t="s">
        <v>10765</v>
      </c>
      <c r="AX824" s="3" t="s">
        <v>10765</v>
      </c>
      <c r="AY824" s="3" t="s">
        <v>10766</v>
      </c>
      <c r="AZ824" s="3" t="s">
        <v>74</v>
      </c>
      <c r="BB824" s="3" t="s">
        <v>10767</v>
      </c>
      <c r="BC824" s="3" t="s">
        <v>10768</v>
      </c>
      <c r="BD824" s="3" t="s">
        <v>10769</v>
      </c>
    </row>
    <row r="825" spans="1:56" ht="42.75" customHeight="1" x14ac:dyDescent="0.25">
      <c r="A825" s="7" t="s">
        <v>58</v>
      </c>
      <c r="B825" s="2" t="s">
        <v>10770</v>
      </c>
      <c r="C825" s="2" t="s">
        <v>10771</v>
      </c>
      <c r="D825" s="2" t="s">
        <v>10772</v>
      </c>
      <c r="F825" s="3" t="s">
        <v>58</v>
      </c>
      <c r="G825" s="3" t="s">
        <v>59</v>
      </c>
      <c r="H825" s="3" t="s">
        <v>58</v>
      </c>
      <c r="I825" s="3" t="s">
        <v>58</v>
      </c>
      <c r="J825" s="3" t="s">
        <v>60</v>
      </c>
      <c r="L825" s="2" t="s">
        <v>10773</v>
      </c>
      <c r="M825" s="3" t="s">
        <v>3914</v>
      </c>
      <c r="O825" s="3" t="s">
        <v>64</v>
      </c>
      <c r="P825" s="3" t="s">
        <v>115</v>
      </c>
      <c r="Q825" s="2" t="s">
        <v>10774</v>
      </c>
      <c r="R825" s="3" t="s">
        <v>67</v>
      </c>
      <c r="S825" s="4">
        <v>2</v>
      </c>
      <c r="T825" s="4">
        <v>2</v>
      </c>
      <c r="U825" s="5" t="s">
        <v>8574</v>
      </c>
      <c r="V825" s="5" t="s">
        <v>8574</v>
      </c>
      <c r="W825" s="5" t="s">
        <v>8537</v>
      </c>
      <c r="X825" s="5" t="s">
        <v>8537</v>
      </c>
      <c r="Y825" s="4">
        <v>616</v>
      </c>
      <c r="Z825" s="4">
        <v>508</v>
      </c>
      <c r="AA825" s="4">
        <v>511</v>
      </c>
      <c r="AB825" s="4">
        <v>4</v>
      </c>
      <c r="AC825" s="4">
        <v>4</v>
      </c>
      <c r="AD825" s="4">
        <v>26</v>
      </c>
      <c r="AE825" s="4">
        <v>26</v>
      </c>
      <c r="AF825" s="4">
        <v>11</v>
      </c>
      <c r="AG825" s="4">
        <v>11</v>
      </c>
      <c r="AH825" s="4">
        <v>6</v>
      </c>
      <c r="AI825" s="4">
        <v>6</v>
      </c>
      <c r="AJ825" s="4">
        <v>15</v>
      </c>
      <c r="AK825" s="4">
        <v>15</v>
      </c>
      <c r="AL825" s="4">
        <v>2</v>
      </c>
      <c r="AM825" s="4">
        <v>2</v>
      </c>
      <c r="AN825" s="4">
        <v>0</v>
      </c>
      <c r="AO825" s="4">
        <v>0</v>
      </c>
      <c r="AP825" s="3" t="s">
        <v>58</v>
      </c>
      <c r="AQ825" s="3" t="s">
        <v>86</v>
      </c>
      <c r="AR825" s="6" t="str">
        <f>HYPERLINK("http://catalog.hathitrust.org/Record/000691338","HathiTrust Record")</f>
        <v>HathiTrust Record</v>
      </c>
      <c r="AS825" s="6" t="str">
        <f>HYPERLINK("https://creighton-primo.hosted.exlibrisgroup.com/primo-explore/search?tab=default_tab&amp;search_scope=EVERYTHING&amp;vid=01CRU&amp;lang=en_US&amp;offset=0&amp;query=any,contains,991003992059702656","Catalog Record")</f>
        <v>Catalog Record</v>
      </c>
      <c r="AT825" s="6" t="str">
        <f>HYPERLINK("http://www.worldcat.org/oclc/2048225","WorldCat Record")</f>
        <v>WorldCat Record</v>
      </c>
      <c r="AU825" s="3" t="s">
        <v>10775</v>
      </c>
      <c r="AV825" s="3" t="s">
        <v>10776</v>
      </c>
      <c r="AW825" s="3" t="s">
        <v>10777</v>
      </c>
      <c r="AX825" s="3" t="s">
        <v>10777</v>
      </c>
      <c r="AY825" s="3" t="s">
        <v>10778</v>
      </c>
      <c r="AZ825" s="3" t="s">
        <v>74</v>
      </c>
      <c r="BB825" s="3" t="s">
        <v>10779</v>
      </c>
      <c r="BC825" s="3" t="s">
        <v>10780</v>
      </c>
      <c r="BD825" s="3" t="s">
        <v>10781</v>
      </c>
    </row>
    <row r="826" spans="1:56" ht="42.75" customHeight="1" x14ac:dyDescent="0.25">
      <c r="A826" s="7" t="s">
        <v>58</v>
      </c>
      <c r="B826" s="2" t="s">
        <v>10782</v>
      </c>
      <c r="C826" s="2" t="s">
        <v>10783</v>
      </c>
      <c r="D826" s="2" t="s">
        <v>10784</v>
      </c>
      <c r="F826" s="3" t="s">
        <v>58</v>
      </c>
      <c r="G826" s="3" t="s">
        <v>59</v>
      </c>
      <c r="H826" s="3" t="s">
        <v>58</v>
      </c>
      <c r="I826" s="3" t="s">
        <v>58</v>
      </c>
      <c r="J826" s="3" t="s">
        <v>60</v>
      </c>
      <c r="L826" s="2" t="s">
        <v>10785</v>
      </c>
      <c r="M826" s="3" t="s">
        <v>2770</v>
      </c>
      <c r="O826" s="3" t="s">
        <v>64</v>
      </c>
      <c r="P826" s="3" t="s">
        <v>178</v>
      </c>
      <c r="Q826" s="2" t="s">
        <v>10786</v>
      </c>
      <c r="R826" s="3" t="s">
        <v>67</v>
      </c>
      <c r="S826" s="4">
        <v>2</v>
      </c>
      <c r="T826" s="4">
        <v>2</v>
      </c>
      <c r="U826" s="5" t="s">
        <v>10787</v>
      </c>
      <c r="V826" s="5" t="s">
        <v>10787</v>
      </c>
      <c r="W826" s="5" t="s">
        <v>4730</v>
      </c>
      <c r="X826" s="5" t="s">
        <v>4730</v>
      </c>
      <c r="Y826" s="4">
        <v>194</v>
      </c>
      <c r="Z826" s="4">
        <v>167</v>
      </c>
      <c r="AA826" s="4">
        <v>168</v>
      </c>
      <c r="AB826" s="4">
        <v>2</v>
      </c>
      <c r="AC826" s="4">
        <v>2</v>
      </c>
      <c r="AD826" s="4">
        <v>8</v>
      </c>
      <c r="AE826" s="4">
        <v>8</v>
      </c>
      <c r="AF826" s="4">
        <v>2</v>
      </c>
      <c r="AG826" s="4">
        <v>2</v>
      </c>
      <c r="AH826" s="4">
        <v>3</v>
      </c>
      <c r="AI826" s="4">
        <v>3</v>
      </c>
      <c r="AJ826" s="4">
        <v>6</v>
      </c>
      <c r="AK826" s="4">
        <v>6</v>
      </c>
      <c r="AL826" s="4">
        <v>1</v>
      </c>
      <c r="AM826" s="4">
        <v>1</v>
      </c>
      <c r="AN826" s="4">
        <v>0</v>
      </c>
      <c r="AO826" s="4">
        <v>0</v>
      </c>
      <c r="AP826" s="3" t="s">
        <v>58</v>
      </c>
      <c r="AQ826" s="3" t="s">
        <v>86</v>
      </c>
      <c r="AR826" s="6" t="str">
        <f>HYPERLINK("http://catalog.hathitrust.org/Record/000618509","HathiTrust Record")</f>
        <v>HathiTrust Record</v>
      </c>
      <c r="AS826" s="6" t="str">
        <f>HYPERLINK("https://creighton-primo.hosted.exlibrisgroup.com/primo-explore/search?tab=default_tab&amp;search_scope=EVERYTHING&amp;vid=01CRU&amp;lang=en_US&amp;offset=0&amp;query=any,contains,991004254109702656","Catalog Record")</f>
        <v>Catalog Record</v>
      </c>
      <c r="AT826" s="6" t="str">
        <f>HYPERLINK("http://www.worldcat.org/oclc/2818624","WorldCat Record")</f>
        <v>WorldCat Record</v>
      </c>
      <c r="AU826" s="3" t="s">
        <v>10788</v>
      </c>
      <c r="AV826" s="3" t="s">
        <v>10789</v>
      </c>
      <c r="AW826" s="3" t="s">
        <v>10790</v>
      </c>
      <c r="AX826" s="3" t="s">
        <v>10790</v>
      </c>
      <c r="AY826" s="3" t="s">
        <v>10791</v>
      </c>
      <c r="AZ826" s="3" t="s">
        <v>74</v>
      </c>
      <c r="BB826" s="3" t="s">
        <v>10792</v>
      </c>
      <c r="BC826" s="3" t="s">
        <v>10793</v>
      </c>
      <c r="BD826" s="3" t="s">
        <v>10794</v>
      </c>
    </row>
    <row r="827" spans="1:56" ht="42.75" customHeight="1" x14ac:dyDescent="0.25">
      <c r="A827" s="7" t="s">
        <v>58</v>
      </c>
      <c r="B827" s="2" t="s">
        <v>10795</v>
      </c>
      <c r="C827" s="2" t="s">
        <v>10796</v>
      </c>
      <c r="D827" s="2" t="s">
        <v>10797</v>
      </c>
      <c r="F827" s="3" t="s">
        <v>58</v>
      </c>
      <c r="G827" s="3" t="s">
        <v>59</v>
      </c>
      <c r="H827" s="3" t="s">
        <v>58</v>
      </c>
      <c r="I827" s="3" t="s">
        <v>58</v>
      </c>
      <c r="J827" s="3" t="s">
        <v>60</v>
      </c>
      <c r="K827" s="2" t="s">
        <v>10798</v>
      </c>
      <c r="L827" s="2" t="s">
        <v>10799</v>
      </c>
      <c r="M827" s="3" t="s">
        <v>223</v>
      </c>
      <c r="O827" s="3" t="s">
        <v>64</v>
      </c>
      <c r="P827" s="3" t="s">
        <v>65</v>
      </c>
      <c r="R827" s="3" t="s">
        <v>67</v>
      </c>
      <c r="S827" s="4">
        <v>7</v>
      </c>
      <c r="T827" s="4">
        <v>7</v>
      </c>
      <c r="U827" s="5" t="s">
        <v>8574</v>
      </c>
      <c r="V827" s="5" t="s">
        <v>8574</v>
      </c>
      <c r="W827" s="5" t="s">
        <v>69</v>
      </c>
      <c r="X827" s="5" t="s">
        <v>69</v>
      </c>
      <c r="Y827" s="4">
        <v>218</v>
      </c>
      <c r="Z827" s="4">
        <v>112</v>
      </c>
      <c r="AA827" s="4">
        <v>113</v>
      </c>
      <c r="AB827" s="4">
        <v>2</v>
      </c>
      <c r="AC827" s="4">
        <v>2</v>
      </c>
      <c r="AD827" s="4">
        <v>4</v>
      </c>
      <c r="AE827" s="4">
        <v>4</v>
      </c>
      <c r="AF827" s="4">
        <v>0</v>
      </c>
      <c r="AG827" s="4">
        <v>0</v>
      </c>
      <c r="AH827" s="4">
        <v>1</v>
      </c>
      <c r="AI827" s="4">
        <v>1</v>
      </c>
      <c r="AJ827" s="4">
        <v>2</v>
      </c>
      <c r="AK827" s="4">
        <v>2</v>
      </c>
      <c r="AL827" s="4">
        <v>1</v>
      </c>
      <c r="AM827" s="4">
        <v>1</v>
      </c>
      <c r="AN827" s="4">
        <v>0</v>
      </c>
      <c r="AO827" s="4">
        <v>0</v>
      </c>
      <c r="AP827" s="3" t="s">
        <v>58</v>
      </c>
      <c r="AQ827" s="3" t="s">
        <v>86</v>
      </c>
      <c r="AR827" s="6" t="str">
        <f>HYPERLINK("http://catalog.hathitrust.org/Record/000256950","HathiTrust Record")</f>
        <v>HathiTrust Record</v>
      </c>
      <c r="AS827" s="6" t="str">
        <f>HYPERLINK("https://creighton-primo.hosted.exlibrisgroup.com/primo-explore/search?tab=default_tab&amp;search_scope=EVERYTHING&amp;vid=01CRU&amp;lang=en_US&amp;offset=0&amp;query=any,contains,991004664409702656","Catalog Record")</f>
        <v>Catalog Record</v>
      </c>
      <c r="AT827" s="6" t="str">
        <f>HYPERLINK("http://www.worldcat.org/oclc/4499906","WorldCat Record")</f>
        <v>WorldCat Record</v>
      </c>
      <c r="AU827" s="3" t="s">
        <v>10800</v>
      </c>
      <c r="AV827" s="3" t="s">
        <v>10801</v>
      </c>
      <c r="AW827" s="3" t="s">
        <v>10802</v>
      </c>
      <c r="AX827" s="3" t="s">
        <v>10802</v>
      </c>
      <c r="AY827" s="3" t="s">
        <v>10803</v>
      </c>
      <c r="AZ827" s="3" t="s">
        <v>74</v>
      </c>
      <c r="BB827" s="3" t="s">
        <v>10804</v>
      </c>
      <c r="BC827" s="3" t="s">
        <v>10805</v>
      </c>
      <c r="BD827" s="3" t="s">
        <v>10806</v>
      </c>
    </row>
    <row r="828" spans="1:56" ht="42.75" customHeight="1" x14ac:dyDescent="0.25">
      <c r="A828" s="7" t="s">
        <v>58</v>
      </c>
      <c r="B828" s="2" t="s">
        <v>10807</v>
      </c>
      <c r="C828" s="2" t="s">
        <v>10808</v>
      </c>
      <c r="D828" s="2" t="s">
        <v>10809</v>
      </c>
      <c r="F828" s="3" t="s">
        <v>58</v>
      </c>
      <c r="G828" s="3" t="s">
        <v>59</v>
      </c>
      <c r="H828" s="3" t="s">
        <v>58</v>
      </c>
      <c r="I828" s="3" t="s">
        <v>58</v>
      </c>
      <c r="J828" s="3" t="s">
        <v>60</v>
      </c>
      <c r="K828" s="2" t="s">
        <v>10810</v>
      </c>
      <c r="L828" s="2" t="s">
        <v>10811</v>
      </c>
      <c r="M828" s="3" t="s">
        <v>344</v>
      </c>
      <c r="O828" s="3" t="s">
        <v>64</v>
      </c>
      <c r="P828" s="3" t="s">
        <v>1898</v>
      </c>
      <c r="R828" s="3" t="s">
        <v>67</v>
      </c>
      <c r="S828" s="4">
        <v>4</v>
      </c>
      <c r="T828" s="4">
        <v>4</v>
      </c>
      <c r="U828" s="5" t="s">
        <v>10812</v>
      </c>
      <c r="V828" s="5" t="s">
        <v>10812</v>
      </c>
      <c r="W828" s="5" t="s">
        <v>4730</v>
      </c>
      <c r="X828" s="5" t="s">
        <v>4730</v>
      </c>
      <c r="Y828" s="4">
        <v>294</v>
      </c>
      <c r="Z828" s="4">
        <v>188</v>
      </c>
      <c r="AA828" s="4">
        <v>189</v>
      </c>
      <c r="AB828" s="4">
        <v>2</v>
      </c>
      <c r="AC828" s="4">
        <v>2</v>
      </c>
      <c r="AD828" s="4">
        <v>6</v>
      </c>
      <c r="AE828" s="4">
        <v>6</v>
      </c>
      <c r="AF828" s="4">
        <v>1</v>
      </c>
      <c r="AG828" s="4">
        <v>1</v>
      </c>
      <c r="AH828" s="4">
        <v>2</v>
      </c>
      <c r="AI828" s="4">
        <v>2</v>
      </c>
      <c r="AJ828" s="4">
        <v>3</v>
      </c>
      <c r="AK828" s="4">
        <v>3</v>
      </c>
      <c r="AL828" s="4">
        <v>1</v>
      </c>
      <c r="AM828" s="4">
        <v>1</v>
      </c>
      <c r="AN828" s="4">
        <v>0</v>
      </c>
      <c r="AO828" s="4">
        <v>0</v>
      </c>
      <c r="AP828" s="3" t="s">
        <v>58</v>
      </c>
      <c r="AQ828" s="3" t="s">
        <v>86</v>
      </c>
      <c r="AR828" s="6" t="str">
        <f>HYPERLINK("http://catalog.hathitrust.org/Record/000668929","HathiTrust Record")</f>
        <v>HathiTrust Record</v>
      </c>
      <c r="AS828" s="6" t="str">
        <f>HYPERLINK("https://creighton-primo.hosted.exlibrisgroup.com/primo-explore/search?tab=default_tab&amp;search_scope=EVERYTHING&amp;vid=01CRU&amp;lang=en_US&amp;offset=0&amp;query=any,contains,991004835949702656","Catalog Record")</f>
        <v>Catalog Record</v>
      </c>
      <c r="AT828" s="6" t="str">
        <f>HYPERLINK("http://www.worldcat.org/oclc/5447930","WorldCat Record")</f>
        <v>WorldCat Record</v>
      </c>
      <c r="AU828" s="3" t="s">
        <v>10813</v>
      </c>
      <c r="AV828" s="3" t="s">
        <v>10814</v>
      </c>
      <c r="AW828" s="3" t="s">
        <v>10815</v>
      </c>
      <c r="AX828" s="3" t="s">
        <v>10815</v>
      </c>
      <c r="AY828" s="3" t="s">
        <v>10816</v>
      </c>
      <c r="AZ828" s="3" t="s">
        <v>74</v>
      </c>
      <c r="BB828" s="3" t="s">
        <v>10817</v>
      </c>
      <c r="BC828" s="3" t="s">
        <v>10818</v>
      </c>
      <c r="BD828" s="3" t="s">
        <v>10819</v>
      </c>
    </row>
    <row r="829" spans="1:56" ht="42.75" customHeight="1" x14ac:dyDescent="0.25">
      <c r="A829" s="7" t="s">
        <v>58</v>
      </c>
      <c r="B829" s="2" t="s">
        <v>10820</v>
      </c>
      <c r="C829" s="2" t="s">
        <v>10821</v>
      </c>
      <c r="D829" s="2" t="s">
        <v>10822</v>
      </c>
      <c r="F829" s="3" t="s">
        <v>58</v>
      </c>
      <c r="G829" s="3" t="s">
        <v>59</v>
      </c>
      <c r="H829" s="3" t="s">
        <v>58</v>
      </c>
      <c r="I829" s="3" t="s">
        <v>58</v>
      </c>
      <c r="J829" s="3" t="s">
        <v>60</v>
      </c>
      <c r="K829" s="2" t="s">
        <v>10823</v>
      </c>
      <c r="L829" s="2" t="s">
        <v>10824</v>
      </c>
      <c r="M829" s="3" t="s">
        <v>223</v>
      </c>
      <c r="O829" s="3" t="s">
        <v>64</v>
      </c>
      <c r="P829" s="3" t="s">
        <v>3929</v>
      </c>
      <c r="Q829" s="2" t="s">
        <v>10825</v>
      </c>
      <c r="R829" s="3" t="s">
        <v>67</v>
      </c>
      <c r="S829" s="4">
        <v>3</v>
      </c>
      <c r="T829" s="4">
        <v>3</v>
      </c>
      <c r="U829" s="5" t="s">
        <v>7613</v>
      </c>
      <c r="V829" s="5" t="s">
        <v>7613</v>
      </c>
      <c r="W829" s="5" t="s">
        <v>401</v>
      </c>
      <c r="X829" s="5" t="s">
        <v>401</v>
      </c>
      <c r="Y829" s="4">
        <v>490</v>
      </c>
      <c r="Z829" s="4">
        <v>395</v>
      </c>
      <c r="AA829" s="4">
        <v>397</v>
      </c>
      <c r="AB829" s="4">
        <v>3</v>
      </c>
      <c r="AC829" s="4">
        <v>3</v>
      </c>
      <c r="AD829" s="4">
        <v>8</v>
      </c>
      <c r="AE829" s="4">
        <v>8</v>
      </c>
      <c r="AF829" s="4">
        <v>3</v>
      </c>
      <c r="AG829" s="4">
        <v>3</v>
      </c>
      <c r="AH829" s="4">
        <v>1</v>
      </c>
      <c r="AI829" s="4">
        <v>1</v>
      </c>
      <c r="AJ829" s="4">
        <v>4</v>
      </c>
      <c r="AK829" s="4">
        <v>4</v>
      </c>
      <c r="AL829" s="4">
        <v>2</v>
      </c>
      <c r="AM829" s="4">
        <v>2</v>
      </c>
      <c r="AN829" s="4">
        <v>0</v>
      </c>
      <c r="AO829" s="4">
        <v>0</v>
      </c>
      <c r="AP829" s="3" t="s">
        <v>58</v>
      </c>
      <c r="AQ829" s="3" t="s">
        <v>86</v>
      </c>
      <c r="AR829" s="6" t="str">
        <f>HYPERLINK("http://catalog.hathitrust.org/Record/002492636","HathiTrust Record")</f>
        <v>HathiTrust Record</v>
      </c>
      <c r="AS829" s="6" t="str">
        <f>HYPERLINK("https://creighton-primo.hosted.exlibrisgroup.com/primo-explore/search?tab=default_tab&amp;search_scope=EVERYTHING&amp;vid=01CRU&amp;lang=en_US&amp;offset=0&amp;query=any,contains,991004545129702656","Catalog Record")</f>
        <v>Catalog Record</v>
      </c>
      <c r="AT829" s="6" t="str">
        <f>HYPERLINK("http://www.worldcat.org/oclc/3913119","WorldCat Record")</f>
        <v>WorldCat Record</v>
      </c>
      <c r="AU829" s="3" t="s">
        <v>10826</v>
      </c>
      <c r="AV829" s="3" t="s">
        <v>10827</v>
      </c>
      <c r="AW829" s="3" t="s">
        <v>10828</v>
      </c>
      <c r="AX829" s="3" t="s">
        <v>10828</v>
      </c>
      <c r="AY829" s="3" t="s">
        <v>10829</v>
      </c>
      <c r="AZ829" s="3" t="s">
        <v>74</v>
      </c>
      <c r="BC829" s="3" t="s">
        <v>10830</v>
      </c>
      <c r="BD829" s="3" t="s">
        <v>10831</v>
      </c>
    </row>
    <row r="830" spans="1:56" ht="42.75" customHeight="1" x14ac:dyDescent="0.25">
      <c r="A830" s="7" t="s">
        <v>58</v>
      </c>
      <c r="B830" s="2" t="s">
        <v>10832</v>
      </c>
      <c r="C830" s="2" t="s">
        <v>10833</v>
      </c>
      <c r="D830" s="2" t="s">
        <v>10834</v>
      </c>
      <c r="F830" s="3" t="s">
        <v>58</v>
      </c>
      <c r="G830" s="3" t="s">
        <v>59</v>
      </c>
      <c r="H830" s="3" t="s">
        <v>58</v>
      </c>
      <c r="I830" s="3" t="s">
        <v>58</v>
      </c>
      <c r="J830" s="3" t="s">
        <v>60</v>
      </c>
      <c r="L830" s="2" t="s">
        <v>10835</v>
      </c>
      <c r="M830" s="3" t="s">
        <v>1361</v>
      </c>
      <c r="O830" s="3" t="s">
        <v>64</v>
      </c>
      <c r="P830" s="3" t="s">
        <v>65</v>
      </c>
      <c r="Q830" s="2" t="s">
        <v>5980</v>
      </c>
      <c r="R830" s="3" t="s">
        <v>67</v>
      </c>
      <c r="S830" s="4">
        <v>1</v>
      </c>
      <c r="T830" s="4">
        <v>1</v>
      </c>
      <c r="U830" s="5" t="s">
        <v>10836</v>
      </c>
      <c r="V830" s="5" t="s">
        <v>10836</v>
      </c>
      <c r="W830" s="5" t="s">
        <v>10836</v>
      </c>
      <c r="X830" s="5" t="s">
        <v>10836</v>
      </c>
      <c r="Y830" s="4">
        <v>165</v>
      </c>
      <c r="Z830" s="4">
        <v>94</v>
      </c>
      <c r="AA830" s="4">
        <v>199</v>
      </c>
      <c r="AB830" s="4">
        <v>4</v>
      </c>
      <c r="AC830" s="4">
        <v>4</v>
      </c>
      <c r="AD830" s="4">
        <v>7</v>
      </c>
      <c r="AE830" s="4">
        <v>9</v>
      </c>
      <c r="AF830" s="4">
        <v>2</v>
      </c>
      <c r="AG830" s="4">
        <v>3</v>
      </c>
      <c r="AH830" s="4">
        <v>1</v>
      </c>
      <c r="AI830" s="4">
        <v>1</v>
      </c>
      <c r="AJ830" s="4">
        <v>3</v>
      </c>
      <c r="AK830" s="4">
        <v>4</v>
      </c>
      <c r="AL830" s="4">
        <v>3</v>
      </c>
      <c r="AM830" s="4">
        <v>3</v>
      </c>
      <c r="AN830" s="4">
        <v>0</v>
      </c>
      <c r="AO830" s="4">
        <v>0</v>
      </c>
      <c r="AP830" s="3" t="s">
        <v>58</v>
      </c>
      <c r="AQ830" s="3" t="s">
        <v>58</v>
      </c>
      <c r="AS830" s="6" t="str">
        <f>HYPERLINK("https://creighton-primo.hosted.exlibrisgroup.com/primo-explore/search?tab=default_tab&amp;search_scope=EVERYTHING&amp;vid=01CRU&amp;lang=en_US&amp;offset=0&amp;query=any,contains,991005301479702656","Catalog Record")</f>
        <v>Catalog Record</v>
      </c>
      <c r="AT830" s="6" t="str">
        <f>HYPERLINK("http://www.worldcat.org/oclc/154798448","WorldCat Record")</f>
        <v>WorldCat Record</v>
      </c>
      <c r="AU830" s="3" t="s">
        <v>10837</v>
      </c>
      <c r="AV830" s="3" t="s">
        <v>10838</v>
      </c>
      <c r="AW830" s="3" t="s">
        <v>10839</v>
      </c>
      <c r="AX830" s="3" t="s">
        <v>10839</v>
      </c>
      <c r="AY830" s="3" t="s">
        <v>10840</v>
      </c>
      <c r="AZ830" s="3" t="s">
        <v>74</v>
      </c>
      <c r="BB830" s="3" t="s">
        <v>10841</v>
      </c>
      <c r="BC830" s="3" t="s">
        <v>10842</v>
      </c>
      <c r="BD830" s="3" t="s">
        <v>10843</v>
      </c>
    </row>
    <row r="831" spans="1:56" ht="42.75" customHeight="1" x14ac:dyDescent="0.25">
      <c r="A831" s="7" t="s">
        <v>58</v>
      </c>
      <c r="B831" s="2" t="s">
        <v>10844</v>
      </c>
      <c r="C831" s="2" t="s">
        <v>10845</v>
      </c>
      <c r="D831" s="2" t="s">
        <v>10846</v>
      </c>
      <c r="F831" s="3" t="s">
        <v>58</v>
      </c>
      <c r="G831" s="3" t="s">
        <v>59</v>
      </c>
      <c r="H831" s="3" t="s">
        <v>58</v>
      </c>
      <c r="I831" s="3" t="s">
        <v>58</v>
      </c>
      <c r="J831" s="3" t="s">
        <v>60</v>
      </c>
      <c r="L831" s="2" t="s">
        <v>10847</v>
      </c>
      <c r="M831" s="3" t="s">
        <v>223</v>
      </c>
      <c r="O831" s="3" t="s">
        <v>64</v>
      </c>
      <c r="P831" s="3" t="s">
        <v>115</v>
      </c>
      <c r="R831" s="3" t="s">
        <v>67</v>
      </c>
      <c r="S831" s="4">
        <v>6</v>
      </c>
      <c r="T831" s="4">
        <v>6</v>
      </c>
      <c r="U831" s="5" t="s">
        <v>10713</v>
      </c>
      <c r="V831" s="5" t="s">
        <v>10713</v>
      </c>
      <c r="W831" s="5" t="s">
        <v>117</v>
      </c>
      <c r="X831" s="5" t="s">
        <v>117</v>
      </c>
      <c r="Y831" s="4">
        <v>446</v>
      </c>
      <c r="Z831" s="4">
        <v>325</v>
      </c>
      <c r="AA831" s="4">
        <v>351</v>
      </c>
      <c r="AB831" s="4">
        <v>3</v>
      </c>
      <c r="AC831" s="4">
        <v>3</v>
      </c>
      <c r="AD831" s="4">
        <v>14</v>
      </c>
      <c r="AE831" s="4">
        <v>16</v>
      </c>
      <c r="AF831" s="4">
        <v>3</v>
      </c>
      <c r="AG831" s="4">
        <v>5</v>
      </c>
      <c r="AH831" s="4">
        <v>4</v>
      </c>
      <c r="AI831" s="4">
        <v>4</v>
      </c>
      <c r="AJ831" s="4">
        <v>10</v>
      </c>
      <c r="AK831" s="4">
        <v>11</v>
      </c>
      <c r="AL831" s="4">
        <v>2</v>
      </c>
      <c r="AM831" s="4">
        <v>2</v>
      </c>
      <c r="AN831" s="4">
        <v>0</v>
      </c>
      <c r="AO831" s="4">
        <v>0</v>
      </c>
      <c r="AP831" s="3" t="s">
        <v>58</v>
      </c>
      <c r="AQ831" s="3" t="s">
        <v>86</v>
      </c>
      <c r="AR831" s="6" t="str">
        <f>HYPERLINK("http://catalog.hathitrust.org/Record/000177907","HathiTrust Record")</f>
        <v>HathiTrust Record</v>
      </c>
      <c r="AS831" s="6" t="str">
        <f>HYPERLINK("https://creighton-primo.hosted.exlibrisgroup.com/primo-explore/search?tab=default_tab&amp;search_scope=EVERYTHING&amp;vid=01CRU&amp;lang=en_US&amp;offset=0&amp;query=any,contains,991004574619702656","Catalog Record")</f>
        <v>Catalog Record</v>
      </c>
      <c r="AT831" s="6" t="str">
        <f>HYPERLINK("http://www.worldcat.org/oclc/4037118","WorldCat Record")</f>
        <v>WorldCat Record</v>
      </c>
      <c r="AU831" s="3" t="s">
        <v>10848</v>
      </c>
      <c r="AV831" s="3" t="s">
        <v>10849</v>
      </c>
      <c r="AW831" s="3" t="s">
        <v>10850</v>
      </c>
      <c r="AX831" s="3" t="s">
        <v>10850</v>
      </c>
      <c r="AY831" s="3" t="s">
        <v>10851</v>
      </c>
      <c r="AZ831" s="3" t="s">
        <v>74</v>
      </c>
      <c r="BB831" s="3" t="s">
        <v>10852</v>
      </c>
      <c r="BC831" s="3" t="s">
        <v>10853</v>
      </c>
      <c r="BD831" s="3" t="s">
        <v>10854</v>
      </c>
    </row>
    <row r="832" spans="1:56" ht="42.75" customHeight="1" x14ac:dyDescent="0.25">
      <c r="A832" s="7" t="s">
        <v>58</v>
      </c>
      <c r="B832" s="2" t="s">
        <v>10855</v>
      </c>
      <c r="C832" s="2" t="s">
        <v>10856</v>
      </c>
      <c r="D832" s="2" t="s">
        <v>10857</v>
      </c>
      <c r="F832" s="3" t="s">
        <v>58</v>
      </c>
      <c r="G832" s="3" t="s">
        <v>59</v>
      </c>
      <c r="H832" s="3" t="s">
        <v>58</v>
      </c>
      <c r="I832" s="3" t="s">
        <v>58</v>
      </c>
      <c r="J832" s="3" t="s">
        <v>60</v>
      </c>
      <c r="L832" s="2" t="s">
        <v>5816</v>
      </c>
      <c r="M832" s="3" t="s">
        <v>238</v>
      </c>
      <c r="O832" s="3" t="s">
        <v>64</v>
      </c>
      <c r="P832" s="3" t="s">
        <v>115</v>
      </c>
      <c r="Q832" s="2" t="s">
        <v>6057</v>
      </c>
      <c r="R832" s="3" t="s">
        <v>67</v>
      </c>
      <c r="S832" s="4">
        <v>13</v>
      </c>
      <c r="T832" s="4">
        <v>13</v>
      </c>
      <c r="U832" s="5" t="s">
        <v>10858</v>
      </c>
      <c r="V832" s="5" t="s">
        <v>10858</v>
      </c>
      <c r="W832" s="5" t="s">
        <v>8433</v>
      </c>
      <c r="X832" s="5" t="s">
        <v>8433</v>
      </c>
      <c r="Y832" s="4">
        <v>533</v>
      </c>
      <c r="Z832" s="4">
        <v>397</v>
      </c>
      <c r="AA832" s="4">
        <v>431</v>
      </c>
      <c r="AB832" s="4">
        <v>4</v>
      </c>
      <c r="AC832" s="4">
        <v>4</v>
      </c>
      <c r="AD832" s="4">
        <v>22</v>
      </c>
      <c r="AE832" s="4">
        <v>24</v>
      </c>
      <c r="AF832" s="4">
        <v>9</v>
      </c>
      <c r="AG832" s="4">
        <v>10</v>
      </c>
      <c r="AH832" s="4">
        <v>5</v>
      </c>
      <c r="AI832" s="4">
        <v>6</v>
      </c>
      <c r="AJ832" s="4">
        <v>14</v>
      </c>
      <c r="AK832" s="4">
        <v>14</v>
      </c>
      <c r="AL832" s="4">
        <v>2</v>
      </c>
      <c r="AM832" s="4">
        <v>2</v>
      </c>
      <c r="AN832" s="4">
        <v>0</v>
      </c>
      <c r="AO832" s="4">
        <v>0</v>
      </c>
      <c r="AP832" s="3" t="s">
        <v>58</v>
      </c>
      <c r="AQ832" s="3" t="s">
        <v>86</v>
      </c>
      <c r="AR832" s="6" t="str">
        <f>HYPERLINK("http://catalog.hathitrust.org/Record/000745347","HathiTrust Record")</f>
        <v>HathiTrust Record</v>
      </c>
      <c r="AS832" s="6" t="str">
        <f>HYPERLINK("https://creighton-primo.hosted.exlibrisgroup.com/primo-explore/search?tab=default_tab&amp;search_scope=EVERYTHING&amp;vid=01CRU&amp;lang=en_US&amp;offset=0&amp;query=any,contains,991004762239702656","Catalog Record")</f>
        <v>Catalog Record</v>
      </c>
      <c r="AT832" s="6" t="str">
        <f>HYPERLINK("http://www.worldcat.org/oclc/5007601","WorldCat Record")</f>
        <v>WorldCat Record</v>
      </c>
      <c r="AU832" s="3" t="s">
        <v>10859</v>
      </c>
      <c r="AV832" s="3" t="s">
        <v>10860</v>
      </c>
      <c r="AW832" s="3" t="s">
        <v>10861</v>
      </c>
      <c r="AX832" s="3" t="s">
        <v>10861</v>
      </c>
      <c r="AY832" s="3" t="s">
        <v>10862</v>
      </c>
      <c r="AZ832" s="3" t="s">
        <v>74</v>
      </c>
      <c r="BB832" s="3" t="s">
        <v>10863</v>
      </c>
      <c r="BC832" s="3" t="s">
        <v>10864</v>
      </c>
      <c r="BD832" s="3" t="s">
        <v>10865</v>
      </c>
    </row>
    <row r="833" spans="1:56" ht="42.75" customHeight="1" x14ac:dyDescent="0.25">
      <c r="A833" s="7" t="s">
        <v>58</v>
      </c>
      <c r="B833" s="2" t="s">
        <v>10866</v>
      </c>
      <c r="C833" s="2" t="s">
        <v>10867</v>
      </c>
      <c r="D833" s="2" t="s">
        <v>10868</v>
      </c>
      <c r="F833" s="3" t="s">
        <v>58</v>
      </c>
      <c r="G833" s="3" t="s">
        <v>59</v>
      </c>
      <c r="H833" s="3" t="s">
        <v>58</v>
      </c>
      <c r="I833" s="3" t="s">
        <v>58</v>
      </c>
      <c r="J833" s="3" t="s">
        <v>60</v>
      </c>
      <c r="L833" s="2" t="s">
        <v>10869</v>
      </c>
      <c r="M833" s="3" t="s">
        <v>82</v>
      </c>
      <c r="O833" s="3" t="s">
        <v>64</v>
      </c>
      <c r="P833" s="3" t="s">
        <v>208</v>
      </c>
      <c r="R833" s="3" t="s">
        <v>67</v>
      </c>
      <c r="S833" s="4">
        <v>5</v>
      </c>
      <c r="T833" s="4">
        <v>5</v>
      </c>
      <c r="U833" s="5" t="s">
        <v>10870</v>
      </c>
      <c r="V833" s="5" t="s">
        <v>10870</v>
      </c>
      <c r="W833" s="5" t="s">
        <v>9269</v>
      </c>
      <c r="X833" s="5" t="s">
        <v>9269</v>
      </c>
      <c r="Y833" s="4">
        <v>246</v>
      </c>
      <c r="Z833" s="4">
        <v>218</v>
      </c>
      <c r="AA833" s="4">
        <v>260</v>
      </c>
      <c r="AB833" s="4">
        <v>5</v>
      </c>
      <c r="AC833" s="4">
        <v>5</v>
      </c>
      <c r="AD833" s="4">
        <v>10</v>
      </c>
      <c r="AE833" s="4">
        <v>10</v>
      </c>
      <c r="AF833" s="4">
        <v>2</v>
      </c>
      <c r="AG833" s="4">
        <v>2</v>
      </c>
      <c r="AH833" s="4">
        <v>1</v>
      </c>
      <c r="AI833" s="4">
        <v>1</v>
      </c>
      <c r="AJ833" s="4">
        <v>4</v>
      </c>
      <c r="AK833" s="4">
        <v>4</v>
      </c>
      <c r="AL833" s="4">
        <v>4</v>
      </c>
      <c r="AM833" s="4">
        <v>4</v>
      </c>
      <c r="AN833" s="4">
        <v>0</v>
      </c>
      <c r="AO833" s="4">
        <v>0</v>
      </c>
      <c r="AP833" s="3" t="s">
        <v>58</v>
      </c>
      <c r="AQ833" s="3" t="s">
        <v>86</v>
      </c>
      <c r="AR833" s="6" t="str">
        <f>HYPERLINK("http://catalog.hathitrust.org/Record/000869520","HathiTrust Record")</f>
        <v>HathiTrust Record</v>
      </c>
      <c r="AS833" s="6" t="str">
        <f>HYPERLINK("https://creighton-primo.hosted.exlibrisgroup.com/primo-explore/search?tab=default_tab&amp;search_scope=EVERYTHING&amp;vid=01CRU&amp;lang=en_US&amp;offset=0&amp;query=any,contains,991001091889702656","Catalog Record")</f>
        <v>Catalog Record</v>
      </c>
      <c r="AT833" s="6" t="str">
        <f>HYPERLINK("http://www.worldcat.org/oclc/16225094","WorldCat Record")</f>
        <v>WorldCat Record</v>
      </c>
      <c r="AU833" s="3" t="s">
        <v>10871</v>
      </c>
      <c r="AV833" s="3" t="s">
        <v>10872</v>
      </c>
      <c r="AW833" s="3" t="s">
        <v>10873</v>
      </c>
      <c r="AX833" s="3" t="s">
        <v>10873</v>
      </c>
      <c r="AY833" s="3" t="s">
        <v>10874</v>
      </c>
      <c r="AZ833" s="3" t="s">
        <v>74</v>
      </c>
      <c r="BB833" s="3" t="s">
        <v>10875</v>
      </c>
      <c r="BC833" s="3" t="s">
        <v>10876</v>
      </c>
      <c r="BD833" s="3" t="s">
        <v>10877</v>
      </c>
    </row>
    <row r="834" spans="1:56" ht="42.75" customHeight="1" x14ac:dyDescent="0.25">
      <c r="A834" s="7" t="s">
        <v>58</v>
      </c>
      <c r="B834" s="2" t="s">
        <v>10878</v>
      </c>
      <c r="C834" s="2" t="s">
        <v>10879</v>
      </c>
      <c r="D834" s="2" t="s">
        <v>10880</v>
      </c>
      <c r="F834" s="3" t="s">
        <v>58</v>
      </c>
      <c r="G834" s="3" t="s">
        <v>59</v>
      </c>
      <c r="H834" s="3" t="s">
        <v>58</v>
      </c>
      <c r="I834" s="3" t="s">
        <v>58</v>
      </c>
      <c r="J834" s="3" t="s">
        <v>60</v>
      </c>
      <c r="L834" s="2" t="s">
        <v>10881</v>
      </c>
      <c r="M834" s="3" t="s">
        <v>63</v>
      </c>
      <c r="O834" s="3" t="s">
        <v>64</v>
      </c>
      <c r="P834" s="3" t="s">
        <v>115</v>
      </c>
      <c r="R834" s="3" t="s">
        <v>67</v>
      </c>
      <c r="S834" s="4">
        <v>9</v>
      </c>
      <c r="T834" s="4">
        <v>9</v>
      </c>
      <c r="U834" s="5" t="s">
        <v>10882</v>
      </c>
      <c r="V834" s="5" t="s">
        <v>10882</v>
      </c>
      <c r="W834" s="5" t="s">
        <v>10883</v>
      </c>
      <c r="X834" s="5" t="s">
        <v>10883</v>
      </c>
      <c r="Y834" s="4">
        <v>295</v>
      </c>
      <c r="Z834" s="4">
        <v>211</v>
      </c>
      <c r="AA834" s="4">
        <v>241</v>
      </c>
      <c r="AB834" s="4">
        <v>2</v>
      </c>
      <c r="AC834" s="4">
        <v>2</v>
      </c>
      <c r="AD834" s="4">
        <v>10</v>
      </c>
      <c r="AE834" s="4">
        <v>12</v>
      </c>
      <c r="AF834" s="4">
        <v>3</v>
      </c>
      <c r="AG834" s="4">
        <v>5</v>
      </c>
      <c r="AH834" s="4">
        <v>2</v>
      </c>
      <c r="AI834" s="4">
        <v>2</v>
      </c>
      <c r="AJ834" s="4">
        <v>6</v>
      </c>
      <c r="AK834" s="4">
        <v>7</v>
      </c>
      <c r="AL834" s="4">
        <v>1</v>
      </c>
      <c r="AM834" s="4">
        <v>1</v>
      </c>
      <c r="AN834" s="4">
        <v>0</v>
      </c>
      <c r="AO834" s="4">
        <v>0</v>
      </c>
      <c r="AP834" s="3" t="s">
        <v>58</v>
      </c>
      <c r="AQ834" s="3" t="s">
        <v>86</v>
      </c>
      <c r="AR834" s="6" t="str">
        <f>HYPERLINK("http://catalog.hathitrust.org/Record/000113849","HathiTrust Record")</f>
        <v>HathiTrust Record</v>
      </c>
      <c r="AS834" s="6" t="str">
        <f>HYPERLINK("https://creighton-primo.hosted.exlibrisgroup.com/primo-explore/search?tab=default_tab&amp;search_scope=EVERYTHING&amp;vid=01CRU&amp;lang=en_US&amp;offset=0&amp;query=any,contains,991000250839702656","Catalog Record")</f>
        <v>Catalog Record</v>
      </c>
      <c r="AT834" s="6" t="str">
        <f>HYPERLINK("http://www.worldcat.org/oclc/9757038","WorldCat Record")</f>
        <v>WorldCat Record</v>
      </c>
      <c r="AU834" s="3" t="s">
        <v>10884</v>
      </c>
      <c r="AV834" s="3" t="s">
        <v>10885</v>
      </c>
      <c r="AW834" s="3" t="s">
        <v>10886</v>
      </c>
      <c r="AX834" s="3" t="s">
        <v>10886</v>
      </c>
      <c r="AY834" s="3" t="s">
        <v>10887</v>
      </c>
      <c r="AZ834" s="3" t="s">
        <v>74</v>
      </c>
      <c r="BB834" s="3" t="s">
        <v>10888</v>
      </c>
      <c r="BC834" s="3" t="s">
        <v>10889</v>
      </c>
      <c r="BD834" s="3" t="s">
        <v>10890</v>
      </c>
    </row>
    <row r="835" spans="1:56" ht="42.75" customHeight="1" x14ac:dyDescent="0.25">
      <c r="A835" s="7" t="s">
        <v>58</v>
      </c>
      <c r="B835" s="2" t="s">
        <v>10891</v>
      </c>
      <c r="C835" s="2" t="s">
        <v>10892</v>
      </c>
      <c r="D835" s="2" t="s">
        <v>10893</v>
      </c>
      <c r="F835" s="3" t="s">
        <v>58</v>
      </c>
      <c r="G835" s="3" t="s">
        <v>59</v>
      </c>
      <c r="H835" s="3" t="s">
        <v>58</v>
      </c>
      <c r="I835" s="3" t="s">
        <v>58</v>
      </c>
      <c r="J835" s="3" t="s">
        <v>60</v>
      </c>
      <c r="K835" s="2" t="s">
        <v>10894</v>
      </c>
      <c r="L835" s="2" t="s">
        <v>10895</v>
      </c>
      <c r="M835" s="3" t="s">
        <v>1574</v>
      </c>
      <c r="O835" s="3" t="s">
        <v>64</v>
      </c>
      <c r="P835" s="3" t="s">
        <v>115</v>
      </c>
      <c r="Q835" s="2" t="s">
        <v>9416</v>
      </c>
      <c r="R835" s="3" t="s">
        <v>67</v>
      </c>
      <c r="S835" s="4">
        <v>17</v>
      </c>
      <c r="T835" s="4">
        <v>17</v>
      </c>
      <c r="U835" s="5" t="s">
        <v>10896</v>
      </c>
      <c r="V835" s="5" t="s">
        <v>10896</v>
      </c>
      <c r="W835" s="5" t="s">
        <v>8433</v>
      </c>
      <c r="X835" s="5" t="s">
        <v>8433</v>
      </c>
      <c r="Y835" s="4">
        <v>350</v>
      </c>
      <c r="Z835" s="4">
        <v>304</v>
      </c>
      <c r="AA835" s="4">
        <v>306</v>
      </c>
      <c r="AB835" s="4">
        <v>3</v>
      </c>
      <c r="AC835" s="4">
        <v>3</v>
      </c>
      <c r="AD835" s="4">
        <v>15</v>
      </c>
      <c r="AE835" s="4">
        <v>15</v>
      </c>
      <c r="AF835" s="4">
        <v>7</v>
      </c>
      <c r="AG835" s="4">
        <v>7</v>
      </c>
      <c r="AH835" s="4">
        <v>4</v>
      </c>
      <c r="AI835" s="4">
        <v>4</v>
      </c>
      <c r="AJ835" s="4">
        <v>4</v>
      </c>
      <c r="AK835" s="4">
        <v>4</v>
      </c>
      <c r="AL835" s="4">
        <v>2</v>
      </c>
      <c r="AM835" s="4">
        <v>2</v>
      </c>
      <c r="AN835" s="4">
        <v>0</v>
      </c>
      <c r="AO835" s="4">
        <v>0</v>
      </c>
      <c r="AP835" s="3" t="s">
        <v>58</v>
      </c>
      <c r="AQ835" s="3" t="s">
        <v>86</v>
      </c>
      <c r="AR835" s="6" t="str">
        <f>HYPERLINK("http://catalog.hathitrust.org/Record/000305453","HathiTrust Record")</f>
        <v>HathiTrust Record</v>
      </c>
      <c r="AS835" s="6" t="str">
        <f>HYPERLINK("https://creighton-primo.hosted.exlibrisgroup.com/primo-explore/search?tab=default_tab&amp;search_scope=EVERYTHING&amp;vid=01CRU&amp;lang=en_US&amp;offset=0&amp;query=any,contains,991005171579702656","Catalog Record")</f>
        <v>Catalog Record</v>
      </c>
      <c r="AT835" s="6" t="str">
        <f>HYPERLINK("http://www.worldcat.org/oclc/7875437","WorldCat Record")</f>
        <v>WorldCat Record</v>
      </c>
      <c r="AU835" s="3" t="s">
        <v>10897</v>
      </c>
      <c r="AV835" s="3" t="s">
        <v>10898</v>
      </c>
      <c r="AW835" s="3" t="s">
        <v>10899</v>
      </c>
      <c r="AX835" s="3" t="s">
        <v>10899</v>
      </c>
      <c r="AY835" s="3" t="s">
        <v>10900</v>
      </c>
      <c r="AZ835" s="3" t="s">
        <v>74</v>
      </c>
      <c r="BB835" s="3" t="s">
        <v>10901</v>
      </c>
      <c r="BC835" s="3" t="s">
        <v>10902</v>
      </c>
      <c r="BD835" s="3" t="s">
        <v>10903</v>
      </c>
    </row>
    <row r="836" spans="1:56" ht="42.75" customHeight="1" x14ac:dyDescent="0.25">
      <c r="A836" s="7" t="s">
        <v>58</v>
      </c>
      <c r="B836" s="2" t="s">
        <v>10904</v>
      </c>
      <c r="C836" s="2" t="s">
        <v>10905</v>
      </c>
      <c r="D836" s="2" t="s">
        <v>10906</v>
      </c>
      <c r="F836" s="3" t="s">
        <v>58</v>
      </c>
      <c r="G836" s="3" t="s">
        <v>59</v>
      </c>
      <c r="H836" s="3" t="s">
        <v>58</v>
      </c>
      <c r="I836" s="3" t="s">
        <v>58</v>
      </c>
      <c r="J836" s="3" t="s">
        <v>60</v>
      </c>
      <c r="K836" s="2" t="s">
        <v>10907</v>
      </c>
      <c r="L836" s="2" t="s">
        <v>10908</v>
      </c>
      <c r="M836" s="3" t="s">
        <v>996</v>
      </c>
      <c r="N836" s="2" t="s">
        <v>1736</v>
      </c>
      <c r="O836" s="3" t="s">
        <v>64</v>
      </c>
      <c r="P836" s="3" t="s">
        <v>145</v>
      </c>
      <c r="R836" s="3" t="s">
        <v>67</v>
      </c>
      <c r="S836" s="4">
        <v>4</v>
      </c>
      <c r="T836" s="4">
        <v>4</v>
      </c>
      <c r="U836" s="5" t="s">
        <v>10909</v>
      </c>
      <c r="V836" s="5" t="s">
        <v>10909</v>
      </c>
      <c r="W836" s="5" t="s">
        <v>10910</v>
      </c>
      <c r="X836" s="5" t="s">
        <v>10910</v>
      </c>
      <c r="Y836" s="4">
        <v>278</v>
      </c>
      <c r="Z836" s="4">
        <v>221</v>
      </c>
      <c r="AA836" s="4">
        <v>299</v>
      </c>
      <c r="AB836" s="4">
        <v>1</v>
      </c>
      <c r="AC836" s="4">
        <v>2</v>
      </c>
      <c r="AD836" s="4">
        <v>9</v>
      </c>
      <c r="AE836" s="4">
        <v>14</v>
      </c>
      <c r="AF836" s="4">
        <v>4</v>
      </c>
      <c r="AG836" s="4">
        <v>4</v>
      </c>
      <c r="AH836" s="4">
        <v>2</v>
      </c>
      <c r="AI836" s="4">
        <v>2</v>
      </c>
      <c r="AJ836" s="4">
        <v>6</v>
      </c>
      <c r="AK836" s="4">
        <v>10</v>
      </c>
      <c r="AL836" s="4">
        <v>0</v>
      </c>
      <c r="AM836" s="4">
        <v>1</v>
      </c>
      <c r="AN836" s="4">
        <v>0</v>
      </c>
      <c r="AO836" s="4">
        <v>0</v>
      </c>
      <c r="AP836" s="3" t="s">
        <v>58</v>
      </c>
      <c r="AQ836" s="3" t="s">
        <v>58</v>
      </c>
      <c r="AS836" s="6" t="str">
        <f>HYPERLINK("https://creighton-primo.hosted.exlibrisgroup.com/primo-explore/search?tab=default_tab&amp;search_scope=EVERYTHING&amp;vid=01CRU&amp;lang=en_US&amp;offset=0&amp;query=any,contains,991003773909702656","Catalog Record")</f>
        <v>Catalog Record</v>
      </c>
      <c r="AT836" s="6" t="str">
        <f>HYPERLINK("http://www.worldcat.org/oclc/44593983","WorldCat Record")</f>
        <v>WorldCat Record</v>
      </c>
      <c r="AU836" s="3" t="s">
        <v>10911</v>
      </c>
      <c r="AV836" s="3" t="s">
        <v>10912</v>
      </c>
      <c r="AW836" s="3" t="s">
        <v>10913</v>
      </c>
      <c r="AX836" s="3" t="s">
        <v>10913</v>
      </c>
      <c r="AY836" s="3" t="s">
        <v>10914</v>
      </c>
      <c r="AZ836" s="3" t="s">
        <v>74</v>
      </c>
      <c r="BB836" s="3" t="s">
        <v>10915</v>
      </c>
      <c r="BC836" s="3" t="s">
        <v>10916</v>
      </c>
      <c r="BD836" s="3" t="s">
        <v>10917</v>
      </c>
    </row>
    <row r="837" spans="1:56" ht="42.75" customHeight="1" x14ac:dyDescent="0.25">
      <c r="A837" s="7" t="s">
        <v>58</v>
      </c>
      <c r="B837" s="2" t="s">
        <v>10918</v>
      </c>
      <c r="C837" s="2" t="s">
        <v>10919</v>
      </c>
      <c r="D837" s="2" t="s">
        <v>10920</v>
      </c>
      <c r="F837" s="3" t="s">
        <v>58</v>
      </c>
      <c r="G837" s="3" t="s">
        <v>59</v>
      </c>
      <c r="H837" s="3" t="s">
        <v>58</v>
      </c>
      <c r="I837" s="3" t="s">
        <v>58</v>
      </c>
      <c r="J837" s="3" t="s">
        <v>60</v>
      </c>
      <c r="K837" s="2" t="s">
        <v>10921</v>
      </c>
      <c r="L837" s="2" t="s">
        <v>5288</v>
      </c>
      <c r="M837" s="3" t="s">
        <v>177</v>
      </c>
      <c r="O837" s="3" t="s">
        <v>64</v>
      </c>
      <c r="P837" s="3" t="s">
        <v>83</v>
      </c>
      <c r="Q837" s="2" t="s">
        <v>10922</v>
      </c>
      <c r="R837" s="3" t="s">
        <v>67</v>
      </c>
      <c r="S837" s="4">
        <v>5</v>
      </c>
      <c r="T837" s="4">
        <v>5</v>
      </c>
      <c r="U837" s="5" t="s">
        <v>10923</v>
      </c>
      <c r="V837" s="5" t="s">
        <v>10923</v>
      </c>
      <c r="W837" s="5" t="s">
        <v>165</v>
      </c>
      <c r="X837" s="5" t="s">
        <v>165</v>
      </c>
      <c r="Y837" s="4">
        <v>379</v>
      </c>
      <c r="Z837" s="4">
        <v>338</v>
      </c>
      <c r="AA837" s="4">
        <v>344</v>
      </c>
      <c r="AB837" s="4">
        <v>2</v>
      </c>
      <c r="AC837" s="4">
        <v>2</v>
      </c>
      <c r="AD837" s="4">
        <v>8</v>
      </c>
      <c r="AE837" s="4">
        <v>8</v>
      </c>
      <c r="AF837" s="4">
        <v>3</v>
      </c>
      <c r="AG837" s="4">
        <v>3</v>
      </c>
      <c r="AH837" s="4">
        <v>1</v>
      </c>
      <c r="AI837" s="4">
        <v>1</v>
      </c>
      <c r="AJ837" s="4">
        <v>5</v>
      </c>
      <c r="AK837" s="4">
        <v>5</v>
      </c>
      <c r="AL837" s="4">
        <v>1</v>
      </c>
      <c r="AM837" s="4">
        <v>1</v>
      </c>
      <c r="AN837" s="4">
        <v>0</v>
      </c>
      <c r="AO837" s="4">
        <v>0</v>
      </c>
      <c r="AP837" s="3" t="s">
        <v>58</v>
      </c>
      <c r="AQ837" s="3" t="s">
        <v>86</v>
      </c>
      <c r="AR837" s="6" t="str">
        <f>HYPERLINK("http://catalog.hathitrust.org/Record/009915456","HathiTrust Record")</f>
        <v>HathiTrust Record</v>
      </c>
      <c r="AS837" s="6" t="str">
        <f>HYPERLINK("https://creighton-primo.hosted.exlibrisgroup.com/primo-explore/search?tab=default_tab&amp;search_scope=EVERYTHING&amp;vid=01CRU&amp;lang=en_US&amp;offset=0&amp;query=any,contains,991003288129702656","Catalog Record")</f>
        <v>Catalog Record</v>
      </c>
      <c r="AT837" s="6" t="str">
        <f>HYPERLINK("http://www.worldcat.org/oclc/810223","WorldCat Record")</f>
        <v>WorldCat Record</v>
      </c>
      <c r="AU837" s="3" t="s">
        <v>10924</v>
      </c>
      <c r="AV837" s="3" t="s">
        <v>10925</v>
      </c>
      <c r="AW837" s="3" t="s">
        <v>10926</v>
      </c>
      <c r="AX837" s="3" t="s">
        <v>10926</v>
      </c>
      <c r="AY837" s="3" t="s">
        <v>10927</v>
      </c>
      <c r="AZ837" s="3" t="s">
        <v>74</v>
      </c>
      <c r="BB837" s="3" t="s">
        <v>10928</v>
      </c>
      <c r="BC837" s="3" t="s">
        <v>10929</v>
      </c>
      <c r="BD837" s="3" t="s">
        <v>10930</v>
      </c>
    </row>
    <row r="838" spans="1:56" ht="42.75" customHeight="1" x14ac:dyDescent="0.25">
      <c r="A838" s="7" t="s">
        <v>58</v>
      </c>
      <c r="B838" s="2" t="s">
        <v>10931</v>
      </c>
      <c r="C838" s="2" t="s">
        <v>10932</v>
      </c>
      <c r="D838" s="2" t="s">
        <v>10933</v>
      </c>
      <c r="F838" s="3" t="s">
        <v>58</v>
      </c>
      <c r="G838" s="3" t="s">
        <v>59</v>
      </c>
      <c r="H838" s="3" t="s">
        <v>58</v>
      </c>
      <c r="I838" s="3" t="s">
        <v>58</v>
      </c>
      <c r="J838" s="3" t="s">
        <v>60</v>
      </c>
      <c r="L838" s="2" t="s">
        <v>10934</v>
      </c>
      <c r="M838" s="3" t="s">
        <v>223</v>
      </c>
      <c r="O838" s="3" t="s">
        <v>64</v>
      </c>
      <c r="P838" s="3" t="s">
        <v>83</v>
      </c>
      <c r="R838" s="3" t="s">
        <v>67</v>
      </c>
      <c r="S838" s="4">
        <v>9</v>
      </c>
      <c r="T838" s="4">
        <v>9</v>
      </c>
      <c r="U838" s="5" t="s">
        <v>10935</v>
      </c>
      <c r="V838" s="5" t="s">
        <v>10935</v>
      </c>
      <c r="W838" s="5" t="s">
        <v>165</v>
      </c>
      <c r="X838" s="5" t="s">
        <v>165</v>
      </c>
      <c r="Y838" s="4">
        <v>414</v>
      </c>
      <c r="Z838" s="4">
        <v>353</v>
      </c>
      <c r="AA838" s="4">
        <v>358</v>
      </c>
      <c r="AB838" s="4">
        <v>3</v>
      </c>
      <c r="AC838" s="4">
        <v>3</v>
      </c>
      <c r="AD838" s="4">
        <v>17</v>
      </c>
      <c r="AE838" s="4">
        <v>18</v>
      </c>
      <c r="AF838" s="4">
        <v>8</v>
      </c>
      <c r="AG838" s="4">
        <v>9</v>
      </c>
      <c r="AH838" s="4">
        <v>6</v>
      </c>
      <c r="AI838" s="4">
        <v>6</v>
      </c>
      <c r="AJ838" s="4">
        <v>6</v>
      </c>
      <c r="AK838" s="4">
        <v>7</v>
      </c>
      <c r="AL838" s="4">
        <v>2</v>
      </c>
      <c r="AM838" s="4">
        <v>2</v>
      </c>
      <c r="AN838" s="4">
        <v>0</v>
      </c>
      <c r="AO838" s="4">
        <v>0</v>
      </c>
      <c r="AP838" s="3" t="s">
        <v>58</v>
      </c>
      <c r="AQ838" s="3" t="s">
        <v>86</v>
      </c>
      <c r="AR838" s="6" t="str">
        <f>HYPERLINK("http://catalog.hathitrust.org/Record/000093614","HathiTrust Record")</f>
        <v>HathiTrust Record</v>
      </c>
      <c r="AS838" s="6" t="str">
        <f>HYPERLINK("https://creighton-primo.hosted.exlibrisgroup.com/primo-explore/search?tab=default_tab&amp;search_scope=EVERYTHING&amp;vid=01CRU&amp;lang=en_US&amp;offset=0&amp;query=any,contains,991004492939702656","Catalog Record")</f>
        <v>Catalog Record</v>
      </c>
      <c r="AT838" s="6" t="str">
        <f>HYPERLINK("http://www.worldcat.org/oclc/3672141","WorldCat Record")</f>
        <v>WorldCat Record</v>
      </c>
      <c r="AU838" s="3" t="s">
        <v>10936</v>
      </c>
      <c r="AV838" s="3" t="s">
        <v>10937</v>
      </c>
      <c r="AW838" s="3" t="s">
        <v>10938</v>
      </c>
      <c r="AX838" s="3" t="s">
        <v>10938</v>
      </c>
      <c r="AY838" s="3" t="s">
        <v>10939</v>
      </c>
      <c r="AZ838" s="3" t="s">
        <v>74</v>
      </c>
      <c r="BB838" s="3" t="s">
        <v>10940</v>
      </c>
      <c r="BC838" s="3" t="s">
        <v>10941</v>
      </c>
      <c r="BD838" s="3" t="s">
        <v>10942</v>
      </c>
    </row>
    <row r="839" spans="1:56" ht="42.75" customHeight="1" x14ac:dyDescent="0.25">
      <c r="A839" s="7" t="s">
        <v>58</v>
      </c>
      <c r="B839" s="2" t="s">
        <v>10943</v>
      </c>
      <c r="C839" s="2" t="s">
        <v>10944</v>
      </c>
      <c r="D839" s="2" t="s">
        <v>10945</v>
      </c>
      <c r="F839" s="3" t="s">
        <v>58</v>
      </c>
      <c r="G839" s="3" t="s">
        <v>59</v>
      </c>
      <c r="H839" s="3" t="s">
        <v>58</v>
      </c>
      <c r="I839" s="3" t="s">
        <v>58</v>
      </c>
      <c r="J839" s="3" t="s">
        <v>60</v>
      </c>
      <c r="K839" s="2" t="s">
        <v>10946</v>
      </c>
      <c r="L839" s="2" t="s">
        <v>10881</v>
      </c>
      <c r="M839" s="3" t="s">
        <v>63</v>
      </c>
      <c r="O839" s="3" t="s">
        <v>64</v>
      </c>
      <c r="P839" s="3" t="s">
        <v>115</v>
      </c>
      <c r="R839" s="3" t="s">
        <v>67</v>
      </c>
      <c r="S839" s="4">
        <v>1</v>
      </c>
      <c r="T839" s="4">
        <v>1</v>
      </c>
      <c r="U839" s="5" t="s">
        <v>6555</v>
      </c>
      <c r="V839" s="5" t="s">
        <v>6555</v>
      </c>
      <c r="W839" s="5" t="s">
        <v>131</v>
      </c>
      <c r="X839" s="5" t="s">
        <v>131</v>
      </c>
      <c r="Y839" s="4">
        <v>213</v>
      </c>
      <c r="Z839" s="4">
        <v>170</v>
      </c>
      <c r="AA839" s="4">
        <v>195</v>
      </c>
      <c r="AB839" s="4">
        <v>1</v>
      </c>
      <c r="AC839" s="4">
        <v>1</v>
      </c>
      <c r="AD839" s="4">
        <v>10</v>
      </c>
      <c r="AE839" s="4">
        <v>12</v>
      </c>
      <c r="AF839" s="4">
        <v>3</v>
      </c>
      <c r="AG839" s="4">
        <v>5</v>
      </c>
      <c r="AH839" s="4">
        <v>4</v>
      </c>
      <c r="AI839" s="4">
        <v>4</v>
      </c>
      <c r="AJ839" s="4">
        <v>7</v>
      </c>
      <c r="AK839" s="4">
        <v>8</v>
      </c>
      <c r="AL839" s="4">
        <v>0</v>
      </c>
      <c r="AM839" s="4">
        <v>0</v>
      </c>
      <c r="AN839" s="4">
        <v>0</v>
      </c>
      <c r="AO839" s="4">
        <v>0</v>
      </c>
      <c r="AP839" s="3" t="s">
        <v>58</v>
      </c>
      <c r="AQ839" s="3" t="s">
        <v>86</v>
      </c>
      <c r="AR839" s="6" t="str">
        <f>HYPERLINK("http://catalog.hathitrust.org/Record/000279861","HathiTrust Record")</f>
        <v>HathiTrust Record</v>
      </c>
      <c r="AS839" s="6" t="str">
        <f>HYPERLINK("https://creighton-primo.hosted.exlibrisgroup.com/primo-explore/search?tab=default_tab&amp;search_scope=EVERYTHING&amp;vid=01CRU&amp;lang=en_US&amp;offset=0&amp;query=any,contains,991000164039702656","Catalog Record")</f>
        <v>Catalog Record</v>
      </c>
      <c r="AT839" s="6" t="str">
        <f>HYPERLINK("http://www.worldcat.org/oclc/9281980","WorldCat Record")</f>
        <v>WorldCat Record</v>
      </c>
      <c r="AU839" s="3" t="s">
        <v>10947</v>
      </c>
      <c r="AV839" s="3" t="s">
        <v>10948</v>
      </c>
      <c r="AW839" s="3" t="s">
        <v>10949</v>
      </c>
      <c r="AX839" s="3" t="s">
        <v>10949</v>
      </c>
      <c r="AY839" s="3" t="s">
        <v>10950</v>
      </c>
      <c r="AZ839" s="3" t="s">
        <v>74</v>
      </c>
      <c r="BB839" s="3" t="s">
        <v>10951</v>
      </c>
      <c r="BC839" s="3" t="s">
        <v>10952</v>
      </c>
      <c r="BD839" s="3" t="s">
        <v>10953</v>
      </c>
    </row>
    <row r="840" spans="1:56" ht="42.75" customHeight="1" x14ac:dyDescent="0.25">
      <c r="A840" s="7" t="s">
        <v>58</v>
      </c>
      <c r="B840" s="2" t="s">
        <v>10954</v>
      </c>
      <c r="C840" s="2" t="s">
        <v>10955</v>
      </c>
      <c r="D840" s="2" t="s">
        <v>10956</v>
      </c>
      <c r="F840" s="3" t="s">
        <v>58</v>
      </c>
      <c r="G840" s="3" t="s">
        <v>59</v>
      </c>
      <c r="H840" s="3" t="s">
        <v>58</v>
      </c>
      <c r="I840" s="3" t="s">
        <v>58</v>
      </c>
      <c r="J840" s="3" t="s">
        <v>60</v>
      </c>
      <c r="K840" s="2" t="s">
        <v>10957</v>
      </c>
      <c r="L840" s="2" t="s">
        <v>10958</v>
      </c>
      <c r="M840" s="3" t="s">
        <v>371</v>
      </c>
      <c r="N840" s="2" t="s">
        <v>1736</v>
      </c>
      <c r="O840" s="3" t="s">
        <v>64</v>
      </c>
      <c r="P840" s="3" t="s">
        <v>99</v>
      </c>
      <c r="Q840" s="2" t="s">
        <v>7599</v>
      </c>
      <c r="R840" s="3" t="s">
        <v>67</v>
      </c>
      <c r="S840" s="4">
        <v>4</v>
      </c>
      <c r="T840" s="4">
        <v>4</v>
      </c>
      <c r="U840" s="5" t="s">
        <v>10959</v>
      </c>
      <c r="V840" s="5" t="s">
        <v>10959</v>
      </c>
      <c r="W840" s="5" t="s">
        <v>8433</v>
      </c>
      <c r="X840" s="5" t="s">
        <v>8433</v>
      </c>
      <c r="Y840" s="4">
        <v>485</v>
      </c>
      <c r="Z840" s="4">
        <v>389</v>
      </c>
      <c r="AA840" s="4">
        <v>403</v>
      </c>
      <c r="AB840" s="4">
        <v>4</v>
      </c>
      <c r="AC840" s="4">
        <v>4</v>
      </c>
      <c r="AD840" s="4">
        <v>20</v>
      </c>
      <c r="AE840" s="4">
        <v>22</v>
      </c>
      <c r="AF840" s="4">
        <v>5</v>
      </c>
      <c r="AG840" s="4">
        <v>6</v>
      </c>
      <c r="AH840" s="4">
        <v>6</v>
      </c>
      <c r="AI840" s="4">
        <v>6</v>
      </c>
      <c r="AJ840" s="4">
        <v>11</v>
      </c>
      <c r="AK840" s="4">
        <v>13</v>
      </c>
      <c r="AL840" s="4">
        <v>3</v>
      </c>
      <c r="AM840" s="4">
        <v>3</v>
      </c>
      <c r="AN840" s="4">
        <v>0</v>
      </c>
      <c r="AO840" s="4">
        <v>0</v>
      </c>
      <c r="AP840" s="3" t="s">
        <v>58</v>
      </c>
      <c r="AQ840" s="3" t="s">
        <v>86</v>
      </c>
      <c r="AR840" s="6" t="str">
        <f>HYPERLINK("http://catalog.hathitrust.org/Record/000486386","HathiTrust Record")</f>
        <v>HathiTrust Record</v>
      </c>
      <c r="AS840" s="6" t="str">
        <f>HYPERLINK("https://creighton-primo.hosted.exlibrisgroup.com/primo-explore/search?tab=default_tab&amp;search_scope=EVERYTHING&amp;vid=01CRU&amp;lang=en_US&amp;offset=0&amp;query=any,contains,991000917739702656","Catalog Record")</f>
        <v>Catalog Record</v>
      </c>
      <c r="AT840" s="6" t="str">
        <f>HYPERLINK("http://www.worldcat.org/oclc/14187695","WorldCat Record")</f>
        <v>WorldCat Record</v>
      </c>
      <c r="AU840" s="3" t="s">
        <v>10960</v>
      </c>
      <c r="AV840" s="3" t="s">
        <v>10961</v>
      </c>
      <c r="AW840" s="3" t="s">
        <v>10962</v>
      </c>
      <c r="AX840" s="3" t="s">
        <v>10962</v>
      </c>
      <c r="AY840" s="3" t="s">
        <v>10963</v>
      </c>
      <c r="AZ840" s="3" t="s">
        <v>74</v>
      </c>
      <c r="BB840" s="3" t="s">
        <v>10964</v>
      </c>
      <c r="BC840" s="3" t="s">
        <v>10965</v>
      </c>
      <c r="BD840" s="3" t="s">
        <v>10966</v>
      </c>
    </row>
    <row r="841" spans="1:56" ht="42.75" customHeight="1" x14ac:dyDescent="0.25">
      <c r="A841" s="7" t="s">
        <v>58</v>
      </c>
      <c r="B841" s="2" t="s">
        <v>10967</v>
      </c>
      <c r="C841" s="2" t="s">
        <v>10968</v>
      </c>
      <c r="D841" s="2" t="s">
        <v>10969</v>
      </c>
      <c r="F841" s="3" t="s">
        <v>58</v>
      </c>
      <c r="G841" s="3" t="s">
        <v>59</v>
      </c>
      <c r="H841" s="3" t="s">
        <v>58</v>
      </c>
      <c r="I841" s="3" t="s">
        <v>58</v>
      </c>
      <c r="J841" s="3" t="s">
        <v>60</v>
      </c>
      <c r="K841" s="2" t="s">
        <v>10970</v>
      </c>
      <c r="L841" s="2" t="s">
        <v>10112</v>
      </c>
      <c r="M841" s="3" t="s">
        <v>805</v>
      </c>
      <c r="O841" s="3" t="s">
        <v>64</v>
      </c>
      <c r="P841" s="3" t="s">
        <v>115</v>
      </c>
      <c r="Q841" s="2" t="s">
        <v>10971</v>
      </c>
      <c r="R841" s="3" t="s">
        <v>67</v>
      </c>
      <c r="S841" s="4">
        <v>21</v>
      </c>
      <c r="T841" s="4">
        <v>21</v>
      </c>
      <c r="U841" s="5" t="s">
        <v>2684</v>
      </c>
      <c r="V841" s="5" t="s">
        <v>2684</v>
      </c>
      <c r="W841" s="5" t="s">
        <v>10972</v>
      </c>
      <c r="X841" s="5" t="s">
        <v>10972</v>
      </c>
      <c r="Y841" s="4">
        <v>272</v>
      </c>
      <c r="Z841" s="4">
        <v>229</v>
      </c>
      <c r="AA841" s="4">
        <v>229</v>
      </c>
      <c r="AB841" s="4">
        <v>3</v>
      </c>
      <c r="AC841" s="4">
        <v>3</v>
      </c>
      <c r="AD841" s="4">
        <v>17</v>
      </c>
      <c r="AE841" s="4">
        <v>17</v>
      </c>
      <c r="AF841" s="4">
        <v>5</v>
      </c>
      <c r="AG841" s="4">
        <v>5</v>
      </c>
      <c r="AH841" s="4">
        <v>3</v>
      </c>
      <c r="AI841" s="4">
        <v>3</v>
      </c>
      <c r="AJ841" s="4">
        <v>11</v>
      </c>
      <c r="AK841" s="4">
        <v>11</v>
      </c>
      <c r="AL841" s="4">
        <v>2</v>
      </c>
      <c r="AM841" s="4">
        <v>2</v>
      </c>
      <c r="AN841" s="4">
        <v>0</v>
      </c>
      <c r="AO841" s="4">
        <v>0</v>
      </c>
      <c r="AP841" s="3" t="s">
        <v>58</v>
      </c>
      <c r="AQ841" s="3" t="s">
        <v>58</v>
      </c>
      <c r="AS841" s="6" t="str">
        <f>HYPERLINK("https://creighton-primo.hosted.exlibrisgroup.com/primo-explore/search?tab=default_tab&amp;search_scope=EVERYTHING&amp;vid=01CRU&amp;lang=en_US&amp;offset=0&amp;query=any,contains,991002634009702656","Catalog Record")</f>
        <v>Catalog Record</v>
      </c>
      <c r="AT841" s="6" t="str">
        <f>HYPERLINK("http://www.worldcat.org/oclc/34515408","WorldCat Record")</f>
        <v>WorldCat Record</v>
      </c>
      <c r="AU841" s="3" t="s">
        <v>10973</v>
      </c>
      <c r="AV841" s="3" t="s">
        <v>10974</v>
      </c>
      <c r="AW841" s="3" t="s">
        <v>10975</v>
      </c>
      <c r="AX841" s="3" t="s">
        <v>10975</v>
      </c>
      <c r="AY841" s="3" t="s">
        <v>10976</v>
      </c>
      <c r="AZ841" s="3" t="s">
        <v>74</v>
      </c>
      <c r="BB841" s="3" t="s">
        <v>10977</v>
      </c>
      <c r="BC841" s="3" t="s">
        <v>10978</v>
      </c>
      <c r="BD841" s="3" t="s">
        <v>10979</v>
      </c>
    </row>
    <row r="842" spans="1:56" ht="42.75" customHeight="1" x14ac:dyDescent="0.25">
      <c r="A842" s="7" t="s">
        <v>58</v>
      </c>
      <c r="B842" s="2" t="s">
        <v>10980</v>
      </c>
      <c r="C842" s="2" t="s">
        <v>10981</v>
      </c>
      <c r="D842" s="2" t="s">
        <v>10982</v>
      </c>
      <c r="F842" s="3" t="s">
        <v>58</v>
      </c>
      <c r="G842" s="3" t="s">
        <v>59</v>
      </c>
      <c r="H842" s="3" t="s">
        <v>58</v>
      </c>
      <c r="I842" s="3" t="s">
        <v>58</v>
      </c>
      <c r="J842" s="3" t="s">
        <v>60</v>
      </c>
      <c r="L842" s="2" t="s">
        <v>10983</v>
      </c>
      <c r="M842" s="3" t="s">
        <v>192</v>
      </c>
      <c r="N842" s="2" t="s">
        <v>1736</v>
      </c>
      <c r="O842" s="3" t="s">
        <v>64</v>
      </c>
      <c r="P842" s="3" t="s">
        <v>145</v>
      </c>
      <c r="R842" s="3" t="s">
        <v>67</v>
      </c>
      <c r="S842" s="4">
        <v>5</v>
      </c>
      <c r="T842" s="4">
        <v>5</v>
      </c>
      <c r="U842" s="5" t="s">
        <v>10984</v>
      </c>
      <c r="V842" s="5" t="s">
        <v>10984</v>
      </c>
      <c r="W842" s="5" t="s">
        <v>10985</v>
      </c>
      <c r="X842" s="5" t="s">
        <v>10985</v>
      </c>
      <c r="Y842" s="4">
        <v>235</v>
      </c>
      <c r="Z842" s="4">
        <v>179</v>
      </c>
      <c r="AA842" s="4">
        <v>249</v>
      </c>
      <c r="AB842" s="4">
        <v>1</v>
      </c>
      <c r="AC842" s="4">
        <v>2</v>
      </c>
      <c r="AD842" s="4">
        <v>6</v>
      </c>
      <c r="AE842" s="4">
        <v>13</v>
      </c>
      <c r="AF842" s="4">
        <v>2</v>
      </c>
      <c r="AG842" s="4">
        <v>5</v>
      </c>
      <c r="AH842" s="4">
        <v>0</v>
      </c>
      <c r="AI842" s="4">
        <v>0</v>
      </c>
      <c r="AJ842" s="4">
        <v>5</v>
      </c>
      <c r="AK842" s="4">
        <v>9</v>
      </c>
      <c r="AL842" s="4">
        <v>0</v>
      </c>
      <c r="AM842" s="4">
        <v>1</v>
      </c>
      <c r="AN842" s="4">
        <v>0</v>
      </c>
      <c r="AO842" s="4">
        <v>0</v>
      </c>
      <c r="AP842" s="3" t="s">
        <v>58</v>
      </c>
      <c r="AQ842" s="3" t="s">
        <v>86</v>
      </c>
      <c r="AR842" s="6" t="str">
        <f>HYPERLINK("http://catalog.hathitrust.org/Record/005233528","HathiTrust Record")</f>
        <v>HathiTrust Record</v>
      </c>
      <c r="AS842" s="6" t="str">
        <f>HYPERLINK("https://creighton-primo.hosted.exlibrisgroup.com/primo-explore/search?tab=default_tab&amp;search_scope=EVERYTHING&amp;vid=01CRU&amp;lang=en_US&amp;offset=0&amp;query=any,contains,991005055129702656","Catalog Record")</f>
        <v>Catalog Record</v>
      </c>
      <c r="AT842" s="6" t="str">
        <f>HYPERLINK("http://www.worldcat.org/oclc/61879691","WorldCat Record")</f>
        <v>WorldCat Record</v>
      </c>
      <c r="AU842" s="3" t="s">
        <v>10986</v>
      </c>
      <c r="AV842" s="3" t="s">
        <v>10987</v>
      </c>
      <c r="AW842" s="3" t="s">
        <v>10988</v>
      </c>
      <c r="AX842" s="3" t="s">
        <v>10988</v>
      </c>
      <c r="AY842" s="3" t="s">
        <v>10989</v>
      </c>
      <c r="AZ842" s="3" t="s">
        <v>74</v>
      </c>
      <c r="BB842" s="3" t="s">
        <v>10990</v>
      </c>
      <c r="BC842" s="3" t="s">
        <v>10991</v>
      </c>
      <c r="BD842" s="3" t="s">
        <v>10992</v>
      </c>
    </row>
    <row r="843" spans="1:56" ht="42.75" customHeight="1" x14ac:dyDescent="0.25">
      <c r="A843" s="7" t="s">
        <v>58</v>
      </c>
      <c r="B843" s="2" t="s">
        <v>10993</v>
      </c>
      <c r="C843" s="2" t="s">
        <v>10994</v>
      </c>
      <c r="D843" s="2" t="s">
        <v>10995</v>
      </c>
      <c r="F843" s="3" t="s">
        <v>58</v>
      </c>
      <c r="G843" s="3" t="s">
        <v>59</v>
      </c>
      <c r="H843" s="3" t="s">
        <v>58</v>
      </c>
      <c r="I843" s="3" t="s">
        <v>58</v>
      </c>
      <c r="J843" s="3" t="s">
        <v>60</v>
      </c>
      <c r="K843" s="2" t="s">
        <v>10996</v>
      </c>
      <c r="L843" s="2" t="s">
        <v>10997</v>
      </c>
      <c r="M843" s="3" t="s">
        <v>695</v>
      </c>
      <c r="O843" s="3" t="s">
        <v>64</v>
      </c>
      <c r="P843" s="3" t="s">
        <v>115</v>
      </c>
      <c r="R843" s="3" t="s">
        <v>67</v>
      </c>
      <c r="S843" s="4">
        <v>2</v>
      </c>
      <c r="T843" s="4">
        <v>2</v>
      </c>
      <c r="U843" s="5" t="s">
        <v>10998</v>
      </c>
      <c r="V843" s="5" t="s">
        <v>10998</v>
      </c>
      <c r="W843" s="5" t="s">
        <v>10999</v>
      </c>
      <c r="X843" s="5" t="s">
        <v>10999</v>
      </c>
      <c r="Y843" s="4">
        <v>210</v>
      </c>
      <c r="Z843" s="4">
        <v>173</v>
      </c>
      <c r="AA843" s="4">
        <v>176</v>
      </c>
      <c r="AB843" s="4">
        <v>1</v>
      </c>
      <c r="AC843" s="4">
        <v>1</v>
      </c>
      <c r="AD843" s="4">
        <v>12</v>
      </c>
      <c r="AE843" s="4">
        <v>12</v>
      </c>
      <c r="AF843" s="4">
        <v>5</v>
      </c>
      <c r="AG843" s="4">
        <v>5</v>
      </c>
      <c r="AH843" s="4">
        <v>3</v>
      </c>
      <c r="AI843" s="4">
        <v>3</v>
      </c>
      <c r="AJ843" s="4">
        <v>8</v>
      </c>
      <c r="AK843" s="4">
        <v>8</v>
      </c>
      <c r="AL843" s="4">
        <v>0</v>
      </c>
      <c r="AM843" s="4">
        <v>0</v>
      </c>
      <c r="AN843" s="4">
        <v>0</v>
      </c>
      <c r="AO843" s="4">
        <v>0</v>
      </c>
      <c r="AP843" s="3" t="s">
        <v>58</v>
      </c>
      <c r="AQ843" s="3" t="s">
        <v>86</v>
      </c>
      <c r="AR843" s="6" t="str">
        <f>HYPERLINK("http://catalog.hathitrust.org/Record/002955684","HathiTrust Record")</f>
        <v>HathiTrust Record</v>
      </c>
      <c r="AS843" s="6" t="str">
        <f>HYPERLINK("https://creighton-primo.hosted.exlibrisgroup.com/primo-explore/search?tab=default_tab&amp;search_scope=EVERYTHING&amp;vid=01CRU&amp;lang=en_US&amp;offset=0&amp;query=any,contains,991002203849702656","Catalog Record")</f>
        <v>Catalog Record</v>
      </c>
      <c r="AT843" s="6" t="str">
        <f>HYPERLINK("http://www.worldcat.org/oclc/28344378","WorldCat Record")</f>
        <v>WorldCat Record</v>
      </c>
      <c r="AU843" s="3" t="s">
        <v>11000</v>
      </c>
      <c r="AV843" s="3" t="s">
        <v>11001</v>
      </c>
      <c r="AW843" s="3" t="s">
        <v>11002</v>
      </c>
      <c r="AX843" s="3" t="s">
        <v>11002</v>
      </c>
      <c r="AY843" s="3" t="s">
        <v>11003</v>
      </c>
      <c r="AZ843" s="3" t="s">
        <v>74</v>
      </c>
      <c r="BB843" s="3" t="s">
        <v>11004</v>
      </c>
      <c r="BC843" s="3" t="s">
        <v>11005</v>
      </c>
      <c r="BD843" s="3" t="s">
        <v>11006</v>
      </c>
    </row>
    <row r="844" spans="1:56" ht="42.75" customHeight="1" x14ac:dyDescent="0.25">
      <c r="A844" s="7" t="s">
        <v>58</v>
      </c>
      <c r="B844" s="2" t="s">
        <v>11007</v>
      </c>
      <c r="C844" s="2" t="s">
        <v>11008</v>
      </c>
      <c r="D844" s="2" t="s">
        <v>11009</v>
      </c>
      <c r="F844" s="3" t="s">
        <v>58</v>
      </c>
      <c r="G844" s="3" t="s">
        <v>59</v>
      </c>
      <c r="H844" s="3" t="s">
        <v>58</v>
      </c>
      <c r="I844" s="3" t="s">
        <v>58</v>
      </c>
      <c r="J844" s="3" t="s">
        <v>60</v>
      </c>
      <c r="L844" s="2" t="s">
        <v>6998</v>
      </c>
      <c r="M844" s="3" t="s">
        <v>1101</v>
      </c>
      <c r="N844" s="2" t="s">
        <v>1736</v>
      </c>
      <c r="O844" s="3" t="s">
        <v>64</v>
      </c>
      <c r="P844" s="3" t="s">
        <v>145</v>
      </c>
      <c r="R844" s="3" t="s">
        <v>67</v>
      </c>
      <c r="S844" s="4">
        <v>2</v>
      </c>
      <c r="T844" s="4">
        <v>2</v>
      </c>
      <c r="U844" s="5" t="s">
        <v>11010</v>
      </c>
      <c r="V844" s="5" t="s">
        <v>11010</v>
      </c>
      <c r="W844" s="5" t="s">
        <v>11011</v>
      </c>
      <c r="X844" s="5" t="s">
        <v>11011</v>
      </c>
      <c r="Y844" s="4">
        <v>307</v>
      </c>
      <c r="Z844" s="4">
        <v>250</v>
      </c>
      <c r="AA844" s="4">
        <v>329</v>
      </c>
      <c r="AB844" s="4">
        <v>3</v>
      </c>
      <c r="AC844" s="4">
        <v>4</v>
      </c>
      <c r="AD844" s="4">
        <v>15</v>
      </c>
      <c r="AE844" s="4">
        <v>20</v>
      </c>
      <c r="AF844" s="4">
        <v>6</v>
      </c>
      <c r="AG844" s="4">
        <v>7</v>
      </c>
      <c r="AH844" s="4">
        <v>3</v>
      </c>
      <c r="AI844" s="4">
        <v>3</v>
      </c>
      <c r="AJ844" s="4">
        <v>8</v>
      </c>
      <c r="AK844" s="4">
        <v>11</v>
      </c>
      <c r="AL844" s="4">
        <v>2</v>
      </c>
      <c r="AM844" s="4">
        <v>3</v>
      </c>
      <c r="AN844" s="4">
        <v>0</v>
      </c>
      <c r="AO844" s="4">
        <v>0</v>
      </c>
      <c r="AP844" s="3" t="s">
        <v>58</v>
      </c>
      <c r="AQ844" s="3" t="s">
        <v>58</v>
      </c>
      <c r="AS844" s="6" t="str">
        <f>HYPERLINK("https://creighton-primo.hosted.exlibrisgroup.com/primo-explore/search?tab=default_tab&amp;search_scope=EVERYTHING&amp;vid=01CRU&amp;lang=en_US&amp;offset=0&amp;query=any,contains,991004265459702656","Catalog Record")</f>
        <v>Catalog Record</v>
      </c>
      <c r="AT844" s="6" t="str">
        <f>HYPERLINK("http://www.worldcat.org/oclc/48958394","WorldCat Record")</f>
        <v>WorldCat Record</v>
      </c>
      <c r="AU844" s="3" t="s">
        <v>11012</v>
      </c>
      <c r="AV844" s="3" t="s">
        <v>11013</v>
      </c>
      <c r="AW844" s="3" t="s">
        <v>11014</v>
      </c>
      <c r="AX844" s="3" t="s">
        <v>11014</v>
      </c>
      <c r="AY844" s="3" t="s">
        <v>11015</v>
      </c>
      <c r="AZ844" s="3" t="s">
        <v>74</v>
      </c>
      <c r="BB844" s="3" t="s">
        <v>11016</v>
      </c>
      <c r="BC844" s="3" t="s">
        <v>11017</v>
      </c>
      <c r="BD844" s="3" t="s">
        <v>11018</v>
      </c>
    </row>
    <row r="845" spans="1:56" ht="42.75" customHeight="1" x14ac:dyDescent="0.25">
      <c r="A845" s="7" t="s">
        <v>58</v>
      </c>
      <c r="B845" s="2" t="s">
        <v>11019</v>
      </c>
      <c r="C845" s="2" t="s">
        <v>11020</v>
      </c>
      <c r="D845" s="2" t="s">
        <v>11021</v>
      </c>
      <c r="F845" s="3" t="s">
        <v>58</v>
      </c>
      <c r="G845" s="3" t="s">
        <v>59</v>
      </c>
      <c r="H845" s="3" t="s">
        <v>58</v>
      </c>
      <c r="I845" s="3" t="s">
        <v>58</v>
      </c>
      <c r="J845" s="3" t="s">
        <v>60</v>
      </c>
      <c r="K845" s="2" t="s">
        <v>11022</v>
      </c>
      <c r="L845" s="2" t="s">
        <v>11023</v>
      </c>
      <c r="M845" s="3" t="s">
        <v>371</v>
      </c>
      <c r="O845" s="3" t="s">
        <v>64</v>
      </c>
      <c r="P845" s="3" t="s">
        <v>83</v>
      </c>
      <c r="R845" s="3" t="s">
        <v>67</v>
      </c>
      <c r="S845" s="4">
        <v>5</v>
      </c>
      <c r="T845" s="4">
        <v>5</v>
      </c>
      <c r="U845" s="5" t="s">
        <v>11024</v>
      </c>
      <c r="V845" s="5" t="s">
        <v>11024</v>
      </c>
      <c r="W845" s="5" t="s">
        <v>4730</v>
      </c>
      <c r="X845" s="5" t="s">
        <v>4730</v>
      </c>
      <c r="Y845" s="4">
        <v>236</v>
      </c>
      <c r="Z845" s="4">
        <v>209</v>
      </c>
      <c r="AA845" s="4">
        <v>209</v>
      </c>
      <c r="AB845" s="4">
        <v>1</v>
      </c>
      <c r="AC845" s="4">
        <v>1</v>
      </c>
      <c r="AD845" s="4">
        <v>5</v>
      </c>
      <c r="AE845" s="4">
        <v>5</v>
      </c>
      <c r="AF845" s="4">
        <v>2</v>
      </c>
      <c r="AG845" s="4">
        <v>2</v>
      </c>
      <c r="AH845" s="4">
        <v>1</v>
      </c>
      <c r="AI845" s="4">
        <v>1</v>
      </c>
      <c r="AJ845" s="4">
        <v>4</v>
      </c>
      <c r="AK845" s="4">
        <v>4</v>
      </c>
      <c r="AL845" s="4">
        <v>0</v>
      </c>
      <c r="AM845" s="4">
        <v>0</v>
      </c>
      <c r="AN845" s="4">
        <v>0</v>
      </c>
      <c r="AO845" s="4">
        <v>0</v>
      </c>
      <c r="AP845" s="3" t="s">
        <v>58</v>
      </c>
      <c r="AQ845" s="3" t="s">
        <v>58</v>
      </c>
      <c r="AS845" s="6" t="str">
        <f>HYPERLINK("https://creighton-primo.hosted.exlibrisgroup.com/primo-explore/search?tab=default_tab&amp;search_scope=EVERYTHING&amp;vid=01CRU&amp;lang=en_US&amp;offset=0&amp;query=any,contains,991000794409702656","Catalog Record")</f>
        <v>Catalog Record</v>
      </c>
      <c r="AT845" s="6" t="str">
        <f>HYPERLINK("http://www.worldcat.org/oclc/13184087","WorldCat Record")</f>
        <v>WorldCat Record</v>
      </c>
      <c r="AU845" s="3" t="s">
        <v>11025</v>
      </c>
      <c r="AV845" s="3" t="s">
        <v>11026</v>
      </c>
      <c r="AW845" s="3" t="s">
        <v>11027</v>
      </c>
      <c r="AX845" s="3" t="s">
        <v>11027</v>
      </c>
      <c r="AY845" s="3" t="s">
        <v>11028</v>
      </c>
      <c r="AZ845" s="3" t="s">
        <v>74</v>
      </c>
      <c r="BB845" s="3" t="s">
        <v>11029</v>
      </c>
      <c r="BC845" s="3" t="s">
        <v>11030</v>
      </c>
      <c r="BD845" s="3" t="s">
        <v>11031</v>
      </c>
    </row>
    <row r="846" spans="1:56" ht="42.75" customHeight="1" x14ac:dyDescent="0.25">
      <c r="A846" s="7" t="s">
        <v>58</v>
      </c>
      <c r="B846" s="2" t="s">
        <v>11032</v>
      </c>
      <c r="C846" s="2" t="s">
        <v>11033</v>
      </c>
      <c r="D846" s="2" t="s">
        <v>11034</v>
      </c>
      <c r="F846" s="3" t="s">
        <v>58</v>
      </c>
      <c r="G846" s="3" t="s">
        <v>59</v>
      </c>
      <c r="H846" s="3" t="s">
        <v>58</v>
      </c>
      <c r="I846" s="3" t="s">
        <v>58</v>
      </c>
      <c r="J846" s="3" t="s">
        <v>60</v>
      </c>
      <c r="L846" s="2" t="s">
        <v>9058</v>
      </c>
      <c r="M846" s="3" t="s">
        <v>2227</v>
      </c>
      <c r="O846" s="3" t="s">
        <v>64</v>
      </c>
      <c r="P846" s="3" t="s">
        <v>115</v>
      </c>
      <c r="R846" s="3" t="s">
        <v>67</v>
      </c>
      <c r="S846" s="4">
        <v>14</v>
      </c>
      <c r="T846" s="4">
        <v>14</v>
      </c>
      <c r="U846" s="5" t="s">
        <v>11035</v>
      </c>
      <c r="V846" s="5" t="s">
        <v>11035</v>
      </c>
      <c r="W846" s="5" t="s">
        <v>11036</v>
      </c>
      <c r="X846" s="5" t="s">
        <v>11036</v>
      </c>
      <c r="Y846" s="4">
        <v>486</v>
      </c>
      <c r="Z846" s="4">
        <v>423</v>
      </c>
      <c r="AA846" s="4">
        <v>439</v>
      </c>
      <c r="AB846" s="4">
        <v>3</v>
      </c>
      <c r="AC846" s="4">
        <v>3</v>
      </c>
      <c r="AD846" s="4">
        <v>16</v>
      </c>
      <c r="AE846" s="4">
        <v>18</v>
      </c>
      <c r="AF846" s="4">
        <v>5</v>
      </c>
      <c r="AG846" s="4">
        <v>6</v>
      </c>
      <c r="AH846" s="4">
        <v>4</v>
      </c>
      <c r="AI846" s="4">
        <v>5</v>
      </c>
      <c r="AJ846" s="4">
        <v>7</v>
      </c>
      <c r="AK846" s="4">
        <v>7</v>
      </c>
      <c r="AL846" s="4">
        <v>2</v>
      </c>
      <c r="AM846" s="4">
        <v>2</v>
      </c>
      <c r="AN846" s="4">
        <v>0</v>
      </c>
      <c r="AO846" s="4">
        <v>0</v>
      </c>
      <c r="AP846" s="3" t="s">
        <v>58</v>
      </c>
      <c r="AQ846" s="3" t="s">
        <v>86</v>
      </c>
      <c r="AR846" s="6" t="str">
        <f>HYPERLINK("http://catalog.hathitrust.org/Record/000570357","HathiTrust Record")</f>
        <v>HathiTrust Record</v>
      </c>
      <c r="AS846" s="6" t="str">
        <f>HYPERLINK("https://creighton-primo.hosted.exlibrisgroup.com/primo-explore/search?tab=default_tab&amp;search_scope=EVERYTHING&amp;vid=01CRU&amp;lang=en_US&amp;offset=0&amp;query=any,contains,991000601899702656","Catalog Record")</f>
        <v>Catalog Record</v>
      </c>
      <c r="AT846" s="6" t="str">
        <f>HYPERLINK("http://www.worldcat.org/oclc/11842063","WorldCat Record")</f>
        <v>WorldCat Record</v>
      </c>
      <c r="AU846" s="3" t="s">
        <v>11037</v>
      </c>
      <c r="AV846" s="3" t="s">
        <v>11038</v>
      </c>
      <c r="AW846" s="3" t="s">
        <v>11039</v>
      </c>
      <c r="AX846" s="3" t="s">
        <v>11039</v>
      </c>
      <c r="AY846" s="3" t="s">
        <v>11040</v>
      </c>
      <c r="AZ846" s="3" t="s">
        <v>74</v>
      </c>
      <c r="BB846" s="3" t="s">
        <v>11041</v>
      </c>
      <c r="BC846" s="3" t="s">
        <v>11042</v>
      </c>
      <c r="BD846" s="3" t="s">
        <v>11043</v>
      </c>
    </row>
    <row r="847" spans="1:56" ht="42.75" customHeight="1" x14ac:dyDescent="0.25">
      <c r="A847" s="7" t="s">
        <v>58</v>
      </c>
      <c r="B847" s="2" t="s">
        <v>11044</v>
      </c>
      <c r="C847" s="2" t="s">
        <v>11045</v>
      </c>
      <c r="D847" s="2" t="s">
        <v>11046</v>
      </c>
      <c r="F847" s="3" t="s">
        <v>58</v>
      </c>
      <c r="G847" s="3" t="s">
        <v>59</v>
      </c>
      <c r="H847" s="3" t="s">
        <v>58</v>
      </c>
      <c r="I847" s="3" t="s">
        <v>58</v>
      </c>
      <c r="J847" s="3" t="s">
        <v>60</v>
      </c>
      <c r="K847" s="2" t="s">
        <v>11047</v>
      </c>
      <c r="L847" s="2" t="s">
        <v>11048</v>
      </c>
      <c r="M847" s="3" t="s">
        <v>534</v>
      </c>
      <c r="O847" s="3" t="s">
        <v>64</v>
      </c>
      <c r="P847" s="3" t="s">
        <v>99</v>
      </c>
      <c r="Q847" s="2" t="s">
        <v>7599</v>
      </c>
      <c r="R847" s="3" t="s">
        <v>67</v>
      </c>
      <c r="S847" s="4">
        <v>15</v>
      </c>
      <c r="T847" s="4">
        <v>15</v>
      </c>
      <c r="U847" s="5" t="s">
        <v>6084</v>
      </c>
      <c r="V847" s="5" t="s">
        <v>6084</v>
      </c>
      <c r="W847" s="5" t="s">
        <v>8009</v>
      </c>
      <c r="X847" s="5" t="s">
        <v>8009</v>
      </c>
      <c r="Y847" s="4">
        <v>561</v>
      </c>
      <c r="Z847" s="4">
        <v>458</v>
      </c>
      <c r="AA847" s="4">
        <v>476</v>
      </c>
      <c r="AB847" s="4">
        <v>6</v>
      </c>
      <c r="AC847" s="4">
        <v>6</v>
      </c>
      <c r="AD847" s="4">
        <v>23</v>
      </c>
      <c r="AE847" s="4">
        <v>25</v>
      </c>
      <c r="AF847" s="4">
        <v>8</v>
      </c>
      <c r="AG847" s="4">
        <v>9</v>
      </c>
      <c r="AH847" s="4">
        <v>4</v>
      </c>
      <c r="AI847" s="4">
        <v>5</v>
      </c>
      <c r="AJ847" s="4">
        <v>11</v>
      </c>
      <c r="AK847" s="4">
        <v>11</v>
      </c>
      <c r="AL847" s="4">
        <v>5</v>
      </c>
      <c r="AM847" s="4">
        <v>5</v>
      </c>
      <c r="AN847" s="4">
        <v>0</v>
      </c>
      <c r="AO847" s="4">
        <v>0</v>
      </c>
      <c r="AP847" s="3" t="s">
        <v>58</v>
      </c>
      <c r="AQ847" s="3" t="s">
        <v>86</v>
      </c>
      <c r="AR847" s="6" t="str">
        <f>HYPERLINK("http://catalog.hathitrust.org/Record/001953336","HathiTrust Record")</f>
        <v>HathiTrust Record</v>
      </c>
      <c r="AS847" s="6" t="str">
        <f>HYPERLINK("https://creighton-primo.hosted.exlibrisgroup.com/primo-explore/search?tab=default_tab&amp;search_scope=EVERYTHING&amp;vid=01CRU&amp;lang=en_US&amp;offset=0&amp;query=any,contains,991001617849702656","Catalog Record")</f>
        <v>Catalog Record</v>
      </c>
      <c r="AT847" s="6" t="str">
        <f>HYPERLINK("http://www.worldcat.org/oclc/20799477","WorldCat Record")</f>
        <v>WorldCat Record</v>
      </c>
      <c r="AU847" s="3" t="s">
        <v>11049</v>
      </c>
      <c r="AV847" s="3" t="s">
        <v>11050</v>
      </c>
      <c r="AW847" s="3" t="s">
        <v>11051</v>
      </c>
      <c r="AX847" s="3" t="s">
        <v>11051</v>
      </c>
      <c r="AY847" s="3" t="s">
        <v>11052</v>
      </c>
      <c r="AZ847" s="3" t="s">
        <v>74</v>
      </c>
      <c r="BB847" s="3" t="s">
        <v>11053</v>
      </c>
      <c r="BC847" s="3" t="s">
        <v>11054</v>
      </c>
      <c r="BD847" s="3" t="s">
        <v>11055</v>
      </c>
    </row>
    <row r="848" spans="1:56" ht="42.75" customHeight="1" x14ac:dyDescent="0.25">
      <c r="A848" s="7" t="s">
        <v>58</v>
      </c>
      <c r="B848" s="2" t="s">
        <v>11056</v>
      </c>
      <c r="C848" s="2" t="s">
        <v>11057</v>
      </c>
      <c r="D848" s="2" t="s">
        <v>11058</v>
      </c>
      <c r="F848" s="3" t="s">
        <v>58</v>
      </c>
      <c r="G848" s="3" t="s">
        <v>59</v>
      </c>
      <c r="H848" s="3" t="s">
        <v>58</v>
      </c>
      <c r="I848" s="3" t="s">
        <v>58</v>
      </c>
      <c r="J848" s="3" t="s">
        <v>60</v>
      </c>
      <c r="K848" s="2" t="s">
        <v>11059</v>
      </c>
      <c r="L848" s="2" t="s">
        <v>11060</v>
      </c>
      <c r="M848" s="3" t="s">
        <v>765</v>
      </c>
      <c r="O848" s="3" t="s">
        <v>64</v>
      </c>
      <c r="P848" s="3" t="s">
        <v>115</v>
      </c>
      <c r="Q848" s="2" t="s">
        <v>11061</v>
      </c>
      <c r="R848" s="3" t="s">
        <v>67</v>
      </c>
      <c r="S848" s="4">
        <v>3</v>
      </c>
      <c r="T848" s="4">
        <v>3</v>
      </c>
      <c r="U848" s="5" t="s">
        <v>6084</v>
      </c>
      <c r="V848" s="5" t="s">
        <v>6084</v>
      </c>
      <c r="W848" s="5" t="s">
        <v>11062</v>
      </c>
      <c r="X848" s="5" t="s">
        <v>11062</v>
      </c>
      <c r="Y848" s="4">
        <v>296</v>
      </c>
      <c r="Z848" s="4">
        <v>256</v>
      </c>
      <c r="AA848" s="4">
        <v>286</v>
      </c>
      <c r="AB848" s="4">
        <v>2</v>
      </c>
      <c r="AC848" s="4">
        <v>2</v>
      </c>
      <c r="AD848" s="4">
        <v>11</v>
      </c>
      <c r="AE848" s="4">
        <v>11</v>
      </c>
      <c r="AF848" s="4">
        <v>2</v>
      </c>
      <c r="AG848" s="4">
        <v>2</v>
      </c>
      <c r="AH848" s="4">
        <v>2</v>
      </c>
      <c r="AI848" s="4">
        <v>2</v>
      </c>
      <c r="AJ848" s="4">
        <v>9</v>
      </c>
      <c r="AK848" s="4">
        <v>9</v>
      </c>
      <c r="AL848" s="4">
        <v>1</v>
      </c>
      <c r="AM848" s="4">
        <v>1</v>
      </c>
      <c r="AN848" s="4">
        <v>0</v>
      </c>
      <c r="AO848" s="4">
        <v>0</v>
      </c>
      <c r="AP848" s="3" t="s">
        <v>58</v>
      </c>
      <c r="AQ848" s="3" t="s">
        <v>86</v>
      </c>
      <c r="AR848" s="6" t="str">
        <f>HYPERLINK("http://catalog.hathitrust.org/Record/002955718","HathiTrust Record")</f>
        <v>HathiTrust Record</v>
      </c>
      <c r="AS848" s="6" t="str">
        <f>HYPERLINK("https://creighton-primo.hosted.exlibrisgroup.com/primo-explore/search?tab=default_tab&amp;search_scope=EVERYTHING&amp;vid=01CRU&amp;lang=en_US&amp;offset=0&amp;query=any,contains,991002236339702656","Catalog Record")</f>
        <v>Catalog Record</v>
      </c>
      <c r="AT848" s="6" t="str">
        <f>HYPERLINK("http://www.worldcat.org/oclc/28847649","WorldCat Record")</f>
        <v>WorldCat Record</v>
      </c>
      <c r="AU848" s="3" t="s">
        <v>11063</v>
      </c>
      <c r="AV848" s="3" t="s">
        <v>11064</v>
      </c>
      <c r="AW848" s="3" t="s">
        <v>11065</v>
      </c>
      <c r="AX848" s="3" t="s">
        <v>11065</v>
      </c>
      <c r="AY848" s="3" t="s">
        <v>11066</v>
      </c>
      <c r="AZ848" s="3" t="s">
        <v>74</v>
      </c>
      <c r="BB848" s="3" t="s">
        <v>11067</v>
      </c>
      <c r="BC848" s="3" t="s">
        <v>11068</v>
      </c>
      <c r="BD848" s="3" t="s">
        <v>11069</v>
      </c>
    </row>
    <row r="849" spans="1:56" ht="42.75" customHeight="1" x14ac:dyDescent="0.25">
      <c r="A849" s="7" t="s">
        <v>58</v>
      </c>
      <c r="B849" s="2" t="s">
        <v>11070</v>
      </c>
      <c r="C849" s="2" t="s">
        <v>11071</v>
      </c>
      <c r="D849" s="2" t="s">
        <v>11072</v>
      </c>
      <c r="F849" s="3" t="s">
        <v>58</v>
      </c>
      <c r="G849" s="3" t="s">
        <v>59</v>
      </c>
      <c r="H849" s="3" t="s">
        <v>86</v>
      </c>
      <c r="I849" s="3" t="s">
        <v>58</v>
      </c>
      <c r="J849" s="3" t="s">
        <v>60</v>
      </c>
      <c r="K849" s="2" t="s">
        <v>11073</v>
      </c>
      <c r="L849" s="2" t="s">
        <v>11074</v>
      </c>
      <c r="M849" s="3" t="s">
        <v>344</v>
      </c>
      <c r="O849" s="3" t="s">
        <v>64</v>
      </c>
      <c r="P849" s="3" t="s">
        <v>115</v>
      </c>
      <c r="Q849" s="2" t="s">
        <v>11075</v>
      </c>
      <c r="R849" s="3" t="s">
        <v>67</v>
      </c>
      <c r="S849" s="4">
        <v>3</v>
      </c>
      <c r="T849" s="4">
        <v>6</v>
      </c>
      <c r="U849" s="5" t="s">
        <v>6084</v>
      </c>
      <c r="V849" s="5" t="s">
        <v>6084</v>
      </c>
      <c r="W849" s="5" t="s">
        <v>10558</v>
      </c>
      <c r="X849" s="5" t="s">
        <v>10558</v>
      </c>
      <c r="Y849" s="4">
        <v>520</v>
      </c>
      <c r="Z849" s="4">
        <v>454</v>
      </c>
      <c r="AA849" s="4">
        <v>461</v>
      </c>
      <c r="AB849" s="4">
        <v>4</v>
      </c>
      <c r="AC849" s="4">
        <v>4</v>
      </c>
      <c r="AD849" s="4">
        <v>20</v>
      </c>
      <c r="AE849" s="4">
        <v>20</v>
      </c>
      <c r="AF849" s="4">
        <v>7</v>
      </c>
      <c r="AG849" s="4">
        <v>7</v>
      </c>
      <c r="AH849" s="4">
        <v>4</v>
      </c>
      <c r="AI849" s="4">
        <v>4</v>
      </c>
      <c r="AJ849" s="4">
        <v>11</v>
      </c>
      <c r="AK849" s="4">
        <v>11</v>
      </c>
      <c r="AL849" s="4">
        <v>2</v>
      </c>
      <c r="AM849" s="4">
        <v>2</v>
      </c>
      <c r="AN849" s="4">
        <v>0</v>
      </c>
      <c r="AO849" s="4">
        <v>0</v>
      </c>
      <c r="AP849" s="3" t="s">
        <v>58</v>
      </c>
      <c r="AQ849" s="3" t="s">
        <v>86</v>
      </c>
      <c r="AR849" s="6" t="str">
        <f>HYPERLINK("http://catalog.hathitrust.org/Record/000262335","HathiTrust Record")</f>
        <v>HathiTrust Record</v>
      </c>
      <c r="AS849" s="6" t="str">
        <f>HYPERLINK("https://creighton-primo.hosted.exlibrisgroup.com/primo-explore/search?tab=default_tab&amp;search_scope=EVERYTHING&amp;vid=01CRU&amp;lang=en_US&amp;offset=0&amp;query=any,contains,991001801769702656","Catalog Record")</f>
        <v>Catalog Record</v>
      </c>
      <c r="AT849" s="6" t="str">
        <f>HYPERLINK("http://www.worldcat.org/oclc/5894185","WorldCat Record")</f>
        <v>WorldCat Record</v>
      </c>
      <c r="AU849" s="3" t="s">
        <v>11076</v>
      </c>
      <c r="AV849" s="3" t="s">
        <v>11077</v>
      </c>
      <c r="AW849" s="3" t="s">
        <v>11078</v>
      </c>
      <c r="AX849" s="3" t="s">
        <v>11078</v>
      </c>
      <c r="AY849" s="3" t="s">
        <v>11079</v>
      </c>
      <c r="AZ849" s="3" t="s">
        <v>74</v>
      </c>
      <c r="BB849" s="3" t="s">
        <v>11080</v>
      </c>
      <c r="BC849" s="3" t="s">
        <v>11081</v>
      </c>
      <c r="BD849" s="3" t="s">
        <v>11082</v>
      </c>
    </row>
    <row r="850" spans="1:56" ht="42.75" customHeight="1" x14ac:dyDescent="0.25">
      <c r="A850" s="7" t="s">
        <v>58</v>
      </c>
      <c r="B850" s="2" t="s">
        <v>11083</v>
      </c>
      <c r="C850" s="2" t="s">
        <v>11084</v>
      </c>
      <c r="D850" s="2" t="s">
        <v>11085</v>
      </c>
      <c r="F850" s="3" t="s">
        <v>58</v>
      </c>
      <c r="G850" s="3" t="s">
        <v>59</v>
      </c>
      <c r="H850" s="3" t="s">
        <v>58</v>
      </c>
      <c r="I850" s="3" t="s">
        <v>58</v>
      </c>
      <c r="J850" s="3" t="s">
        <v>60</v>
      </c>
      <c r="L850" s="2" t="s">
        <v>11086</v>
      </c>
      <c r="M850" s="3" t="s">
        <v>114</v>
      </c>
      <c r="O850" s="3" t="s">
        <v>64</v>
      </c>
      <c r="P850" s="3" t="s">
        <v>115</v>
      </c>
      <c r="Q850" s="2" t="s">
        <v>11087</v>
      </c>
      <c r="R850" s="3" t="s">
        <v>67</v>
      </c>
      <c r="S850" s="4">
        <v>4</v>
      </c>
      <c r="T850" s="4">
        <v>4</v>
      </c>
      <c r="U850" s="5" t="s">
        <v>6084</v>
      </c>
      <c r="V850" s="5" t="s">
        <v>6084</v>
      </c>
      <c r="W850" s="5" t="s">
        <v>10558</v>
      </c>
      <c r="X850" s="5" t="s">
        <v>10558</v>
      </c>
      <c r="Y850" s="4">
        <v>430</v>
      </c>
      <c r="Z850" s="4">
        <v>363</v>
      </c>
      <c r="AA850" s="4">
        <v>365</v>
      </c>
      <c r="AB850" s="4">
        <v>2</v>
      </c>
      <c r="AC850" s="4">
        <v>2</v>
      </c>
      <c r="AD850" s="4">
        <v>15</v>
      </c>
      <c r="AE850" s="4">
        <v>15</v>
      </c>
      <c r="AF850" s="4">
        <v>2</v>
      </c>
      <c r="AG850" s="4">
        <v>2</v>
      </c>
      <c r="AH850" s="4">
        <v>5</v>
      </c>
      <c r="AI850" s="4">
        <v>5</v>
      </c>
      <c r="AJ850" s="4">
        <v>9</v>
      </c>
      <c r="AK850" s="4">
        <v>9</v>
      </c>
      <c r="AL850" s="4">
        <v>1</v>
      </c>
      <c r="AM850" s="4">
        <v>1</v>
      </c>
      <c r="AN850" s="4">
        <v>0</v>
      </c>
      <c r="AO850" s="4">
        <v>0</v>
      </c>
      <c r="AP850" s="3" t="s">
        <v>58</v>
      </c>
      <c r="AQ850" s="3" t="s">
        <v>86</v>
      </c>
      <c r="AR850" s="6" t="str">
        <f>HYPERLINK("http://catalog.hathitrust.org/Record/000561111","HathiTrust Record")</f>
        <v>HathiTrust Record</v>
      </c>
      <c r="AS850" s="6" t="str">
        <f>HYPERLINK("https://creighton-primo.hosted.exlibrisgroup.com/primo-explore/search?tab=default_tab&amp;search_scope=EVERYTHING&amp;vid=01CRU&amp;lang=en_US&amp;offset=0&amp;query=any,contains,991000432999702656","Catalog Record")</f>
        <v>Catalog Record</v>
      </c>
      <c r="AT850" s="6" t="str">
        <f>HYPERLINK("http://www.worldcat.org/oclc/10780098","WorldCat Record")</f>
        <v>WorldCat Record</v>
      </c>
      <c r="AU850" s="3" t="s">
        <v>11088</v>
      </c>
      <c r="AV850" s="3" t="s">
        <v>11089</v>
      </c>
      <c r="AW850" s="3" t="s">
        <v>11090</v>
      </c>
      <c r="AX850" s="3" t="s">
        <v>11090</v>
      </c>
      <c r="AY850" s="3" t="s">
        <v>11091</v>
      </c>
      <c r="AZ850" s="3" t="s">
        <v>74</v>
      </c>
      <c r="BB850" s="3" t="s">
        <v>11092</v>
      </c>
      <c r="BC850" s="3" t="s">
        <v>11093</v>
      </c>
      <c r="BD850" s="3" t="s">
        <v>11094</v>
      </c>
    </row>
    <row r="851" spans="1:56" ht="42.75" customHeight="1" x14ac:dyDescent="0.25">
      <c r="A851" s="7" t="s">
        <v>58</v>
      </c>
      <c r="B851" s="2" t="s">
        <v>11095</v>
      </c>
      <c r="C851" s="2" t="s">
        <v>11096</v>
      </c>
      <c r="D851" s="2" t="s">
        <v>11097</v>
      </c>
      <c r="F851" s="3" t="s">
        <v>58</v>
      </c>
      <c r="G851" s="3" t="s">
        <v>59</v>
      </c>
      <c r="H851" s="3" t="s">
        <v>58</v>
      </c>
      <c r="I851" s="3" t="s">
        <v>58</v>
      </c>
      <c r="J851" s="3" t="s">
        <v>60</v>
      </c>
      <c r="L851" s="2" t="s">
        <v>11098</v>
      </c>
      <c r="M851" s="3" t="s">
        <v>82</v>
      </c>
      <c r="O851" s="3" t="s">
        <v>64</v>
      </c>
      <c r="P851" s="3" t="s">
        <v>115</v>
      </c>
      <c r="Q851" s="2" t="s">
        <v>11099</v>
      </c>
      <c r="R851" s="3" t="s">
        <v>67</v>
      </c>
      <c r="S851" s="4">
        <v>2</v>
      </c>
      <c r="T851" s="4">
        <v>2</v>
      </c>
      <c r="U851" s="5" t="s">
        <v>11100</v>
      </c>
      <c r="V851" s="5" t="s">
        <v>11100</v>
      </c>
      <c r="W851" s="5" t="s">
        <v>10558</v>
      </c>
      <c r="X851" s="5" t="s">
        <v>10558</v>
      </c>
      <c r="Y851" s="4">
        <v>388</v>
      </c>
      <c r="Z851" s="4">
        <v>331</v>
      </c>
      <c r="AA851" s="4">
        <v>338</v>
      </c>
      <c r="AB851" s="4">
        <v>1</v>
      </c>
      <c r="AC851" s="4">
        <v>1</v>
      </c>
      <c r="AD851" s="4">
        <v>15</v>
      </c>
      <c r="AE851" s="4">
        <v>15</v>
      </c>
      <c r="AF851" s="4">
        <v>4</v>
      </c>
      <c r="AG851" s="4">
        <v>4</v>
      </c>
      <c r="AH851" s="4">
        <v>5</v>
      </c>
      <c r="AI851" s="4">
        <v>5</v>
      </c>
      <c r="AJ851" s="4">
        <v>10</v>
      </c>
      <c r="AK851" s="4">
        <v>10</v>
      </c>
      <c r="AL851" s="4">
        <v>0</v>
      </c>
      <c r="AM851" s="4">
        <v>0</v>
      </c>
      <c r="AN851" s="4">
        <v>0</v>
      </c>
      <c r="AO851" s="4">
        <v>0</v>
      </c>
      <c r="AP851" s="3" t="s">
        <v>58</v>
      </c>
      <c r="AQ851" s="3" t="s">
        <v>86</v>
      </c>
      <c r="AR851" s="6" t="str">
        <f>HYPERLINK("http://catalog.hathitrust.org/Record/000851819","HathiTrust Record")</f>
        <v>HathiTrust Record</v>
      </c>
      <c r="AS851" s="6" t="str">
        <f>HYPERLINK("https://creighton-primo.hosted.exlibrisgroup.com/primo-explore/search?tab=default_tab&amp;search_scope=EVERYTHING&amp;vid=01CRU&amp;lang=en_US&amp;offset=0&amp;query=any,contains,991001014209702656","Catalog Record")</f>
        <v>Catalog Record</v>
      </c>
      <c r="AT851" s="6" t="str">
        <f>HYPERLINK("http://www.worldcat.org/oclc/15316295","WorldCat Record")</f>
        <v>WorldCat Record</v>
      </c>
      <c r="AU851" s="3" t="s">
        <v>11101</v>
      </c>
      <c r="AV851" s="3" t="s">
        <v>11102</v>
      </c>
      <c r="AW851" s="3" t="s">
        <v>11103</v>
      </c>
      <c r="AX851" s="3" t="s">
        <v>11103</v>
      </c>
      <c r="AY851" s="3" t="s">
        <v>11104</v>
      </c>
      <c r="AZ851" s="3" t="s">
        <v>74</v>
      </c>
      <c r="BB851" s="3" t="s">
        <v>11105</v>
      </c>
      <c r="BC851" s="3" t="s">
        <v>11106</v>
      </c>
      <c r="BD851" s="3" t="s">
        <v>11107</v>
      </c>
    </row>
    <row r="852" spans="1:56" ht="42.75" customHeight="1" x14ac:dyDescent="0.25">
      <c r="A852" s="7" t="s">
        <v>58</v>
      </c>
      <c r="B852" s="2" t="s">
        <v>11108</v>
      </c>
      <c r="C852" s="2" t="s">
        <v>11109</v>
      </c>
      <c r="D852" s="2" t="s">
        <v>11110</v>
      </c>
      <c r="F852" s="3" t="s">
        <v>58</v>
      </c>
      <c r="G852" s="3" t="s">
        <v>59</v>
      </c>
      <c r="H852" s="3" t="s">
        <v>58</v>
      </c>
      <c r="I852" s="3" t="s">
        <v>58</v>
      </c>
      <c r="J852" s="3" t="s">
        <v>60</v>
      </c>
      <c r="K852" s="2" t="s">
        <v>11111</v>
      </c>
      <c r="L852" s="2" t="s">
        <v>10112</v>
      </c>
      <c r="M852" s="3" t="s">
        <v>805</v>
      </c>
      <c r="O852" s="3" t="s">
        <v>64</v>
      </c>
      <c r="P852" s="3" t="s">
        <v>115</v>
      </c>
      <c r="Q852" s="2" t="s">
        <v>11112</v>
      </c>
      <c r="R852" s="3" t="s">
        <v>67</v>
      </c>
      <c r="S852" s="4">
        <v>1</v>
      </c>
      <c r="T852" s="4">
        <v>1</v>
      </c>
      <c r="U852" s="5" t="s">
        <v>11113</v>
      </c>
      <c r="V852" s="5" t="s">
        <v>11113</v>
      </c>
      <c r="W852" s="5" t="s">
        <v>11114</v>
      </c>
      <c r="X852" s="5" t="s">
        <v>11114</v>
      </c>
      <c r="Y852" s="4">
        <v>308</v>
      </c>
      <c r="Z852" s="4">
        <v>209</v>
      </c>
      <c r="AA852" s="4">
        <v>233</v>
      </c>
      <c r="AB852" s="4">
        <v>1</v>
      </c>
      <c r="AC852" s="4">
        <v>1</v>
      </c>
      <c r="AD852" s="4">
        <v>9</v>
      </c>
      <c r="AE852" s="4">
        <v>9</v>
      </c>
      <c r="AF852" s="4">
        <v>2</v>
      </c>
      <c r="AG852" s="4">
        <v>2</v>
      </c>
      <c r="AH852" s="4">
        <v>1</v>
      </c>
      <c r="AI852" s="4">
        <v>1</v>
      </c>
      <c r="AJ852" s="4">
        <v>7</v>
      </c>
      <c r="AK852" s="4">
        <v>7</v>
      </c>
      <c r="AL852" s="4">
        <v>0</v>
      </c>
      <c r="AM852" s="4">
        <v>0</v>
      </c>
      <c r="AN852" s="4">
        <v>0</v>
      </c>
      <c r="AO852" s="4">
        <v>0</v>
      </c>
      <c r="AP852" s="3" t="s">
        <v>58</v>
      </c>
      <c r="AQ852" s="3" t="s">
        <v>58</v>
      </c>
      <c r="AS852" s="6" t="str">
        <f>HYPERLINK("https://creighton-primo.hosted.exlibrisgroup.com/primo-explore/search?tab=default_tab&amp;search_scope=EVERYTHING&amp;vid=01CRU&amp;lang=en_US&amp;offset=0&amp;query=any,contains,991003349709702656","Catalog Record")</f>
        <v>Catalog Record</v>
      </c>
      <c r="AT852" s="6" t="str">
        <f>HYPERLINK("http://www.worldcat.org/oclc/34121030","WorldCat Record")</f>
        <v>WorldCat Record</v>
      </c>
      <c r="AU852" s="3" t="s">
        <v>11115</v>
      </c>
      <c r="AV852" s="3" t="s">
        <v>11116</v>
      </c>
      <c r="AW852" s="3" t="s">
        <v>11117</v>
      </c>
      <c r="AX852" s="3" t="s">
        <v>11117</v>
      </c>
      <c r="AY852" s="3" t="s">
        <v>11118</v>
      </c>
      <c r="AZ852" s="3" t="s">
        <v>74</v>
      </c>
      <c r="BB852" s="3" t="s">
        <v>11119</v>
      </c>
      <c r="BC852" s="3" t="s">
        <v>11120</v>
      </c>
      <c r="BD852" s="3" t="s">
        <v>11121</v>
      </c>
    </row>
    <row r="853" spans="1:56" ht="42.75" customHeight="1" x14ac:dyDescent="0.25">
      <c r="A853" s="7" t="s">
        <v>58</v>
      </c>
      <c r="B853" s="2" t="s">
        <v>11122</v>
      </c>
      <c r="C853" s="2" t="s">
        <v>11123</v>
      </c>
      <c r="D853" s="2" t="s">
        <v>11124</v>
      </c>
      <c r="F853" s="3" t="s">
        <v>58</v>
      </c>
      <c r="G853" s="3" t="s">
        <v>59</v>
      </c>
      <c r="H853" s="3" t="s">
        <v>58</v>
      </c>
      <c r="I853" s="3" t="s">
        <v>58</v>
      </c>
      <c r="J853" s="3" t="s">
        <v>60</v>
      </c>
      <c r="K853" s="2" t="s">
        <v>11125</v>
      </c>
      <c r="L853" s="2" t="s">
        <v>11126</v>
      </c>
      <c r="M853" s="3" t="s">
        <v>996</v>
      </c>
      <c r="N853" s="2" t="s">
        <v>1736</v>
      </c>
      <c r="O853" s="3" t="s">
        <v>64</v>
      </c>
      <c r="P853" s="3" t="s">
        <v>145</v>
      </c>
      <c r="R853" s="3" t="s">
        <v>67</v>
      </c>
      <c r="S853" s="4">
        <v>2</v>
      </c>
      <c r="T853" s="4">
        <v>2</v>
      </c>
      <c r="U853" s="5" t="s">
        <v>5703</v>
      </c>
      <c r="V853" s="5" t="s">
        <v>5703</v>
      </c>
      <c r="W853" s="5" t="s">
        <v>11127</v>
      </c>
      <c r="X853" s="5" t="s">
        <v>11127</v>
      </c>
      <c r="Y853" s="4">
        <v>525</v>
      </c>
      <c r="Z853" s="4">
        <v>440</v>
      </c>
      <c r="AA853" s="4">
        <v>509</v>
      </c>
      <c r="AB853" s="4">
        <v>5</v>
      </c>
      <c r="AC853" s="4">
        <v>6</v>
      </c>
      <c r="AD853" s="4">
        <v>22</v>
      </c>
      <c r="AE853" s="4">
        <v>28</v>
      </c>
      <c r="AF853" s="4">
        <v>8</v>
      </c>
      <c r="AG853" s="4">
        <v>10</v>
      </c>
      <c r="AH853" s="4">
        <v>4</v>
      </c>
      <c r="AI853" s="4">
        <v>4</v>
      </c>
      <c r="AJ853" s="4">
        <v>13</v>
      </c>
      <c r="AK853" s="4">
        <v>16</v>
      </c>
      <c r="AL853" s="4">
        <v>4</v>
      </c>
      <c r="AM853" s="4">
        <v>5</v>
      </c>
      <c r="AN853" s="4">
        <v>0</v>
      </c>
      <c r="AO853" s="4">
        <v>0</v>
      </c>
      <c r="AP853" s="3" t="s">
        <v>58</v>
      </c>
      <c r="AQ853" s="3" t="s">
        <v>58</v>
      </c>
      <c r="AS853" s="6" t="str">
        <f>HYPERLINK("https://creighton-primo.hosted.exlibrisgroup.com/primo-explore/search?tab=default_tab&amp;search_scope=EVERYTHING&amp;vid=01CRU&amp;lang=en_US&amp;offset=0&amp;query=any,contains,991003855019702656","Catalog Record")</f>
        <v>Catalog Record</v>
      </c>
      <c r="AT853" s="6" t="str">
        <f>HYPERLINK("http://www.worldcat.org/oclc/43656966","WorldCat Record")</f>
        <v>WorldCat Record</v>
      </c>
      <c r="AU853" s="3" t="s">
        <v>11128</v>
      </c>
      <c r="AV853" s="3" t="s">
        <v>11129</v>
      </c>
      <c r="AW853" s="3" t="s">
        <v>11130</v>
      </c>
      <c r="AX853" s="3" t="s">
        <v>11130</v>
      </c>
      <c r="AY853" s="3" t="s">
        <v>11131</v>
      </c>
      <c r="AZ853" s="3" t="s">
        <v>74</v>
      </c>
      <c r="BB853" s="3" t="s">
        <v>11132</v>
      </c>
      <c r="BC853" s="3" t="s">
        <v>11133</v>
      </c>
      <c r="BD853" s="3" t="s">
        <v>11134</v>
      </c>
    </row>
    <row r="854" spans="1:56" ht="42.75" customHeight="1" x14ac:dyDescent="0.25">
      <c r="A854" s="7" t="s">
        <v>58</v>
      </c>
      <c r="B854" s="2" t="s">
        <v>11135</v>
      </c>
      <c r="C854" s="2" t="s">
        <v>11136</v>
      </c>
      <c r="D854" s="2" t="s">
        <v>11137</v>
      </c>
      <c r="F854" s="3" t="s">
        <v>58</v>
      </c>
      <c r="G854" s="3" t="s">
        <v>59</v>
      </c>
      <c r="H854" s="3" t="s">
        <v>58</v>
      </c>
      <c r="I854" s="3" t="s">
        <v>58</v>
      </c>
      <c r="J854" s="3" t="s">
        <v>60</v>
      </c>
      <c r="L854" s="2" t="s">
        <v>5915</v>
      </c>
      <c r="M854" s="3" t="s">
        <v>344</v>
      </c>
      <c r="O854" s="3" t="s">
        <v>64</v>
      </c>
      <c r="P854" s="3" t="s">
        <v>115</v>
      </c>
      <c r="R854" s="3" t="s">
        <v>67</v>
      </c>
      <c r="S854" s="4">
        <v>1</v>
      </c>
      <c r="T854" s="4">
        <v>1</v>
      </c>
      <c r="U854" s="5" t="s">
        <v>724</v>
      </c>
      <c r="V854" s="5" t="s">
        <v>724</v>
      </c>
      <c r="W854" s="5" t="s">
        <v>11138</v>
      </c>
      <c r="X854" s="5" t="s">
        <v>11138</v>
      </c>
      <c r="Y854" s="4">
        <v>317</v>
      </c>
      <c r="Z854" s="4">
        <v>241</v>
      </c>
      <c r="AA854" s="4">
        <v>252</v>
      </c>
      <c r="AB854" s="4">
        <v>2</v>
      </c>
      <c r="AC854" s="4">
        <v>2</v>
      </c>
      <c r="AD854" s="4">
        <v>8</v>
      </c>
      <c r="AE854" s="4">
        <v>9</v>
      </c>
      <c r="AF854" s="4">
        <v>2</v>
      </c>
      <c r="AG854" s="4">
        <v>3</v>
      </c>
      <c r="AH854" s="4">
        <v>1</v>
      </c>
      <c r="AI854" s="4">
        <v>1</v>
      </c>
      <c r="AJ854" s="4">
        <v>7</v>
      </c>
      <c r="AK854" s="4">
        <v>7</v>
      </c>
      <c r="AL854" s="4">
        <v>1</v>
      </c>
      <c r="AM854" s="4">
        <v>1</v>
      </c>
      <c r="AN854" s="4">
        <v>0</v>
      </c>
      <c r="AO854" s="4">
        <v>0</v>
      </c>
      <c r="AP854" s="3" t="s">
        <v>58</v>
      </c>
      <c r="AQ854" s="3" t="s">
        <v>86</v>
      </c>
      <c r="AR854" s="6" t="str">
        <f>HYPERLINK("http://catalog.hathitrust.org/Record/000146023","HathiTrust Record")</f>
        <v>HathiTrust Record</v>
      </c>
      <c r="AS854" s="6" t="str">
        <f>HYPERLINK("https://creighton-primo.hosted.exlibrisgroup.com/primo-explore/search?tab=default_tab&amp;search_scope=EVERYTHING&amp;vid=01CRU&amp;lang=en_US&amp;offset=0&amp;query=any,contains,991004825169702656","Catalog Record")</f>
        <v>Catalog Record</v>
      </c>
      <c r="AT854" s="6" t="str">
        <f>HYPERLINK("http://www.worldcat.org/oclc/5353173","WorldCat Record")</f>
        <v>WorldCat Record</v>
      </c>
      <c r="AU854" s="3" t="s">
        <v>11139</v>
      </c>
      <c r="AV854" s="3" t="s">
        <v>11140</v>
      </c>
      <c r="AW854" s="3" t="s">
        <v>11141</v>
      </c>
      <c r="AX854" s="3" t="s">
        <v>11141</v>
      </c>
      <c r="AY854" s="3" t="s">
        <v>11142</v>
      </c>
      <c r="AZ854" s="3" t="s">
        <v>74</v>
      </c>
      <c r="BB854" s="3" t="s">
        <v>11143</v>
      </c>
      <c r="BC854" s="3" t="s">
        <v>11144</v>
      </c>
      <c r="BD854" s="3" t="s">
        <v>11145</v>
      </c>
    </row>
    <row r="855" spans="1:56" ht="42.75" customHeight="1" x14ac:dyDescent="0.25">
      <c r="A855" s="7" t="s">
        <v>58</v>
      </c>
      <c r="B855" s="2" t="s">
        <v>11146</v>
      </c>
      <c r="C855" s="2" t="s">
        <v>11147</v>
      </c>
      <c r="D855" s="2" t="s">
        <v>11148</v>
      </c>
      <c r="F855" s="3" t="s">
        <v>58</v>
      </c>
      <c r="G855" s="3" t="s">
        <v>59</v>
      </c>
      <c r="H855" s="3" t="s">
        <v>58</v>
      </c>
      <c r="I855" s="3" t="s">
        <v>58</v>
      </c>
      <c r="J855" s="3" t="s">
        <v>60</v>
      </c>
      <c r="K855" s="2" t="s">
        <v>11149</v>
      </c>
      <c r="L855" s="2" t="s">
        <v>11150</v>
      </c>
      <c r="M855" s="3" t="s">
        <v>3124</v>
      </c>
      <c r="O855" s="3" t="s">
        <v>64</v>
      </c>
      <c r="P855" s="3" t="s">
        <v>99</v>
      </c>
      <c r="R855" s="3" t="s">
        <v>67</v>
      </c>
      <c r="S855" s="4">
        <v>8</v>
      </c>
      <c r="T855" s="4">
        <v>8</v>
      </c>
      <c r="U855" s="5" t="s">
        <v>11151</v>
      </c>
      <c r="V855" s="5" t="s">
        <v>11151</v>
      </c>
      <c r="W855" s="5" t="s">
        <v>11152</v>
      </c>
      <c r="X855" s="5" t="s">
        <v>11152</v>
      </c>
      <c r="Y855" s="4">
        <v>764</v>
      </c>
      <c r="Z855" s="4">
        <v>659</v>
      </c>
      <c r="AA855" s="4">
        <v>888</v>
      </c>
      <c r="AB855" s="4">
        <v>3</v>
      </c>
      <c r="AC855" s="4">
        <v>5</v>
      </c>
      <c r="AD855" s="4">
        <v>31</v>
      </c>
      <c r="AE855" s="4">
        <v>37</v>
      </c>
      <c r="AF855" s="4">
        <v>16</v>
      </c>
      <c r="AG855" s="4">
        <v>17</v>
      </c>
      <c r="AH855" s="4">
        <v>6</v>
      </c>
      <c r="AI855" s="4">
        <v>8</v>
      </c>
      <c r="AJ855" s="4">
        <v>15</v>
      </c>
      <c r="AK855" s="4">
        <v>17</v>
      </c>
      <c r="AL855" s="4">
        <v>2</v>
      </c>
      <c r="AM855" s="4">
        <v>4</v>
      </c>
      <c r="AN855" s="4">
        <v>0</v>
      </c>
      <c r="AO855" s="4">
        <v>0</v>
      </c>
      <c r="AP855" s="3" t="s">
        <v>58</v>
      </c>
      <c r="AQ855" s="3" t="s">
        <v>86</v>
      </c>
      <c r="AR855" s="6" t="str">
        <f>HYPERLINK("http://catalog.hathitrust.org/Record/001564728","HathiTrust Record")</f>
        <v>HathiTrust Record</v>
      </c>
      <c r="AS855" s="6" t="str">
        <f>HYPERLINK("https://creighton-primo.hosted.exlibrisgroup.com/primo-explore/search?tab=default_tab&amp;search_scope=EVERYTHING&amp;vid=01CRU&amp;lang=en_US&amp;offset=0&amp;query=any,contains,991000143669702656","Catalog Record")</f>
        <v>Catalog Record</v>
      </c>
      <c r="AT855" s="6" t="str">
        <f>HYPERLINK("http://www.worldcat.org/oclc/58442","WorldCat Record")</f>
        <v>WorldCat Record</v>
      </c>
      <c r="AU855" s="3" t="s">
        <v>11153</v>
      </c>
      <c r="AV855" s="3" t="s">
        <v>11154</v>
      </c>
      <c r="AW855" s="3" t="s">
        <v>11155</v>
      </c>
      <c r="AX855" s="3" t="s">
        <v>11155</v>
      </c>
      <c r="AY855" s="3" t="s">
        <v>11156</v>
      </c>
      <c r="AZ855" s="3" t="s">
        <v>74</v>
      </c>
      <c r="BB855" s="3" t="s">
        <v>11157</v>
      </c>
      <c r="BC855" s="3" t="s">
        <v>11158</v>
      </c>
      <c r="BD855" s="3" t="s">
        <v>11159</v>
      </c>
    </row>
    <row r="856" spans="1:56" ht="42.75" customHeight="1" x14ac:dyDescent="0.25">
      <c r="A856" s="7" t="s">
        <v>58</v>
      </c>
      <c r="B856" s="2" t="s">
        <v>11160</v>
      </c>
      <c r="C856" s="2" t="s">
        <v>11161</v>
      </c>
      <c r="D856" s="2" t="s">
        <v>11162</v>
      </c>
      <c r="F856" s="3" t="s">
        <v>58</v>
      </c>
      <c r="G856" s="3" t="s">
        <v>59</v>
      </c>
      <c r="H856" s="3" t="s">
        <v>58</v>
      </c>
      <c r="I856" s="3" t="s">
        <v>58</v>
      </c>
      <c r="J856" s="3" t="s">
        <v>60</v>
      </c>
      <c r="K856" s="2" t="s">
        <v>11163</v>
      </c>
      <c r="L856" s="2" t="s">
        <v>11164</v>
      </c>
      <c r="M856" s="3" t="s">
        <v>177</v>
      </c>
      <c r="O856" s="3" t="s">
        <v>64</v>
      </c>
      <c r="P856" s="3" t="s">
        <v>115</v>
      </c>
      <c r="R856" s="3" t="s">
        <v>67</v>
      </c>
      <c r="S856" s="4">
        <v>6</v>
      </c>
      <c r="T856" s="4">
        <v>6</v>
      </c>
      <c r="U856" s="5" t="s">
        <v>11165</v>
      </c>
      <c r="V856" s="5" t="s">
        <v>11165</v>
      </c>
      <c r="W856" s="5" t="s">
        <v>6584</v>
      </c>
      <c r="X856" s="5" t="s">
        <v>6584</v>
      </c>
      <c r="Y856" s="4">
        <v>439</v>
      </c>
      <c r="Z856" s="4">
        <v>387</v>
      </c>
      <c r="AA856" s="4">
        <v>545</v>
      </c>
      <c r="AB856" s="4">
        <v>3</v>
      </c>
      <c r="AC856" s="4">
        <v>6</v>
      </c>
      <c r="AD856" s="4">
        <v>13</v>
      </c>
      <c r="AE856" s="4">
        <v>22</v>
      </c>
      <c r="AF856" s="4">
        <v>4</v>
      </c>
      <c r="AG856" s="4">
        <v>7</v>
      </c>
      <c r="AH856" s="4">
        <v>3</v>
      </c>
      <c r="AI856" s="4">
        <v>4</v>
      </c>
      <c r="AJ856" s="4">
        <v>8</v>
      </c>
      <c r="AK856" s="4">
        <v>11</v>
      </c>
      <c r="AL856" s="4">
        <v>2</v>
      </c>
      <c r="AM856" s="4">
        <v>5</v>
      </c>
      <c r="AN856" s="4">
        <v>0</v>
      </c>
      <c r="AO856" s="4">
        <v>0</v>
      </c>
      <c r="AP856" s="3" t="s">
        <v>58</v>
      </c>
      <c r="AQ856" s="3" t="s">
        <v>86</v>
      </c>
      <c r="AR856" s="6" t="str">
        <f>HYPERLINK("http://catalog.hathitrust.org/Record/001564730","HathiTrust Record")</f>
        <v>HathiTrust Record</v>
      </c>
      <c r="AS856" s="6" t="str">
        <f>HYPERLINK("https://creighton-primo.hosted.exlibrisgroup.com/primo-explore/search?tab=default_tab&amp;search_scope=EVERYTHING&amp;vid=01CRU&amp;lang=en_US&amp;offset=0&amp;query=any,contains,991003273169702656","Catalog Record")</f>
        <v>Catalog Record</v>
      </c>
      <c r="AT856" s="6" t="str">
        <f>HYPERLINK("http://www.worldcat.org/oclc/797987","WorldCat Record")</f>
        <v>WorldCat Record</v>
      </c>
      <c r="AU856" s="3" t="s">
        <v>11166</v>
      </c>
      <c r="AV856" s="3" t="s">
        <v>11167</v>
      </c>
      <c r="AW856" s="3" t="s">
        <v>11168</v>
      </c>
      <c r="AX856" s="3" t="s">
        <v>11168</v>
      </c>
      <c r="AY856" s="3" t="s">
        <v>11169</v>
      </c>
      <c r="AZ856" s="3" t="s">
        <v>74</v>
      </c>
      <c r="BC856" s="3" t="s">
        <v>11170</v>
      </c>
      <c r="BD856" s="3" t="s">
        <v>11171</v>
      </c>
    </row>
    <row r="857" spans="1:56" ht="42.75" customHeight="1" x14ac:dyDescent="0.25">
      <c r="A857" s="7" t="s">
        <v>58</v>
      </c>
      <c r="B857" s="2" t="s">
        <v>11172</v>
      </c>
      <c r="C857" s="2" t="s">
        <v>11173</v>
      </c>
      <c r="D857" s="2" t="s">
        <v>11174</v>
      </c>
      <c r="F857" s="3" t="s">
        <v>58</v>
      </c>
      <c r="G857" s="3" t="s">
        <v>59</v>
      </c>
      <c r="H857" s="3" t="s">
        <v>58</v>
      </c>
      <c r="I857" s="3" t="s">
        <v>58</v>
      </c>
      <c r="J857" s="3" t="s">
        <v>60</v>
      </c>
      <c r="K857" s="2" t="s">
        <v>11175</v>
      </c>
      <c r="L857" s="2" t="s">
        <v>11176</v>
      </c>
      <c r="M857" s="3" t="s">
        <v>4296</v>
      </c>
      <c r="N857" s="2" t="s">
        <v>1736</v>
      </c>
      <c r="O857" s="3" t="s">
        <v>64</v>
      </c>
      <c r="P857" s="3" t="s">
        <v>115</v>
      </c>
      <c r="R857" s="3" t="s">
        <v>67</v>
      </c>
      <c r="S857" s="4">
        <v>4</v>
      </c>
      <c r="T857" s="4">
        <v>4</v>
      </c>
      <c r="U857" s="5" t="s">
        <v>11165</v>
      </c>
      <c r="V857" s="5" t="s">
        <v>11165</v>
      </c>
      <c r="W857" s="5" t="s">
        <v>11152</v>
      </c>
      <c r="X857" s="5" t="s">
        <v>11152</v>
      </c>
      <c r="Y857" s="4">
        <v>576</v>
      </c>
      <c r="Z857" s="4">
        <v>529</v>
      </c>
      <c r="AA857" s="4">
        <v>566</v>
      </c>
      <c r="AB857" s="4">
        <v>5</v>
      </c>
      <c r="AC857" s="4">
        <v>5</v>
      </c>
      <c r="AD857" s="4">
        <v>20</v>
      </c>
      <c r="AE857" s="4">
        <v>23</v>
      </c>
      <c r="AF857" s="4">
        <v>10</v>
      </c>
      <c r="AG857" s="4">
        <v>11</v>
      </c>
      <c r="AH857" s="4">
        <v>1</v>
      </c>
      <c r="AI857" s="4">
        <v>2</v>
      </c>
      <c r="AJ857" s="4">
        <v>11</v>
      </c>
      <c r="AK857" s="4">
        <v>12</v>
      </c>
      <c r="AL857" s="4">
        <v>3</v>
      </c>
      <c r="AM857" s="4">
        <v>3</v>
      </c>
      <c r="AN857" s="4">
        <v>0</v>
      </c>
      <c r="AO857" s="4">
        <v>0</v>
      </c>
      <c r="AP857" s="3" t="s">
        <v>58</v>
      </c>
      <c r="AQ857" s="3" t="s">
        <v>86</v>
      </c>
      <c r="AR857" s="6" t="str">
        <f>HYPERLINK("http://catalog.hathitrust.org/Record/000044135","HathiTrust Record")</f>
        <v>HathiTrust Record</v>
      </c>
      <c r="AS857" s="6" t="str">
        <f>HYPERLINK("https://creighton-primo.hosted.exlibrisgroup.com/primo-explore/search?tab=default_tab&amp;search_scope=EVERYTHING&amp;vid=01CRU&amp;lang=en_US&amp;offset=0&amp;query=any,contains,991003865129702656","Catalog Record")</f>
        <v>Catalog Record</v>
      </c>
      <c r="AT857" s="6" t="str">
        <f>HYPERLINK("http://www.worldcat.org/oclc/1676146","WorldCat Record")</f>
        <v>WorldCat Record</v>
      </c>
      <c r="AU857" s="3" t="s">
        <v>11177</v>
      </c>
      <c r="AV857" s="3" t="s">
        <v>11178</v>
      </c>
      <c r="AW857" s="3" t="s">
        <v>11179</v>
      </c>
      <c r="AX857" s="3" t="s">
        <v>11179</v>
      </c>
      <c r="AY857" s="3" t="s">
        <v>11180</v>
      </c>
      <c r="AZ857" s="3" t="s">
        <v>74</v>
      </c>
      <c r="BB857" s="3" t="s">
        <v>11181</v>
      </c>
      <c r="BC857" s="3" t="s">
        <v>11182</v>
      </c>
      <c r="BD857" s="3" t="s">
        <v>11183</v>
      </c>
    </row>
    <row r="858" spans="1:56" ht="42.75" customHeight="1" x14ac:dyDescent="0.25">
      <c r="A858" s="7" t="s">
        <v>58</v>
      </c>
      <c r="B858" s="2" t="s">
        <v>11184</v>
      </c>
      <c r="C858" s="2" t="s">
        <v>11185</v>
      </c>
      <c r="D858" s="2" t="s">
        <v>11186</v>
      </c>
      <c r="F858" s="3" t="s">
        <v>58</v>
      </c>
      <c r="G858" s="3" t="s">
        <v>59</v>
      </c>
      <c r="H858" s="3" t="s">
        <v>58</v>
      </c>
      <c r="I858" s="3" t="s">
        <v>58</v>
      </c>
      <c r="J858" s="3" t="s">
        <v>60</v>
      </c>
      <c r="K858" s="2" t="s">
        <v>11187</v>
      </c>
      <c r="L858" s="2" t="s">
        <v>4176</v>
      </c>
      <c r="M858" s="3" t="s">
        <v>3914</v>
      </c>
      <c r="O858" s="3" t="s">
        <v>64</v>
      </c>
      <c r="P858" s="3" t="s">
        <v>99</v>
      </c>
      <c r="R858" s="3" t="s">
        <v>67</v>
      </c>
      <c r="S858" s="4">
        <v>2</v>
      </c>
      <c r="T858" s="4">
        <v>2</v>
      </c>
      <c r="U858" s="5" t="s">
        <v>11188</v>
      </c>
      <c r="V858" s="5" t="s">
        <v>11188</v>
      </c>
      <c r="W858" s="5" t="s">
        <v>11189</v>
      </c>
      <c r="X858" s="5" t="s">
        <v>11189</v>
      </c>
      <c r="Y858" s="4">
        <v>199</v>
      </c>
      <c r="Z858" s="4">
        <v>167</v>
      </c>
      <c r="AA858" s="4">
        <v>183</v>
      </c>
      <c r="AB858" s="4">
        <v>2</v>
      </c>
      <c r="AC858" s="4">
        <v>2</v>
      </c>
      <c r="AD858" s="4">
        <v>4</v>
      </c>
      <c r="AE858" s="4">
        <v>4</v>
      </c>
      <c r="AF858" s="4">
        <v>0</v>
      </c>
      <c r="AG858" s="4">
        <v>0</v>
      </c>
      <c r="AH858" s="4">
        <v>1</v>
      </c>
      <c r="AI858" s="4">
        <v>1</v>
      </c>
      <c r="AJ858" s="4">
        <v>3</v>
      </c>
      <c r="AK858" s="4">
        <v>3</v>
      </c>
      <c r="AL858" s="4">
        <v>1</v>
      </c>
      <c r="AM858" s="4">
        <v>1</v>
      </c>
      <c r="AN858" s="4">
        <v>0</v>
      </c>
      <c r="AO858" s="4">
        <v>0</v>
      </c>
      <c r="AP858" s="3" t="s">
        <v>58</v>
      </c>
      <c r="AQ858" s="3" t="s">
        <v>86</v>
      </c>
      <c r="AR858" s="6" t="str">
        <f>HYPERLINK("http://catalog.hathitrust.org/Record/000084014","HathiTrust Record")</f>
        <v>HathiTrust Record</v>
      </c>
      <c r="AS858" s="6" t="str">
        <f>HYPERLINK("https://creighton-primo.hosted.exlibrisgroup.com/primo-explore/search?tab=default_tab&amp;search_scope=EVERYTHING&amp;vid=01CRU&amp;lang=en_US&amp;offset=0&amp;query=any,contains,991004148929702656","Catalog Record")</f>
        <v>Catalog Record</v>
      </c>
      <c r="AT858" s="6" t="str">
        <f>HYPERLINK("http://www.worldcat.org/oclc/2521197","WorldCat Record")</f>
        <v>WorldCat Record</v>
      </c>
      <c r="AU858" s="3" t="s">
        <v>11190</v>
      </c>
      <c r="AV858" s="3" t="s">
        <v>11191</v>
      </c>
      <c r="AW858" s="3" t="s">
        <v>11192</v>
      </c>
      <c r="AX858" s="3" t="s">
        <v>11192</v>
      </c>
      <c r="AY858" s="3" t="s">
        <v>11193</v>
      </c>
      <c r="AZ858" s="3" t="s">
        <v>74</v>
      </c>
      <c r="BB858" s="3" t="s">
        <v>11194</v>
      </c>
      <c r="BC858" s="3" t="s">
        <v>11195</v>
      </c>
      <c r="BD858" s="3" t="s">
        <v>11196</v>
      </c>
    </row>
    <row r="859" spans="1:56" ht="42.75" customHeight="1" x14ac:dyDescent="0.25">
      <c r="A859" s="7" t="s">
        <v>58</v>
      </c>
      <c r="B859" s="2" t="s">
        <v>11197</v>
      </c>
      <c r="C859" s="2" t="s">
        <v>11198</v>
      </c>
      <c r="D859" s="2" t="s">
        <v>11199</v>
      </c>
      <c r="F859" s="3" t="s">
        <v>58</v>
      </c>
      <c r="G859" s="3" t="s">
        <v>59</v>
      </c>
      <c r="H859" s="3" t="s">
        <v>58</v>
      </c>
      <c r="I859" s="3" t="s">
        <v>58</v>
      </c>
      <c r="J859" s="3" t="s">
        <v>60</v>
      </c>
      <c r="K859" s="2" t="s">
        <v>11200</v>
      </c>
      <c r="L859" s="2" t="s">
        <v>11201</v>
      </c>
      <c r="M859" s="3" t="s">
        <v>344</v>
      </c>
      <c r="O859" s="3" t="s">
        <v>64</v>
      </c>
      <c r="P859" s="3" t="s">
        <v>115</v>
      </c>
      <c r="Q859" s="2" t="s">
        <v>11202</v>
      </c>
      <c r="R859" s="3" t="s">
        <v>67</v>
      </c>
      <c r="S859" s="4">
        <v>7</v>
      </c>
      <c r="T859" s="4">
        <v>7</v>
      </c>
      <c r="U859" s="5" t="s">
        <v>11203</v>
      </c>
      <c r="V859" s="5" t="s">
        <v>11203</v>
      </c>
      <c r="W859" s="5" t="s">
        <v>9230</v>
      </c>
      <c r="X859" s="5" t="s">
        <v>9230</v>
      </c>
      <c r="Y859" s="4">
        <v>514</v>
      </c>
      <c r="Z859" s="4">
        <v>415</v>
      </c>
      <c r="AA859" s="4">
        <v>416</v>
      </c>
      <c r="AB859" s="4">
        <v>3</v>
      </c>
      <c r="AC859" s="4">
        <v>3</v>
      </c>
      <c r="AD859" s="4">
        <v>20</v>
      </c>
      <c r="AE859" s="4">
        <v>20</v>
      </c>
      <c r="AF859" s="4">
        <v>8</v>
      </c>
      <c r="AG859" s="4">
        <v>8</v>
      </c>
      <c r="AH859" s="4">
        <v>4</v>
      </c>
      <c r="AI859" s="4">
        <v>4</v>
      </c>
      <c r="AJ859" s="4">
        <v>11</v>
      </c>
      <c r="AK859" s="4">
        <v>11</v>
      </c>
      <c r="AL859" s="4">
        <v>2</v>
      </c>
      <c r="AM859" s="4">
        <v>2</v>
      </c>
      <c r="AN859" s="4">
        <v>0</v>
      </c>
      <c r="AO859" s="4">
        <v>0</v>
      </c>
      <c r="AP859" s="3" t="s">
        <v>58</v>
      </c>
      <c r="AQ859" s="3" t="s">
        <v>86</v>
      </c>
      <c r="AR859" s="6" t="str">
        <f>HYPERLINK("http://catalog.hathitrust.org/Record/101933092","HathiTrust Record")</f>
        <v>HathiTrust Record</v>
      </c>
      <c r="AS859" s="6" t="str">
        <f>HYPERLINK("https://creighton-primo.hosted.exlibrisgroup.com/primo-explore/search?tab=default_tab&amp;search_scope=EVERYTHING&amp;vid=01CRU&amp;lang=en_US&amp;offset=0&amp;query=any,contains,991004930449702656","Catalog Record")</f>
        <v>Catalog Record</v>
      </c>
      <c r="AT859" s="6" t="str">
        <f>HYPERLINK("http://www.worldcat.org/oclc/6092562","WorldCat Record")</f>
        <v>WorldCat Record</v>
      </c>
      <c r="AU859" s="3" t="s">
        <v>11204</v>
      </c>
      <c r="AV859" s="3" t="s">
        <v>11205</v>
      </c>
      <c r="AW859" s="3" t="s">
        <v>11206</v>
      </c>
      <c r="AX859" s="3" t="s">
        <v>11206</v>
      </c>
      <c r="AY859" s="3" t="s">
        <v>11207</v>
      </c>
      <c r="AZ859" s="3" t="s">
        <v>74</v>
      </c>
      <c r="BB859" s="3" t="s">
        <v>11208</v>
      </c>
      <c r="BC859" s="3" t="s">
        <v>11209</v>
      </c>
      <c r="BD859" s="3" t="s">
        <v>11210</v>
      </c>
    </row>
    <row r="860" spans="1:56" ht="42.75" customHeight="1" x14ac:dyDescent="0.25">
      <c r="A860" s="7" t="s">
        <v>58</v>
      </c>
      <c r="B860" s="2" t="s">
        <v>11211</v>
      </c>
      <c r="C860" s="2" t="s">
        <v>11212</v>
      </c>
      <c r="D860" s="2" t="s">
        <v>11213</v>
      </c>
      <c r="F860" s="3" t="s">
        <v>58</v>
      </c>
      <c r="G860" s="3" t="s">
        <v>59</v>
      </c>
      <c r="H860" s="3" t="s">
        <v>58</v>
      </c>
      <c r="I860" s="3" t="s">
        <v>58</v>
      </c>
      <c r="J860" s="3" t="s">
        <v>60</v>
      </c>
      <c r="K860" s="2" t="s">
        <v>11214</v>
      </c>
      <c r="L860" s="2" t="s">
        <v>11215</v>
      </c>
      <c r="M860" s="3" t="s">
        <v>223</v>
      </c>
      <c r="O860" s="3" t="s">
        <v>64</v>
      </c>
      <c r="P860" s="3" t="s">
        <v>115</v>
      </c>
      <c r="R860" s="3" t="s">
        <v>67</v>
      </c>
      <c r="S860" s="4">
        <v>4</v>
      </c>
      <c r="T860" s="4">
        <v>4</v>
      </c>
      <c r="U860" s="5" t="s">
        <v>11216</v>
      </c>
      <c r="V860" s="5" t="s">
        <v>11216</v>
      </c>
      <c r="W860" s="5" t="s">
        <v>11217</v>
      </c>
      <c r="X860" s="5" t="s">
        <v>11217</v>
      </c>
      <c r="Y860" s="4">
        <v>192</v>
      </c>
      <c r="Z860" s="4">
        <v>159</v>
      </c>
      <c r="AA860" s="4">
        <v>503</v>
      </c>
      <c r="AB860" s="4">
        <v>2</v>
      </c>
      <c r="AC860" s="4">
        <v>3</v>
      </c>
      <c r="AD860" s="4">
        <v>6</v>
      </c>
      <c r="AE860" s="4">
        <v>22</v>
      </c>
      <c r="AF860" s="4">
        <v>4</v>
      </c>
      <c r="AG860" s="4">
        <v>9</v>
      </c>
      <c r="AH860" s="4">
        <v>0</v>
      </c>
      <c r="AI860" s="4">
        <v>4</v>
      </c>
      <c r="AJ860" s="4">
        <v>3</v>
      </c>
      <c r="AK860" s="4">
        <v>15</v>
      </c>
      <c r="AL860" s="4">
        <v>1</v>
      </c>
      <c r="AM860" s="4">
        <v>2</v>
      </c>
      <c r="AN860" s="4">
        <v>0</v>
      </c>
      <c r="AO860" s="4">
        <v>0</v>
      </c>
      <c r="AP860" s="3" t="s">
        <v>58</v>
      </c>
      <c r="AQ860" s="3" t="s">
        <v>58</v>
      </c>
      <c r="AS860" s="6" t="str">
        <f>HYPERLINK("https://creighton-primo.hosted.exlibrisgroup.com/primo-explore/search?tab=default_tab&amp;search_scope=EVERYTHING&amp;vid=01CRU&amp;lang=en_US&amp;offset=0&amp;query=any,contains,991004507739702656","Catalog Record")</f>
        <v>Catalog Record</v>
      </c>
      <c r="AT860" s="6" t="str">
        <f>HYPERLINK("http://www.worldcat.org/oclc/3748209","WorldCat Record")</f>
        <v>WorldCat Record</v>
      </c>
      <c r="AU860" s="3" t="s">
        <v>11218</v>
      </c>
      <c r="AV860" s="3" t="s">
        <v>11219</v>
      </c>
      <c r="AW860" s="3" t="s">
        <v>11220</v>
      </c>
      <c r="AX860" s="3" t="s">
        <v>11220</v>
      </c>
      <c r="AY860" s="3" t="s">
        <v>11221</v>
      </c>
      <c r="AZ860" s="3" t="s">
        <v>74</v>
      </c>
      <c r="BB860" s="3" t="s">
        <v>11222</v>
      </c>
      <c r="BC860" s="3" t="s">
        <v>11223</v>
      </c>
      <c r="BD860" s="3" t="s">
        <v>11224</v>
      </c>
    </row>
    <row r="861" spans="1:56" ht="42.75" customHeight="1" x14ac:dyDescent="0.25">
      <c r="A861" s="7" t="s">
        <v>58</v>
      </c>
      <c r="B861" s="2" t="s">
        <v>11225</v>
      </c>
      <c r="C861" s="2" t="s">
        <v>11226</v>
      </c>
      <c r="D861" s="2" t="s">
        <v>11227</v>
      </c>
      <c r="F861" s="3" t="s">
        <v>58</v>
      </c>
      <c r="G861" s="3" t="s">
        <v>59</v>
      </c>
      <c r="H861" s="3" t="s">
        <v>58</v>
      </c>
      <c r="I861" s="3" t="s">
        <v>58</v>
      </c>
      <c r="J861" s="3" t="s">
        <v>60</v>
      </c>
      <c r="K861" s="2" t="s">
        <v>8845</v>
      </c>
      <c r="L861" s="2" t="s">
        <v>11228</v>
      </c>
      <c r="M861" s="3" t="s">
        <v>344</v>
      </c>
      <c r="N861" s="2" t="s">
        <v>9332</v>
      </c>
      <c r="O861" s="3" t="s">
        <v>64</v>
      </c>
      <c r="P861" s="3" t="s">
        <v>99</v>
      </c>
      <c r="R861" s="3" t="s">
        <v>67</v>
      </c>
      <c r="S861" s="4">
        <v>6</v>
      </c>
      <c r="T861" s="4">
        <v>6</v>
      </c>
      <c r="U861" s="5" t="s">
        <v>11229</v>
      </c>
      <c r="V861" s="5" t="s">
        <v>11229</v>
      </c>
      <c r="W861" s="5" t="s">
        <v>11230</v>
      </c>
      <c r="X861" s="5" t="s">
        <v>11230</v>
      </c>
      <c r="Y861" s="4">
        <v>134</v>
      </c>
      <c r="Z861" s="4">
        <v>114</v>
      </c>
      <c r="AA861" s="4">
        <v>157</v>
      </c>
      <c r="AB861" s="4">
        <v>1</v>
      </c>
      <c r="AC861" s="4">
        <v>2</v>
      </c>
      <c r="AD861" s="4">
        <v>3</v>
      </c>
      <c r="AE861" s="4">
        <v>4</v>
      </c>
      <c r="AF861" s="4">
        <v>0</v>
      </c>
      <c r="AG861" s="4">
        <v>0</v>
      </c>
      <c r="AH861" s="4">
        <v>1</v>
      </c>
      <c r="AI861" s="4">
        <v>1</v>
      </c>
      <c r="AJ861" s="4">
        <v>2</v>
      </c>
      <c r="AK861" s="4">
        <v>2</v>
      </c>
      <c r="AL861" s="4">
        <v>0</v>
      </c>
      <c r="AM861" s="4">
        <v>1</v>
      </c>
      <c r="AN861" s="4">
        <v>0</v>
      </c>
      <c r="AO861" s="4">
        <v>0</v>
      </c>
      <c r="AP861" s="3" t="s">
        <v>58</v>
      </c>
      <c r="AQ861" s="3" t="s">
        <v>58</v>
      </c>
      <c r="AS861" s="6" t="str">
        <f>HYPERLINK("https://creighton-primo.hosted.exlibrisgroup.com/primo-explore/search?tab=default_tab&amp;search_scope=EVERYTHING&amp;vid=01CRU&amp;lang=en_US&amp;offset=0&amp;query=any,contains,991004841309702656","Catalog Record")</f>
        <v>Catalog Record</v>
      </c>
      <c r="AT861" s="6" t="str">
        <f>HYPERLINK("http://www.worldcat.org/oclc/5498840","WorldCat Record")</f>
        <v>WorldCat Record</v>
      </c>
      <c r="AU861" s="3" t="s">
        <v>11231</v>
      </c>
      <c r="AV861" s="3" t="s">
        <v>11232</v>
      </c>
      <c r="AW861" s="3" t="s">
        <v>11233</v>
      </c>
      <c r="AX861" s="3" t="s">
        <v>11233</v>
      </c>
      <c r="AY861" s="3" t="s">
        <v>11234</v>
      </c>
      <c r="AZ861" s="3" t="s">
        <v>74</v>
      </c>
      <c r="BB861" s="3" t="s">
        <v>11235</v>
      </c>
      <c r="BC861" s="3" t="s">
        <v>11236</v>
      </c>
      <c r="BD861" s="3" t="s">
        <v>11237</v>
      </c>
    </row>
    <row r="862" spans="1:56" ht="42.75" customHeight="1" x14ac:dyDescent="0.25">
      <c r="A862" s="7" t="s">
        <v>58</v>
      </c>
      <c r="B862" s="2" t="s">
        <v>11238</v>
      </c>
      <c r="C862" s="2" t="s">
        <v>11239</v>
      </c>
      <c r="D862" s="2" t="s">
        <v>11240</v>
      </c>
      <c r="F862" s="3" t="s">
        <v>58</v>
      </c>
      <c r="G862" s="3" t="s">
        <v>59</v>
      </c>
      <c r="H862" s="3" t="s">
        <v>58</v>
      </c>
      <c r="I862" s="3" t="s">
        <v>58</v>
      </c>
      <c r="J862" s="3" t="s">
        <v>60</v>
      </c>
      <c r="K862" s="2" t="s">
        <v>11241</v>
      </c>
      <c r="L862" s="2" t="s">
        <v>11242</v>
      </c>
      <c r="M862" s="3" t="s">
        <v>695</v>
      </c>
      <c r="O862" s="3" t="s">
        <v>64</v>
      </c>
      <c r="P862" s="3" t="s">
        <v>99</v>
      </c>
      <c r="R862" s="3" t="s">
        <v>67</v>
      </c>
      <c r="S862" s="4">
        <v>7</v>
      </c>
      <c r="T862" s="4">
        <v>7</v>
      </c>
      <c r="U862" s="5" t="s">
        <v>11229</v>
      </c>
      <c r="V862" s="5" t="s">
        <v>11229</v>
      </c>
      <c r="W862" s="5" t="s">
        <v>11243</v>
      </c>
      <c r="X862" s="5" t="s">
        <v>11243</v>
      </c>
      <c r="Y862" s="4">
        <v>308</v>
      </c>
      <c r="Z862" s="4">
        <v>243</v>
      </c>
      <c r="AA862" s="4">
        <v>245</v>
      </c>
      <c r="AB862" s="4">
        <v>3</v>
      </c>
      <c r="AC862" s="4">
        <v>3</v>
      </c>
      <c r="AD862" s="4">
        <v>15</v>
      </c>
      <c r="AE862" s="4">
        <v>15</v>
      </c>
      <c r="AF862" s="4">
        <v>7</v>
      </c>
      <c r="AG862" s="4">
        <v>7</v>
      </c>
      <c r="AH862" s="4">
        <v>3</v>
      </c>
      <c r="AI862" s="4">
        <v>3</v>
      </c>
      <c r="AJ862" s="4">
        <v>8</v>
      </c>
      <c r="AK862" s="4">
        <v>8</v>
      </c>
      <c r="AL862" s="4">
        <v>2</v>
      </c>
      <c r="AM862" s="4">
        <v>2</v>
      </c>
      <c r="AN862" s="4">
        <v>0</v>
      </c>
      <c r="AO862" s="4">
        <v>0</v>
      </c>
      <c r="AP862" s="3" t="s">
        <v>58</v>
      </c>
      <c r="AQ862" s="3" t="s">
        <v>86</v>
      </c>
      <c r="AR862" s="6" t="str">
        <f>HYPERLINK("http://catalog.hathitrust.org/Record/002736422","HathiTrust Record")</f>
        <v>HathiTrust Record</v>
      </c>
      <c r="AS862" s="6" t="str">
        <f>HYPERLINK("https://creighton-primo.hosted.exlibrisgroup.com/primo-explore/search?tab=default_tab&amp;search_scope=EVERYTHING&amp;vid=01CRU&amp;lang=en_US&amp;offset=0&amp;query=any,contains,991002032329702656","Catalog Record")</f>
        <v>Catalog Record</v>
      </c>
      <c r="AT862" s="6" t="str">
        <f>HYPERLINK("http://www.worldcat.org/oclc/25873669","WorldCat Record")</f>
        <v>WorldCat Record</v>
      </c>
      <c r="AU862" s="3" t="s">
        <v>11244</v>
      </c>
      <c r="AV862" s="3" t="s">
        <v>11245</v>
      </c>
      <c r="AW862" s="3" t="s">
        <v>11246</v>
      </c>
      <c r="AX862" s="3" t="s">
        <v>11246</v>
      </c>
      <c r="AY862" s="3" t="s">
        <v>11247</v>
      </c>
      <c r="AZ862" s="3" t="s">
        <v>74</v>
      </c>
      <c r="BB862" s="3" t="s">
        <v>11248</v>
      </c>
      <c r="BC862" s="3" t="s">
        <v>11249</v>
      </c>
      <c r="BD862" s="3" t="s">
        <v>11250</v>
      </c>
    </row>
    <row r="863" spans="1:56" ht="42.75" customHeight="1" x14ac:dyDescent="0.25">
      <c r="A863" s="7" t="s">
        <v>58</v>
      </c>
      <c r="B863" s="2" t="s">
        <v>11251</v>
      </c>
      <c r="C863" s="2" t="s">
        <v>11252</v>
      </c>
      <c r="D863" s="2" t="s">
        <v>11253</v>
      </c>
      <c r="F863" s="3" t="s">
        <v>58</v>
      </c>
      <c r="G863" s="3" t="s">
        <v>59</v>
      </c>
      <c r="H863" s="3" t="s">
        <v>58</v>
      </c>
      <c r="I863" s="3" t="s">
        <v>58</v>
      </c>
      <c r="J863" s="3" t="s">
        <v>60</v>
      </c>
      <c r="L863" s="2" t="s">
        <v>11254</v>
      </c>
      <c r="M863" s="3" t="s">
        <v>114</v>
      </c>
      <c r="O863" s="3" t="s">
        <v>64</v>
      </c>
      <c r="P863" s="3" t="s">
        <v>115</v>
      </c>
      <c r="R863" s="3" t="s">
        <v>67</v>
      </c>
      <c r="S863" s="4">
        <v>3</v>
      </c>
      <c r="T863" s="4">
        <v>3</v>
      </c>
      <c r="U863" s="5" t="s">
        <v>11255</v>
      </c>
      <c r="V863" s="5" t="s">
        <v>11255</v>
      </c>
      <c r="W863" s="5" t="s">
        <v>4730</v>
      </c>
      <c r="X863" s="5" t="s">
        <v>4730</v>
      </c>
      <c r="Y863" s="4">
        <v>544</v>
      </c>
      <c r="Z863" s="4">
        <v>446</v>
      </c>
      <c r="AA863" s="4">
        <v>488</v>
      </c>
      <c r="AB863" s="4">
        <v>3</v>
      </c>
      <c r="AC863" s="4">
        <v>4</v>
      </c>
      <c r="AD863" s="4">
        <v>24</v>
      </c>
      <c r="AE863" s="4">
        <v>26</v>
      </c>
      <c r="AF863" s="4">
        <v>12</v>
      </c>
      <c r="AG863" s="4">
        <v>12</v>
      </c>
      <c r="AH863" s="4">
        <v>7</v>
      </c>
      <c r="AI863" s="4">
        <v>8</v>
      </c>
      <c r="AJ863" s="4">
        <v>11</v>
      </c>
      <c r="AK863" s="4">
        <v>11</v>
      </c>
      <c r="AL863" s="4">
        <v>2</v>
      </c>
      <c r="AM863" s="4">
        <v>3</v>
      </c>
      <c r="AN863" s="4">
        <v>0</v>
      </c>
      <c r="AO863" s="4">
        <v>0</v>
      </c>
      <c r="AP863" s="3" t="s">
        <v>58</v>
      </c>
      <c r="AQ863" s="3" t="s">
        <v>58</v>
      </c>
      <c r="AS863" s="6" t="str">
        <f>HYPERLINK("https://creighton-primo.hosted.exlibrisgroup.com/primo-explore/search?tab=default_tab&amp;search_scope=EVERYTHING&amp;vid=01CRU&amp;lang=en_US&amp;offset=0&amp;query=any,contains,991000357599702656","Catalog Record")</f>
        <v>Catalog Record</v>
      </c>
      <c r="AT863" s="6" t="str">
        <f>HYPERLINK("http://www.worldcat.org/oclc/10348378","WorldCat Record")</f>
        <v>WorldCat Record</v>
      </c>
      <c r="AU863" s="3" t="s">
        <v>11256</v>
      </c>
      <c r="AV863" s="3" t="s">
        <v>11257</v>
      </c>
      <c r="AW863" s="3" t="s">
        <v>11258</v>
      </c>
      <c r="AX863" s="3" t="s">
        <v>11258</v>
      </c>
      <c r="AY863" s="3" t="s">
        <v>11259</v>
      </c>
      <c r="AZ863" s="3" t="s">
        <v>74</v>
      </c>
      <c r="BB863" s="3" t="s">
        <v>11260</v>
      </c>
      <c r="BC863" s="3" t="s">
        <v>11261</v>
      </c>
      <c r="BD863" s="3" t="s">
        <v>11262</v>
      </c>
    </row>
    <row r="864" spans="1:56" ht="42.75" customHeight="1" x14ac:dyDescent="0.25">
      <c r="A864" s="7" t="s">
        <v>58</v>
      </c>
      <c r="B864" s="2" t="s">
        <v>11263</v>
      </c>
      <c r="C864" s="2" t="s">
        <v>11264</v>
      </c>
      <c r="D864" s="2" t="s">
        <v>11265</v>
      </c>
      <c r="F864" s="3" t="s">
        <v>58</v>
      </c>
      <c r="G864" s="3" t="s">
        <v>59</v>
      </c>
      <c r="H864" s="3" t="s">
        <v>58</v>
      </c>
      <c r="I864" s="3" t="s">
        <v>58</v>
      </c>
      <c r="J864" s="3" t="s">
        <v>60</v>
      </c>
      <c r="L864" s="2" t="s">
        <v>11266</v>
      </c>
      <c r="M864" s="3" t="s">
        <v>765</v>
      </c>
      <c r="N864" s="2" t="s">
        <v>1736</v>
      </c>
      <c r="O864" s="3" t="s">
        <v>64</v>
      </c>
      <c r="P864" s="3" t="s">
        <v>145</v>
      </c>
      <c r="R864" s="3" t="s">
        <v>67</v>
      </c>
      <c r="S864" s="4">
        <v>6</v>
      </c>
      <c r="T864" s="4">
        <v>6</v>
      </c>
      <c r="U864" s="5" t="s">
        <v>11267</v>
      </c>
      <c r="V864" s="5" t="s">
        <v>11267</v>
      </c>
      <c r="W864" s="5" t="s">
        <v>11268</v>
      </c>
      <c r="X864" s="5" t="s">
        <v>11268</v>
      </c>
      <c r="Y864" s="4">
        <v>341</v>
      </c>
      <c r="Z864" s="4">
        <v>265</v>
      </c>
      <c r="AA864" s="4">
        <v>341</v>
      </c>
      <c r="AB864" s="4">
        <v>2</v>
      </c>
      <c r="AC864" s="4">
        <v>3</v>
      </c>
      <c r="AD864" s="4">
        <v>17</v>
      </c>
      <c r="AE864" s="4">
        <v>20</v>
      </c>
      <c r="AF864" s="4">
        <v>6</v>
      </c>
      <c r="AG864" s="4">
        <v>7</v>
      </c>
      <c r="AH864" s="4">
        <v>3</v>
      </c>
      <c r="AI864" s="4">
        <v>3</v>
      </c>
      <c r="AJ864" s="4">
        <v>11</v>
      </c>
      <c r="AK864" s="4">
        <v>12</v>
      </c>
      <c r="AL864" s="4">
        <v>1</v>
      </c>
      <c r="AM864" s="4">
        <v>2</v>
      </c>
      <c r="AN864" s="4">
        <v>0</v>
      </c>
      <c r="AO864" s="4">
        <v>0</v>
      </c>
      <c r="AP864" s="3" t="s">
        <v>58</v>
      </c>
      <c r="AQ864" s="3" t="s">
        <v>58</v>
      </c>
      <c r="AS864" s="6" t="str">
        <f>HYPERLINK("https://creighton-primo.hosted.exlibrisgroup.com/primo-explore/search?tab=default_tab&amp;search_scope=EVERYTHING&amp;vid=01CRU&amp;lang=en_US&amp;offset=0&amp;query=any,contains,991002420919702656","Catalog Record")</f>
        <v>Catalog Record</v>
      </c>
      <c r="AT864" s="6" t="str">
        <f>HYPERLINK("http://www.worldcat.org/oclc/31518985","WorldCat Record")</f>
        <v>WorldCat Record</v>
      </c>
      <c r="AU864" s="3" t="s">
        <v>11269</v>
      </c>
      <c r="AV864" s="3" t="s">
        <v>11270</v>
      </c>
      <c r="AW864" s="3" t="s">
        <v>11271</v>
      </c>
      <c r="AX864" s="3" t="s">
        <v>11271</v>
      </c>
      <c r="AY864" s="3" t="s">
        <v>11272</v>
      </c>
      <c r="AZ864" s="3" t="s">
        <v>74</v>
      </c>
      <c r="BB864" s="3" t="s">
        <v>11273</v>
      </c>
      <c r="BC864" s="3" t="s">
        <v>11274</v>
      </c>
      <c r="BD864" s="3" t="s">
        <v>11275</v>
      </c>
    </row>
    <row r="865" spans="1:56" ht="42.75" customHeight="1" x14ac:dyDescent="0.25">
      <c r="A865" s="7" t="s">
        <v>58</v>
      </c>
      <c r="B865" s="2" t="s">
        <v>11276</v>
      </c>
      <c r="C865" s="2" t="s">
        <v>11277</v>
      </c>
      <c r="D865" s="2" t="s">
        <v>11278</v>
      </c>
      <c r="F865" s="3" t="s">
        <v>58</v>
      </c>
      <c r="G865" s="3" t="s">
        <v>59</v>
      </c>
      <c r="H865" s="3" t="s">
        <v>58</v>
      </c>
      <c r="I865" s="3" t="s">
        <v>58</v>
      </c>
      <c r="J865" s="3" t="s">
        <v>60</v>
      </c>
      <c r="K865" s="2" t="s">
        <v>11279</v>
      </c>
      <c r="L865" s="2" t="s">
        <v>11280</v>
      </c>
      <c r="M865" s="3" t="s">
        <v>480</v>
      </c>
      <c r="N865" s="2" t="s">
        <v>1736</v>
      </c>
      <c r="O865" s="3" t="s">
        <v>64</v>
      </c>
      <c r="P865" s="3" t="s">
        <v>115</v>
      </c>
      <c r="R865" s="3" t="s">
        <v>67</v>
      </c>
      <c r="S865" s="4">
        <v>11</v>
      </c>
      <c r="T865" s="4">
        <v>11</v>
      </c>
      <c r="U865" s="5" t="s">
        <v>11281</v>
      </c>
      <c r="V865" s="5" t="s">
        <v>11281</v>
      </c>
      <c r="W865" s="5" t="s">
        <v>11282</v>
      </c>
      <c r="X865" s="5" t="s">
        <v>11282</v>
      </c>
      <c r="Y865" s="4">
        <v>416</v>
      </c>
      <c r="Z865" s="4">
        <v>310</v>
      </c>
      <c r="AA865" s="4">
        <v>392</v>
      </c>
      <c r="AB865" s="4">
        <v>4</v>
      </c>
      <c r="AC865" s="4">
        <v>6</v>
      </c>
      <c r="AD865" s="4">
        <v>19</v>
      </c>
      <c r="AE865" s="4">
        <v>23</v>
      </c>
      <c r="AF865" s="4">
        <v>9</v>
      </c>
      <c r="AG865" s="4">
        <v>11</v>
      </c>
      <c r="AH865" s="4">
        <v>2</v>
      </c>
      <c r="AI865" s="4">
        <v>2</v>
      </c>
      <c r="AJ865" s="4">
        <v>11</v>
      </c>
      <c r="AK865" s="4">
        <v>13</v>
      </c>
      <c r="AL865" s="4">
        <v>2</v>
      </c>
      <c r="AM865" s="4">
        <v>4</v>
      </c>
      <c r="AN865" s="4">
        <v>0</v>
      </c>
      <c r="AO865" s="4">
        <v>0</v>
      </c>
      <c r="AP865" s="3" t="s">
        <v>58</v>
      </c>
      <c r="AQ865" s="3" t="s">
        <v>58</v>
      </c>
      <c r="AS865" s="6" t="str">
        <f>HYPERLINK("https://creighton-primo.hosted.exlibrisgroup.com/primo-explore/search?tab=default_tab&amp;search_scope=EVERYTHING&amp;vid=01CRU&amp;lang=en_US&amp;offset=0&amp;query=any,contains,991001307189702656","Catalog Record")</f>
        <v>Catalog Record</v>
      </c>
      <c r="AT865" s="6" t="str">
        <f>HYPERLINK("http://www.worldcat.org/oclc/18106756","WorldCat Record")</f>
        <v>WorldCat Record</v>
      </c>
      <c r="AU865" s="3" t="s">
        <v>11283</v>
      </c>
      <c r="AV865" s="3" t="s">
        <v>11284</v>
      </c>
      <c r="AW865" s="3" t="s">
        <v>11285</v>
      </c>
      <c r="AX865" s="3" t="s">
        <v>11285</v>
      </c>
      <c r="AY865" s="3" t="s">
        <v>11286</v>
      </c>
      <c r="AZ865" s="3" t="s">
        <v>74</v>
      </c>
      <c r="BB865" s="3" t="s">
        <v>11287</v>
      </c>
      <c r="BC865" s="3" t="s">
        <v>11288</v>
      </c>
      <c r="BD865" s="3" t="s">
        <v>11289</v>
      </c>
    </row>
    <row r="866" spans="1:56" ht="42.75" customHeight="1" x14ac:dyDescent="0.25">
      <c r="A866" s="7" t="s">
        <v>58</v>
      </c>
      <c r="B866" s="2" t="s">
        <v>11290</v>
      </c>
      <c r="C866" s="2" t="s">
        <v>11291</v>
      </c>
      <c r="D866" s="2" t="s">
        <v>11292</v>
      </c>
      <c r="F866" s="3" t="s">
        <v>58</v>
      </c>
      <c r="G866" s="3" t="s">
        <v>59</v>
      </c>
      <c r="H866" s="3" t="s">
        <v>58</v>
      </c>
      <c r="I866" s="3" t="s">
        <v>58</v>
      </c>
      <c r="J866" s="3" t="s">
        <v>60</v>
      </c>
      <c r="K866" s="2" t="s">
        <v>11293</v>
      </c>
      <c r="L866" s="2" t="s">
        <v>11294</v>
      </c>
      <c r="M866" s="3" t="s">
        <v>2386</v>
      </c>
      <c r="O866" s="3" t="s">
        <v>64</v>
      </c>
      <c r="P866" s="3" t="s">
        <v>115</v>
      </c>
      <c r="R866" s="3" t="s">
        <v>67</v>
      </c>
      <c r="S866" s="4">
        <v>4</v>
      </c>
      <c r="T866" s="4">
        <v>4</v>
      </c>
      <c r="U866" s="5" t="s">
        <v>11295</v>
      </c>
      <c r="V866" s="5" t="s">
        <v>11295</v>
      </c>
      <c r="W866" s="5" t="s">
        <v>5050</v>
      </c>
      <c r="X866" s="5" t="s">
        <v>5050</v>
      </c>
      <c r="Y866" s="4">
        <v>548</v>
      </c>
      <c r="Z866" s="4">
        <v>480</v>
      </c>
      <c r="AA866" s="4">
        <v>487</v>
      </c>
      <c r="AB866" s="4">
        <v>3</v>
      </c>
      <c r="AC866" s="4">
        <v>3</v>
      </c>
      <c r="AD866" s="4">
        <v>21</v>
      </c>
      <c r="AE866" s="4">
        <v>21</v>
      </c>
      <c r="AF866" s="4">
        <v>8</v>
      </c>
      <c r="AG866" s="4">
        <v>8</v>
      </c>
      <c r="AH866" s="4">
        <v>5</v>
      </c>
      <c r="AI866" s="4">
        <v>5</v>
      </c>
      <c r="AJ866" s="4">
        <v>10</v>
      </c>
      <c r="AK866" s="4">
        <v>10</v>
      </c>
      <c r="AL866" s="4">
        <v>2</v>
      </c>
      <c r="AM866" s="4">
        <v>2</v>
      </c>
      <c r="AN866" s="4">
        <v>0</v>
      </c>
      <c r="AO866" s="4">
        <v>0</v>
      </c>
      <c r="AP866" s="3" t="s">
        <v>58</v>
      </c>
      <c r="AQ866" s="3" t="s">
        <v>86</v>
      </c>
      <c r="AR866" s="6" t="str">
        <f>HYPERLINK("http://catalog.hathitrust.org/Record/000011060","HathiTrust Record")</f>
        <v>HathiTrust Record</v>
      </c>
      <c r="AS866" s="6" t="str">
        <f>HYPERLINK("https://creighton-primo.hosted.exlibrisgroup.com/primo-explore/search?tab=default_tab&amp;search_scope=EVERYTHING&amp;vid=01CRU&amp;lang=en_US&amp;offset=0&amp;query=any,contains,991003229869702656","Catalog Record")</f>
        <v>Catalog Record</v>
      </c>
      <c r="AT866" s="6" t="str">
        <f>HYPERLINK("http://www.worldcat.org/oclc/754570","WorldCat Record")</f>
        <v>WorldCat Record</v>
      </c>
      <c r="AU866" s="3" t="s">
        <v>11296</v>
      </c>
      <c r="AV866" s="3" t="s">
        <v>11297</v>
      </c>
      <c r="AW866" s="3" t="s">
        <v>11298</v>
      </c>
      <c r="AX866" s="3" t="s">
        <v>11298</v>
      </c>
      <c r="AY866" s="3" t="s">
        <v>11299</v>
      </c>
      <c r="AZ866" s="3" t="s">
        <v>74</v>
      </c>
      <c r="BB866" s="3" t="s">
        <v>11300</v>
      </c>
      <c r="BC866" s="3" t="s">
        <v>11301</v>
      </c>
      <c r="BD866" s="3" t="s">
        <v>11302</v>
      </c>
    </row>
    <row r="867" spans="1:56" ht="42.75" customHeight="1" x14ac:dyDescent="0.25">
      <c r="A867" s="7" t="s">
        <v>58</v>
      </c>
      <c r="B867" s="2" t="s">
        <v>11303</v>
      </c>
      <c r="C867" s="2" t="s">
        <v>11304</v>
      </c>
      <c r="D867" s="2" t="s">
        <v>11305</v>
      </c>
      <c r="F867" s="3" t="s">
        <v>58</v>
      </c>
      <c r="G867" s="3" t="s">
        <v>59</v>
      </c>
      <c r="H867" s="3" t="s">
        <v>58</v>
      </c>
      <c r="I867" s="3" t="s">
        <v>58</v>
      </c>
      <c r="J867" s="3" t="s">
        <v>60</v>
      </c>
      <c r="K867" s="2" t="s">
        <v>11306</v>
      </c>
      <c r="L867" s="2" t="s">
        <v>11307</v>
      </c>
      <c r="M867" s="3" t="s">
        <v>4218</v>
      </c>
      <c r="O867" s="3" t="s">
        <v>64</v>
      </c>
      <c r="P867" s="3" t="s">
        <v>115</v>
      </c>
      <c r="R867" s="3" t="s">
        <v>67</v>
      </c>
      <c r="S867" s="4">
        <v>3</v>
      </c>
      <c r="T867" s="4">
        <v>3</v>
      </c>
      <c r="U867" s="5" t="s">
        <v>10339</v>
      </c>
      <c r="V867" s="5" t="s">
        <v>10339</v>
      </c>
      <c r="W867" s="5" t="s">
        <v>5050</v>
      </c>
      <c r="X867" s="5" t="s">
        <v>5050</v>
      </c>
      <c r="Y867" s="4">
        <v>192</v>
      </c>
      <c r="Z867" s="4">
        <v>166</v>
      </c>
      <c r="AA867" s="4">
        <v>173</v>
      </c>
      <c r="AB867" s="4">
        <v>3</v>
      </c>
      <c r="AC867" s="4">
        <v>3</v>
      </c>
      <c r="AD867" s="4">
        <v>7</v>
      </c>
      <c r="AE867" s="4">
        <v>7</v>
      </c>
      <c r="AF867" s="4">
        <v>1</v>
      </c>
      <c r="AG867" s="4">
        <v>1</v>
      </c>
      <c r="AH867" s="4">
        <v>2</v>
      </c>
      <c r="AI867" s="4">
        <v>2</v>
      </c>
      <c r="AJ867" s="4">
        <v>2</v>
      </c>
      <c r="AK867" s="4">
        <v>2</v>
      </c>
      <c r="AL867" s="4">
        <v>2</v>
      </c>
      <c r="AM867" s="4">
        <v>2</v>
      </c>
      <c r="AN867" s="4">
        <v>0</v>
      </c>
      <c r="AO867" s="4">
        <v>0</v>
      </c>
      <c r="AP867" s="3" t="s">
        <v>58</v>
      </c>
      <c r="AQ867" s="3" t="s">
        <v>86</v>
      </c>
      <c r="AR867" s="6" t="str">
        <f>HYPERLINK("http://catalog.hathitrust.org/Record/001564743","HathiTrust Record")</f>
        <v>HathiTrust Record</v>
      </c>
      <c r="AS867" s="6" t="str">
        <f>HYPERLINK("https://creighton-primo.hosted.exlibrisgroup.com/primo-explore/search?tab=default_tab&amp;search_scope=EVERYTHING&amp;vid=01CRU&amp;lang=en_US&amp;offset=0&amp;query=any,contains,991002717109702656","Catalog Record")</f>
        <v>Catalog Record</v>
      </c>
      <c r="AT867" s="6" t="str">
        <f>HYPERLINK("http://www.worldcat.org/oclc/411572","WorldCat Record")</f>
        <v>WorldCat Record</v>
      </c>
      <c r="AU867" s="3" t="s">
        <v>11308</v>
      </c>
      <c r="AV867" s="3" t="s">
        <v>11309</v>
      </c>
      <c r="AW867" s="3" t="s">
        <v>11310</v>
      </c>
      <c r="AX867" s="3" t="s">
        <v>11310</v>
      </c>
      <c r="AY867" s="3" t="s">
        <v>11311</v>
      </c>
      <c r="AZ867" s="3" t="s">
        <v>74</v>
      </c>
      <c r="BC867" s="3" t="s">
        <v>11312</v>
      </c>
      <c r="BD867" s="3" t="s">
        <v>11313</v>
      </c>
    </row>
    <row r="868" spans="1:56" ht="42.75" customHeight="1" x14ac:dyDescent="0.25">
      <c r="A868" s="7" t="s">
        <v>58</v>
      </c>
      <c r="B868" s="2" t="s">
        <v>11314</v>
      </c>
      <c r="C868" s="2" t="s">
        <v>11315</v>
      </c>
      <c r="D868" s="2" t="s">
        <v>11316</v>
      </c>
      <c r="F868" s="3" t="s">
        <v>58</v>
      </c>
      <c r="G868" s="3" t="s">
        <v>59</v>
      </c>
      <c r="H868" s="3" t="s">
        <v>58</v>
      </c>
      <c r="I868" s="3" t="s">
        <v>58</v>
      </c>
      <c r="J868" s="3" t="s">
        <v>60</v>
      </c>
      <c r="K868" s="2" t="s">
        <v>11317</v>
      </c>
      <c r="L868" s="2" t="s">
        <v>9084</v>
      </c>
      <c r="M868" s="3" t="s">
        <v>695</v>
      </c>
      <c r="O868" s="3" t="s">
        <v>64</v>
      </c>
      <c r="P868" s="3" t="s">
        <v>115</v>
      </c>
      <c r="R868" s="3" t="s">
        <v>67</v>
      </c>
      <c r="S868" s="4">
        <v>2</v>
      </c>
      <c r="T868" s="4">
        <v>2</v>
      </c>
      <c r="U868" s="5" t="s">
        <v>11318</v>
      </c>
      <c r="V868" s="5" t="s">
        <v>11318</v>
      </c>
      <c r="W868" s="5" t="s">
        <v>10972</v>
      </c>
      <c r="X868" s="5" t="s">
        <v>10972</v>
      </c>
      <c r="Y868" s="4">
        <v>300</v>
      </c>
      <c r="Z868" s="4">
        <v>246</v>
      </c>
      <c r="AA868" s="4">
        <v>251</v>
      </c>
      <c r="AB868" s="4">
        <v>2</v>
      </c>
      <c r="AC868" s="4">
        <v>2</v>
      </c>
      <c r="AD868" s="4">
        <v>15</v>
      </c>
      <c r="AE868" s="4">
        <v>15</v>
      </c>
      <c r="AF868" s="4">
        <v>4</v>
      </c>
      <c r="AG868" s="4">
        <v>4</v>
      </c>
      <c r="AH868" s="4">
        <v>3</v>
      </c>
      <c r="AI868" s="4">
        <v>3</v>
      </c>
      <c r="AJ868" s="4">
        <v>9</v>
      </c>
      <c r="AK868" s="4">
        <v>9</v>
      </c>
      <c r="AL868" s="4">
        <v>1</v>
      </c>
      <c r="AM868" s="4">
        <v>1</v>
      </c>
      <c r="AN868" s="4">
        <v>0</v>
      </c>
      <c r="AO868" s="4">
        <v>0</v>
      </c>
      <c r="AP868" s="3" t="s">
        <v>58</v>
      </c>
      <c r="AQ868" s="3" t="s">
        <v>58</v>
      </c>
      <c r="AS868" s="6" t="str">
        <f>HYPERLINK("https://creighton-primo.hosted.exlibrisgroup.com/primo-explore/search?tab=default_tab&amp;search_scope=EVERYTHING&amp;vid=01CRU&amp;lang=en_US&amp;offset=0&amp;query=any,contains,991002197429702656","Catalog Record")</f>
        <v>Catalog Record</v>
      </c>
      <c r="AT868" s="6" t="str">
        <f>HYPERLINK("http://www.worldcat.org/oclc/28256306","WorldCat Record")</f>
        <v>WorldCat Record</v>
      </c>
      <c r="AU868" s="3" t="s">
        <v>11319</v>
      </c>
      <c r="AV868" s="3" t="s">
        <v>11320</v>
      </c>
      <c r="AW868" s="3" t="s">
        <v>11321</v>
      </c>
      <c r="AX868" s="3" t="s">
        <v>11321</v>
      </c>
      <c r="AY868" s="3" t="s">
        <v>11322</v>
      </c>
      <c r="AZ868" s="3" t="s">
        <v>74</v>
      </c>
      <c r="BB868" s="3" t="s">
        <v>11323</v>
      </c>
      <c r="BC868" s="3" t="s">
        <v>11324</v>
      </c>
      <c r="BD868" s="3" t="s">
        <v>11325</v>
      </c>
    </row>
    <row r="869" spans="1:56" ht="42.75" customHeight="1" x14ac:dyDescent="0.25">
      <c r="A869" s="7" t="s">
        <v>58</v>
      </c>
      <c r="B869" s="2" t="s">
        <v>11326</v>
      </c>
      <c r="C869" s="2" t="s">
        <v>11327</v>
      </c>
      <c r="D869" s="2" t="s">
        <v>11328</v>
      </c>
      <c r="F869" s="3" t="s">
        <v>58</v>
      </c>
      <c r="G869" s="3" t="s">
        <v>59</v>
      </c>
      <c r="H869" s="3" t="s">
        <v>58</v>
      </c>
      <c r="I869" s="3" t="s">
        <v>58</v>
      </c>
      <c r="J869" s="3" t="s">
        <v>60</v>
      </c>
      <c r="K869" s="2" t="s">
        <v>11329</v>
      </c>
      <c r="L869" s="2" t="s">
        <v>11330</v>
      </c>
      <c r="M869" s="3" t="s">
        <v>192</v>
      </c>
      <c r="O869" s="3" t="s">
        <v>64</v>
      </c>
      <c r="P869" s="3" t="s">
        <v>65</v>
      </c>
      <c r="Q869" s="2" t="s">
        <v>11331</v>
      </c>
      <c r="R869" s="3" t="s">
        <v>67</v>
      </c>
      <c r="S869" s="4">
        <v>1</v>
      </c>
      <c r="T869" s="4">
        <v>1</v>
      </c>
      <c r="U869" s="5" t="s">
        <v>11332</v>
      </c>
      <c r="V869" s="5" t="s">
        <v>11332</v>
      </c>
      <c r="W869" s="5" t="s">
        <v>11332</v>
      </c>
      <c r="X869" s="5" t="s">
        <v>11332</v>
      </c>
      <c r="Y869" s="4">
        <v>357</v>
      </c>
      <c r="Z869" s="4">
        <v>253</v>
      </c>
      <c r="AA869" s="4">
        <v>654</v>
      </c>
      <c r="AB869" s="4">
        <v>2</v>
      </c>
      <c r="AC869" s="4">
        <v>4</v>
      </c>
      <c r="AD869" s="4">
        <v>11</v>
      </c>
      <c r="AE869" s="4">
        <v>18</v>
      </c>
      <c r="AF869" s="4">
        <v>5</v>
      </c>
      <c r="AG869" s="4">
        <v>6</v>
      </c>
      <c r="AH869" s="4">
        <v>1</v>
      </c>
      <c r="AI869" s="4">
        <v>4</v>
      </c>
      <c r="AJ869" s="4">
        <v>5</v>
      </c>
      <c r="AK869" s="4">
        <v>8</v>
      </c>
      <c r="AL869" s="4">
        <v>1</v>
      </c>
      <c r="AM869" s="4">
        <v>3</v>
      </c>
      <c r="AN869" s="4">
        <v>0</v>
      </c>
      <c r="AO869" s="4">
        <v>0</v>
      </c>
      <c r="AP869" s="3" t="s">
        <v>58</v>
      </c>
      <c r="AQ869" s="3" t="s">
        <v>86</v>
      </c>
      <c r="AR869" s="6" t="str">
        <f>HYPERLINK("http://catalog.hathitrust.org/Record/005414471","HathiTrust Record")</f>
        <v>HathiTrust Record</v>
      </c>
      <c r="AS869" s="6" t="str">
        <f>HYPERLINK("https://creighton-primo.hosted.exlibrisgroup.com/primo-explore/search?tab=default_tab&amp;search_scope=EVERYTHING&amp;vid=01CRU&amp;lang=en_US&amp;offset=0&amp;query=any,contains,991005273589702656","Catalog Record")</f>
        <v>Catalog Record</v>
      </c>
      <c r="AT869" s="6" t="str">
        <f>HYPERLINK("http://www.worldcat.org/oclc/67872084","WorldCat Record")</f>
        <v>WorldCat Record</v>
      </c>
      <c r="AU869" s="3" t="s">
        <v>11333</v>
      </c>
      <c r="AV869" s="3" t="s">
        <v>11334</v>
      </c>
      <c r="AW869" s="3" t="s">
        <v>11335</v>
      </c>
      <c r="AX869" s="3" t="s">
        <v>11335</v>
      </c>
      <c r="AY869" s="3" t="s">
        <v>11336</v>
      </c>
      <c r="AZ869" s="3" t="s">
        <v>74</v>
      </c>
      <c r="BB869" s="3" t="s">
        <v>11337</v>
      </c>
      <c r="BC869" s="3" t="s">
        <v>11338</v>
      </c>
      <c r="BD869" s="3" t="s">
        <v>11339</v>
      </c>
    </row>
    <row r="870" spans="1:56" ht="42.75" customHeight="1" x14ac:dyDescent="0.25">
      <c r="A870" s="7" t="s">
        <v>58</v>
      </c>
      <c r="B870" s="2" t="s">
        <v>11340</v>
      </c>
      <c r="C870" s="2" t="s">
        <v>11341</v>
      </c>
      <c r="D870" s="2" t="s">
        <v>11342</v>
      </c>
      <c r="F870" s="3" t="s">
        <v>58</v>
      </c>
      <c r="G870" s="3" t="s">
        <v>59</v>
      </c>
      <c r="H870" s="3" t="s">
        <v>58</v>
      </c>
      <c r="I870" s="3" t="s">
        <v>58</v>
      </c>
      <c r="J870" s="3" t="s">
        <v>60</v>
      </c>
      <c r="K870" s="2" t="s">
        <v>11343</v>
      </c>
      <c r="L870" s="2" t="s">
        <v>7943</v>
      </c>
      <c r="M870" s="3" t="s">
        <v>3914</v>
      </c>
      <c r="O870" s="3" t="s">
        <v>64</v>
      </c>
      <c r="P870" s="3" t="s">
        <v>115</v>
      </c>
      <c r="R870" s="3" t="s">
        <v>67</v>
      </c>
      <c r="S870" s="4">
        <v>4</v>
      </c>
      <c r="T870" s="4">
        <v>4</v>
      </c>
      <c r="U870" s="5" t="s">
        <v>11344</v>
      </c>
      <c r="V870" s="5" t="s">
        <v>11344</v>
      </c>
      <c r="W870" s="5" t="s">
        <v>5050</v>
      </c>
      <c r="X870" s="5" t="s">
        <v>5050</v>
      </c>
      <c r="Y870" s="4">
        <v>619</v>
      </c>
      <c r="Z870" s="4">
        <v>543</v>
      </c>
      <c r="AA870" s="4">
        <v>616</v>
      </c>
      <c r="AB870" s="4">
        <v>4</v>
      </c>
      <c r="AC870" s="4">
        <v>4</v>
      </c>
      <c r="AD870" s="4">
        <v>21</v>
      </c>
      <c r="AE870" s="4">
        <v>23</v>
      </c>
      <c r="AF870" s="4">
        <v>8</v>
      </c>
      <c r="AG870" s="4">
        <v>9</v>
      </c>
      <c r="AH870" s="4">
        <v>5</v>
      </c>
      <c r="AI870" s="4">
        <v>6</v>
      </c>
      <c r="AJ870" s="4">
        <v>10</v>
      </c>
      <c r="AK870" s="4">
        <v>11</v>
      </c>
      <c r="AL870" s="4">
        <v>2</v>
      </c>
      <c r="AM870" s="4">
        <v>2</v>
      </c>
      <c r="AN870" s="4">
        <v>0</v>
      </c>
      <c r="AO870" s="4">
        <v>0</v>
      </c>
      <c r="AP870" s="3" t="s">
        <v>58</v>
      </c>
      <c r="AQ870" s="3" t="s">
        <v>86</v>
      </c>
      <c r="AR870" s="6" t="str">
        <f>HYPERLINK("http://catalog.hathitrust.org/Record/000709458","HathiTrust Record")</f>
        <v>HathiTrust Record</v>
      </c>
      <c r="AS870" s="6" t="str">
        <f>HYPERLINK("https://creighton-primo.hosted.exlibrisgroup.com/primo-explore/search?tab=default_tab&amp;search_scope=EVERYTHING&amp;vid=01CRU&amp;lang=en_US&amp;offset=0&amp;query=any,contains,991003981119702656","Catalog Record")</f>
        <v>Catalog Record</v>
      </c>
      <c r="AT870" s="6" t="str">
        <f>HYPERLINK("http://www.worldcat.org/oclc/2020114","WorldCat Record")</f>
        <v>WorldCat Record</v>
      </c>
      <c r="AU870" s="3" t="s">
        <v>11345</v>
      </c>
      <c r="AV870" s="3" t="s">
        <v>11346</v>
      </c>
      <c r="AW870" s="3" t="s">
        <v>11347</v>
      </c>
      <c r="AX870" s="3" t="s">
        <v>11347</v>
      </c>
      <c r="AY870" s="3" t="s">
        <v>11348</v>
      </c>
      <c r="AZ870" s="3" t="s">
        <v>74</v>
      </c>
      <c r="BB870" s="3" t="s">
        <v>11349</v>
      </c>
      <c r="BC870" s="3" t="s">
        <v>11350</v>
      </c>
      <c r="BD870" s="3" t="s">
        <v>11351</v>
      </c>
    </row>
    <row r="871" spans="1:56" ht="42.75" customHeight="1" x14ac:dyDescent="0.25">
      <c r="A871" s="7" t="s">
        <v>58</v>
      </c>
      <c r="B871" s="2" t="s">
        <v>11352</v>
      </c>
      <c r="C871" s="2" t="s">
        <v>11353</v>
      </c>
      <c r="D871" s="2" t="s">
        <v>11354</v>
      </c>
      <c r="F871" s="3" t="s">
        <v>58</v>
      </c>
      <c r="G871" s="3" t="s">
        <v>59</v>
      </c>
      <c r="H871" s="3" t="s">
        <v>58</v>
      </c>
      <c r="I871" s="3" t="s">
        <v>58</v>
      </c>
      <c r="J871" s="3" t="s">
        <v>60</v>
      </c>
      <c r="K871" s="2" t="s">
        <v>11355</v>
      </c>
      <c r="L871" s="2" t="s">
        <v>11356</v>
      </c>
      <c r="M871" s="3" t="s">
        <v>82</v>
      </c>
      <c r="O871" s="3" t="s">
        <v>64</v>
      </c>
      <c r="P871" s="3" t="s">
        <v>65</v>
      </c>
      <c r="R871" s="3" t="s">
        <v>67</v>
      </c>
      <c r="S871" s="4">
        <v>2</v>
      </c>
      <c r="T871" s="4">
        <v>2</v>
      </c>
      <c r="U871" s="5" t="s">
        <v>5434</v>
      </c>
      <c r="V871" s="5" t="s">
        <v>5434</v>
      </c>
      <c r="W871" s="5" t="s">
        <v>1641</v>
      </c>
      <c r="X871" s="5" t="s">
        <v>1641</v>
      </c>
      <c r="Y871" s="4">
        <v>156</v>
      </c>
      <c r="Z871" s="4">
        <v>117</v>
      </c>
      <c r="AA871" s="4">
        <v>179</v>
      </c>
      <c r="AB871" s="4">
        <v>1</v>
      </c>
      <c r="AC871" s="4">
        <v>1</v>
      </c>
      <c r="AD871" s="4">
        <v>5</v>
      </c>
      <c r="AE871" s="4">
        <v>6</v>
      </c>
      <c r="AF871" s="4">
        <v>1</v>
      </c>
      <c r="AG871" s="4">
        <v>1</v>
      </c>
      <c r="AH871" s="4">
        <v>1</v>
      </c>
      <c r="AI871" s="4">
        <v>1</v>
      </c>
      <c r="AJ871" s="4">
        <v>5</v>
      </c>
      <c r="AK871" s="4">
        <v>6</v>
      </c>
      <c r="AL871" s="4">
        <v>0</v>
      </c>
      <c r="AM871" s="4">
        <v>0</v>
      </c>
      <c r="AN871" s="4">
        <v>0</v>
      </c>
      <c r="AO871" s="4">
        <v>0</v>
      </c>
      <c r="AP871" s="3" t="s">
        <v>58</v>
      </c>
      <c r="AQ871" s="3" t="s">
        <v>58</v>
      </c>
      <c r="AS871" s="6" t="str">
        <f>HYPERLINK("https://creighton-primo.hosted.exlibrisgroup.com/primo-explore/search?tab=default_tab&amp;search_scope=EVERYTHING&amp;vid=01CRU&amp;lang=en_US&amp;offset=0&amp;query=any,contains,991000928989702656","Catalog Record")</f>
        <v>Catalog Record</v>
      </c>
      <c r="AT871" s="6" t="str">
        <f>HYPERLINK("http://www.worldcat.org/oclc/14243164","WorldCat Record")</f>
        <v>WorldCat Record</v>
      </c>
      <c r="AU871" s="3" t="s">
        <v>11357</v>
      </c>
      <c r="AV871" s="3" t="s">
        <v>11358</v>
      </c>
      <c r="AW871" s="3" t="s">
        <v>11359</v>
      </c>
      <c r="AX871" s="3" t="s">
        <v>11359</v>
      </c>
      <c r="AY871" s="3" t="s">
        <v>11360</v>
      </c>
      <c r="AZ871" s="3" t="s">
        <v>74</v>
      </c>
      <c r="BB871" s="3" t="s">
        <v>11361</v>
      </c>
      <c r="BC871" s="3" t="s">
        <v>11362</v>
      </c>
      <c r="BD871" s="3" t="s">
        <v>11363</v>
      </c>
    </row>
    <row r="872" spans="1:56" ht="42.75" customHeight="1" x14ac:dyDescent="0.25">
      <c r="A872" s="7" t="s">
        <v>58</v>
      </c>
      <c r="B872" s="2" t="s">
        <v>11364</v>
      </c>
      <c r="C872" s="2" t="s">
        <v>11365</v>
      </c>
      <c r="D872" s="2" t="s">
        <v>11366</v>
      </c>
      <c r="F872" s="3" t="s">
        <v>58</v>
      </c>
      <c r="G872" s="3" t="s">
        <v>59</v>
      </c>
      <c r="H872" s="3" t="s">
        <v>58</v>
      </c>
      <c r="I872" s="3" t="s">
        <v>58</v>
      </c>
      <c r="J872" s="3" t="s">
        <v>60</v>
      </c>
      <c r="K872" s="2" t="s">
        <v>11367</v>
      </c>
      <c r="L872" s="2" t="s">
        <v>11368</v>
      </c>
      <c r="M872" s="3" t="s">
        <v>344</v>
      </c>
      <c r="O872" s="3" t="s">
        <v>64</v>
      </c>
      <c r="P872" s="3" t="s">
        <v>83</v>
      </c>
      <c r="R872" s="3" t="s">
        <v>67</v>
      </c>
      <c r="S872" s="4">
        <v>18</v>
      </c>
      <c r="T872" s="4">
        <v>18</v>
      </c>
      <c r="U872" s="5" t="s">
        <v>11369</v>
      </c>
      <c r="V872" s="5" t="s">
        <v>11369</v>
      </c>
      <c r="W872" s="5" t="s">
        <v>8158</v>
      </c>
      <c r="X872" s="5" t="s">
        <v>8158</v>
      </c>
      <c r="Y872" s="4">
        <v>171</v>
      </c>
      <c r="Z872" s="4">
        <v>148</v>
      </c>
      <c r="AA872" s="4">
        <v>151</v>
      </c>
      <c r="AB872" s="4">
        <v>2</v>
      </c>
      <c r="AC872" s="4">
        <v>2</v>
      </c>
      <c r="AD872" s="4">
        <v>7</v>
      </c>
      <c r="AE872" s="4">
        <v>7</v>
      </c>
      <c r="AF872" s="4">
        <v>4</v>
      </c>
      <c r="AG872" s="4">
        <v>4</v>
      </c>
      <c r="AH872" s="4">
        <v>1</v>
      </c>
      <c r="AI872" s="4">
        <v>1</v>
      </c>
      <c r="AJ872" s="4">
        <v>5</v>
      </c>
      <c r="AK872" s="4">
        <v>5</v>
      </c>
      <c r="AL872" s="4">
        <v>1</v>
      </c>
      <c r="AM872" s="4">
        <v>1</v>
      </c>
      <c r="AN872" s="4">
        <v>0</v>
      </c>
      <c r="AO872" s="4">
        <v>0</v>
      </c>
      <c r="AP872" s="3" t="s">
        <v>58</v>
      </c>
      <c r="AQ872" s="3" t="s">
        <v>86</v>
      </c>
      <c r="AR872" s="6" t="str">
        <f>HYPERLINK("http://catalog.hathitrust.org/Record/000103448","HathiTrust Record")</f>
        <v>HathiTrust Record</v>
      </c>
      <c r="AS872" s="6" t="str">
        <f>HYPERLINK("https://creighton-primo.hosted.exlibrisgroup.com/primo-explore/search?tab=default_tab&amp;search_scope=EVERYTHING&amp;vid=01CRU&amp;lang=en_US&amp;offset=0&amp;query=any,contains,991005064409702656","Catalog Record")</f>
        <v>Catalog Record</v>
      </c>
      <c r="AT872" s="6" t="str">
        <f>HYPERLINK("http://www.worldcat.org/oclc/6943109","WorldCat Record")</f>
        <v>WorldCat Record</v>
      </c>
      <c r="AU872" s="3" t="s">
        <v>11370</v>
      </c>
      <c r="AV872" s="3" t="s">
        <v>11371</v>
      </c>
      <c r="AW872" s="3" t="s">
        <v>11372</v>
      </c>
      <c r="AX872" s="3" t="s">
        <v>11372</v>
      </c>
      <c r="AY872" s="3" t="s">
        <v>11373</v>
      </c>
      <c r="AZ872" s="3" t="s">
        <v>74</v>
      </c>
      <c r="BB872" s="3" t="s">
        <v>11374</v>
      </c>
      <c r="BC872" s="3" t="s">
        <v>11375</v>
      </c>
      <c r="BD872" s="3" t="s">
        <v>11376</v>
      </c>
    </row>
    <row r="873" spans="1:56" ht="42.75" customHeight="1" x14ac:dyDescent="0.25">
      <c r="A873" s="7" t="s">
        <v>58</v>
      </c>
      <c r="B873" s="2" t="s">
        <v>11377</v>
      </c>
      <c r="C873" s="2" t="s">
        <v>11378</v>
      </c>
      <c r="D873" s="2" t="s">
        <v>11379</v>
      </c>
      <c r="F873" s="3" t="s">
        <v>58</v>
      </c>
      <c r="G873" s="3" t="s">
        <v>59</v>
      </c>
      <c r="H873" s="3" t="s">
        <v>58</v>
      </c>
      <c r="I873" s="3" t="s">
        <v>58</v>
      </c>
      <c r="J873" s="3" t="s">
        <v>60</v>
      </c>
      <c r="K873" s="2" t="s">
        <v>8832</v>
      </c>
      <c r="L873" s="2" t="s">
        <v>11380</v>
      </c>
      <c r="M873" s="3" t="s">
        <v>223</v>
      </c>
      <c r="O873" s="3" t="s">
        <v>64</v>
      </c>
      <c r="P873" s="3" t="s">
        <v>115</v>
      </c>
      <c r="R873" s="3" t="s">
        <v>67</v>
      </c>
      <c r="S873" s="4">
        <v>11</v>
      </c>
      <c r="T873" s="4">
        <v>11</v>
      </c>
      <c r="U873" s="5" t="s">
        <v>11381</v>
      </c>
      <c r="V873" s="5" t="s">
        <v>11381</v>
      </c>
      <c r="W873" s="5" t="s">
        <v>11382</v>
      </c>
      <c r="X873" s="5" t="s">
        <v>11382</v>
      </c>
      <c r="Y873" s="4">
        <v>223</v>
      </c>
      <c r="Z873" s="4">
        <v>194</v>
      </c>
      <c r="AA873" s="4">
        <v>196</v>
      </c>
      <c r="AB873" s="4">
        <v>3</v>
      </c>
      <c r="AC873" s="4">
        <v>3</v>
      </c>
      <c r="AD873" s="4">
        <v>7</v>
      </c>
      <c r="AE873" s="4">
        <v>7</v>
      </c>
      <c r="AF873" s="4">
        <v>2</v>
      </c>
      <c r="AG873" s="4">
        <v>2</v>
      </c>
      <c r="AH873" s="4">
        <v>1</v>
      </c>
      <c r="AI873" s="4">
        <v>1</v>
      </c>
      <c r="AJ873" s="4">
        <v>3</v>
      </c>
      <c r="AK873" s="4">
        <v>3</v>
      </c>
      <c r="AL873" s="4">
        <v>2</v>
      </c>
      <c r="AM873" s="4">
        <v>2</v>
      </c>
      <c r="AN873" s="4">
        <v>0</v>
      </c>
      <c r="AO873" s="4">
        <v>0</v>
      </c>
      <c r="AP873" s="3" t="s">
        <v>58</v>
      </c>
      <c r="AQ873" s="3" t="s">
        <v>86</v>
      </c>
      <c r="AR873" s="6" t="str">
        <f>HYPERLINK("http://catalog.hathitrust.org/Record/000216053","HathiTrust Record")</f>
        <v>HathiTrust Record</v>
      </c>
      <c r="AS873" s="6" t="str">
        <f>HYPERLINK("https://creighton-primo.hosted.exlibrisgroup.com/primo-explore/search?tab=default_tab&amp;search_scope=EVERYTHING&amp;vid=01CRU&amp;lang=en_US&amp;offset=0&amp;query=any,contains,991005318119702656","Catalog Record")</f>
        <v>Catalog Record</v>
      </c>
      <c r="AT873" s="6" t="str">
        <f>HYPERLINK("http://www.worldcat.org/oclc/4194507","WorldCat Record")</f>
        <v>WorldCat Record</v>
      </c>
      <c r="AU873" s="3" t="s">
        <v>11383</v>
      </c>
      <c r="AV873" s="3" t="s">
        <v>11384</v>
      </c>
      <c r="AW873" s="3" t="s">
        <v>11385</v>
      </c>
      <c r="AX873" s="3" t="s">
        <v>11385</v>
      </c>
      <c r="AY873" s="3" t="s">
        <v>11386</v>
      </c>
      <c r="AZ873" s="3" t="s">
        <v>74</v>
      </c>
      <c r="BB873" s="3" t="s">
        <v>11387</v>
      </c>
      <c r="BC873" s="3" t="s">
        <v>11388</v>
      </c>
      <c r="BD873" s="3" t="s">
        <v>11389</v>
      </c>
    </row>
    <row r="874" spans="1:56" ht="42.75" customHeight="1" x14ac:dyDescent="0.25">
      <c r="A874" s="7" t="s">
        <v>58</v>
      </c>
      <c r="B874" s="2" t="s">
        <v>11390</v>
      </c>
      <c r="C874" s="2" t="s">
        <v>11391</v>
      </c>
      <c r="D874" s="2" t="s">
        <v>11392</v>
      </c>
      <c r="F874" s="3" t="s">
        <v>58</v>
      </c>
      <c r="G874" s="3" t="s">
        <v>59</v>
      </c>
      <c r="H874" s="3" t="s">
        <v>58</v>
      </c>
      <c r="I874" s="3" t="s">
        <v>58</v>
      </c>
      <c r="J874" s="3" t="s">
        <v>60</v>
      </c>
      <c r="K874" s="2" t="s">
        <v>8832</v>
      </c>
      <c r="L874" s="2" t="s">
        <v>5353</v>
      </c>
      <c r="M874" s="3" t="s">
        <v>4296</v>
      </c>
      <c r="O874" s="3" t="s">
        <v>64</v>
      </c>
      <c r="P874" s="3" t="s">
        <v>1898</v>
      </c>
      <c r="R874" s="3" t="s">
        <v>67</v>
      </c>
      <c r="S874" s="4">
        <v>2</v>
      </c>
      <c r="T874" s="4">
        <v>2</v>
      </c>
      <c r="U874" s="5" t="s">
        <v>11393</v>
      </c>
      <c r="V874" s="5" t="s">
        <v>11393</v>
      </c>
      <c r="W874" s="5" t="s">
        <v>6932</v>
      </c>
      <c r="X874" s="5" t="s">
        <v>6932</v>
      </c>
      <c r="Y874" s="4">
        <v>721</v>
      </c>
      <c r="Z874" s="4">
        <v>632</v>
      </c>
      <c r="AA874" s="4">
        <v>962</v>
      </c>
      <c r="AB874" s="4">
        <v>9</v>
      </c>
      <c r="AC874" s="4">
        <v>13</v>
      </c>
      <c r="AD874" s="4">
        <v>26</v>
      </c>
      <c r="AE874" s="4">
        <v>33</v>
      </c>
      <c r="AF874" s="4">
        <v>11</v>
      </c>
      <c r="AG874" s="4">
        <v>15</v>
      </c>
      <c r="AH874" s="4">
        <v>1</v>
      </c>
      <c r="AI874" s="4">
        <v>4</v>
      </c>
      <c r="AJ874" s="4">
        <v>12</v>
      </c>
      <c r="AK874" s="4">
        <v>12</v>
      </c>
      <c r="AL874" s="4">
        <v>7</v>
      </c>
      <c r="AM874" s="4">
        <v>8</v>
      </c>
      <c r="AN874" s="4">
        <v>0</v>
      </c>
      <c r="AO874" s="4">
        <v>0</v>
      </c>
      <c r="AP874" s="3" t="s">
        <v>58</v>
      </c>
      <c r="AQ874" s="3" t="s">
        <v>86</v>
      </c>
      <c r="AR874" s="6" t="str">
        <f>HYPERLINK("http://catalog.hathitrust.org/Record/000020780","HathiTrust Record")</f>
        <v>HathiTrust Record</v>
      </c>
      <c r="AS874" s="6" t="str">
        <f>HYPERLINK("https://creighton-primo.hosted.exlibrisgroup.com/primo-explore/search?tab=default_tab&amp;search_scope=EVERYTHING&amp;vid=01CRU&amp;lang=en_US&amp;offset=0&amp;query=any,contains,991003628319702656","Catalog Record")</f>
        <v>Catalog Record</v>
      </c>
      <c r="AT874" s="6" t="str">
        <f>HYPERLINK("http://www.worldcat.org/oclc/1218545","WorldCat Record")</f>
        <v>WorldCat Record</v>
      </c>
      <c r="AU874" s="3" t="s">
        <v>11394</v>
      </c>
      <c r="AV874" s="3" t="s">
        <v>11395</v>
      </c>
      <c r="AW874" s="3" t="s">
        <v>11396</v>
      </c>
      <c r="AX874" s="3" t="s">
        <v>11396</v>
      </c>
      <c r="AY874" s="3" t="s">
        <v>11397</v>
      </c>
      <c r="AZ874" s="3" t="s">
        <v>74</v>
      </c>
      <c r="BB874" s="3" t="s">
        <v>11398</v>
      </c>
      <c r="BC874" s="3" t="s">
        <v>11399</v>
      </c>
      <c r="BD874" s="3" t="s">
        <v>11400</v>
      </c>
    </row>
    <row r="875" spans="1:56" ht="42.75" customHeight="1" x14ac:dyDescent="0.25">
      <c r="A875" s="7" t="s">
        <v>58</v>
      </c>
      <c r="B875" s="2" t="s">
        <v>11401</v>
      </c>
      <c r="C875" s="2" t="s">
        <v>11402</v>
      </c>
      <c r="D875" s="2" t="s">
        <v>11403</v>
      </c>
      <c r="E875" s="3" t="s">
        <v>252</v>
      </c>
      <c r="F875" s="3" t="s">
        <v>58</v>
      </c>
      <c r="G875" s="3" t="s">
        <v>59</v>
      </c>
      <c r="H875" s="3" t="s">
        <v>58</v>
      </c>
      <c r="I875" s="3" t="s">
        <v>58</v>
      </c>
      <c r="J875" s="3" t="s">
        <v>60</v>
      </c>
      <c r="L875" s="2" t="s">
        <v>11404</v>
      </c>
      <c r="M875" s="3" t="s">
        <v>2770</v>
      </c>
      <c r="O875" s="3" t="s">
        <v>64</v>
      </c>
      <c r="P875" s="3" t="s">
        <v>115</v>
      </c>
      <c r="R875" s="3" t="s">
        <v>67</v>
      </c>
      <c r="S875" s="4">
        <v>29</v>
      </c>
      <c r="T875" s="4">
        <v>29</v>
      </c>
      <c r="U875" s="5" t="s">
        <v>11405</v>
      </c>
      <c r="V875" s="5" t="s">
        <v>11405</v>
      </c>
      <c r="W875" s="5" t="s">
        <v>11406</v>
      </c>
      <c r="X875" s="5" t="s">
        <v>11406</v>
      </c>
      <c r="Y875" s="4">
        <v>799</v>
      </c>
      <c r="Z875" s="4">
        <v>687</v>
      </c>
      <c r="AA875" s="4">
        <v>704</v>
      </c>
      <c r="AB875" s="4">
        <v>8</v>
      </c>
      <c r="AC875" s="4">
        <v>8</v>
      </c>
      <c r="AD875" s="4">
        <v>34</v>
      </c>
      <c r="AE875" s="4">
        <v>34</v>
      </c>
      <c r="AF875" s="4">
        <v>14</v>
      </c>
      <c r="AG875" s="4">
        <v>14</v>
      </c>
      <c r="AH875" s="4">
        <v>6</v>
      </c>
      <c r="AI875" s="4">
        <v>6</v>
      </c>
      <c r="AJ875" s="4">
        <v>13</v>
      </c>
      <c r="AK875" s="4">
        <v>13</v>
      </c>
      <c r="AL875" s="4">
        <v>7</v>
      </c>
      <c r="AM875" s="4">
        <v>7</v>
      </c>
      <c r="AN875" s="4">
        <v>0</v>
      </c>
      <c r="AO875" s="4">
        <v>0</v>
      </c>
      <c r="AP875" s="3" t="s">
        <v>58</v>
      </c>
      <c r="AQ875" s="3" t="s">
        <v>86</v>
      </c>
      <c r="AR875" s="6" t="str">
        <f>HYPERLINK("http://catalog.hathitrust.org/Record/000294598","HathiTrust Record")</f>
        <v>HathiTrust Record</v>
      </c>
      <c r="AS875" s="6" t="str">
        <f>HYPERLINK("https://creighton-primo.hosted.exlibrisgroup.com/primo-explore/search?tab=default_tab&amp;search_scope=EVERYTHING&amp;vid=01CRU&amp;lang=en_US&amp;offset=0&amp;query=any,contains,991004373069702656","Catalog Record")</f>
        <v>Catalog Record</v>
      </c>
      <c r="AT875" s="6" t="str">
        <f>HYPERLINK("http://www.worldcat.org/oclc/3202592","WorldCat Record")</f>
        <v>WorldCat Record</v>
      </c>
      <c r="AU875" s="3" t="s">
        <v>11407</v>
      </c>
      <c r="AV875" s="3" t="s">
        <v>11408</v>
      </c>
      <c r="AW875" s="3" t="s">
        <v>11409</v>
      </c>
      <c r="AX875" s="3" t="s">
        <v>11409</v>
      </c>
      <c r="AY875" s="3" t="s">
        <v>11410</v>
      </c>
      <c r="AZ875" s="3" t="s">
        <v>74</v>
      </c>
      <c r="BB875" s="3" t="s">
        <v>11411</v>
      </c>
      <c r="BC875" s="3" t="s">
        <v>11412</v>
      </c>
      <c r="BD875" s="3" t="s">
        <v>11413</v>
      </c>
    </row>
    <row r="876" spans="1:56" ht="42.75" customHeight="1" x14ac:dyDescent="0.25">
      <c r="A876" s="7" t="s">
        <v>58</v>
      </c>
      <c r="B876" s="2" t="s">
        <v>11414</v>
      </c>
      <c r="C876" s="2" t="s">
        <v>11415</v>
      </c>
      <c r="D876" s="2" t="s">
        <v>11416</v>
      </c>
      <c r="F876" s="3" t="s">
        <v>58</v>
      </c>
      <c r="G876" s="3" t="s">
        <v>59</v>
      </c>
      <c r="H876" s="3" t="s">
        <v>58</v>
      </c>
      <c r="I876" s="3" t="s">
        <v>58</v>
      </c>
      <c r="J876" s="3" t="s">
        <v>60</v>
      </c>
      <c r="L876" s="2" t="s">
        <v>11417</v>
      </c>
      <c r="M876" s="3" t="s">
        <v>480</v>
      </c>
      <c r="O876" s="3" t="s">
        <v>64</v>
      </c>
      <c r="P876" s="3" t="s">
        <v>99</v>
      </c>
      <c r="Q876" s="2" t="s">
        <v>11418</v>
      </c>
      <c r="R876" s="3" t="s">
        <v>67</v>
      </c>
      <c r="S876" s="4">
        <v>19</v>
      </c>
      <c r="T876" s="4">
        <v>19</v>
      </c>
      <c r="U876" s="5" t="s">
        <v>11419</v>
      </c>
      <c r="V876" s="5" t="s">
        <v>11419</v>
      </c>
      <c r="W876" s="5" t="s">
        <v>603</v>
      </c>
      <c r="X876" s="5" t="s">
        <v>603</v>
      </c>
      <c r="Y876" s="4">
        <v>194</v>
      </c>
      <c r="Z876" s="4">
        <v>168</v>
      </c>
      <c r="AA876" s="4">
        <v>199</v>
      </c>
      <c r="AB876" s="4">
        <v>3</v>
      </c>
      <c r="AC876" s="4">
        <v>3</v>
      </c>
      <c r="AD876" s="4">
        <v>13</v>
      </c>
      <c r="AE876" s="4">
        <v>14</v>
      </c>
      <c r="AF876" s="4">
        <v>3</v>
      </c>
      <c r="AG876" s="4">
        <v>3</v>
      </c>
      <c r="AH876" s="4">
        <v>3</v>
      </c>
      <c r="AI876" s="4">
        <v>4</v>
      </c>
      <c r="AJ876" s="4">
        <v>6</v>
      </c>
      <c r="AK876" s="4">
        <v>7</v>
      </c>
      <c r="AL876" s="4">
        <v>2</v>
      </c>
      <c r="AM876" s="4">
        <v>2</v>
      </c>
      <c r="AN876" s="4">
        <v>0</v>
      </c>
      <c r="AO876" s="4">
        <v>0</v>
      </c>
      <c r="AP876" s="3" t="s">
        <v>58</v>
      </c>
      <c r="AQ876" s="3" t="s">
        <v>58</v>
      </c>
      <c r="AS876" s="6" t="str">
        <f>HYPERLINK("https://creighton-primo.hosted.exlibrisgroup.com/primo-explore/search?tab=default_tab&amp;search_scope=EVERYTHING&amp;vid=01CRU&amp;lang=en_US&amp;offset=0&amp;query=any,contains,991001266059702656","Catalog Record")</f>
        <v>Catalog Record</v>
      </c>
      <c r="AT876" s="6" t="str">
        <f>HYPERLINK("http://www.worldcat.org/oclc/17805670","WorldCat Record")</f>
        <v>WorldCat Record</v>
      </c>
      <c r="AU876" s="3" t="s">
        <v>11420</v>
      </c>
      <c r="AV876" s="3" t="s">
        <v>11421</v>
      </c>
      <c r="AW876" s="3" t="s">
        <v>11422</v>
      </c>
      <c r="AX876" s="3" t="s">
        <v>11422</v>
      </c>
      <c r="AY876" s="3" t="s">
        <v>11423</v>
      </c>
      <c r="AZ876" s="3" t="s">
        <v>74</v>
      </c>
      <c r="BB876" s="3" t="s">
        <v>11424</v>
      </c>
      <c r="BC876" s="3" t="s">
        <v>11425</v>
      </c>
      <c r="BD876" s="3" t="s">
        <v>11426</v>
      </c>
    </row>
    <row r="877" spans="1:56" ht="42.75" customHeight="1" x14ac:dyDescent="0.25">
      <c r="A877" s="7" t="s">
        <v>58</v>
      </c>
      <c r="B877" s="2" t="s">
        <v>11427</v>
      </c>
      <c r="C877" s="2" t="s">
        <v>11428</v>
      </c>
      <c r="D877" s="2" t="s">
        <v>11429</v>
      </c>
      <c r="F877" s="3" t="s">
        <v>58</v>
      </c>
      <c r="G877" s="3" t="s">
        <v>59</v>
      </c>
      <c r="H877" s="3" t="s">
        <v>58</v>
      </c>
      <c r="I877" s="3" t="s">
        <v>58</v>
      </c>
      <c r="J877" s="3" t="s">
        <v>60</v>
      </c>
      <c r="K877" s="2" t="s">
        <v>11430</v>
      </c>
      <c r="L877" s="2" t="s">
        <v>11431</v>
      </c>
      <c r="M877" s="3" t="s">
        <v>2386</v>
      </c>
      <c r="O877" s="3" t="s">
        <v>64</v>
      </c>
      <c r="P877" s="3" t="s">
        <v>3666</v>
      </c>
      <c r="Q877" s="2" t="s">
        <v>11432</v>
      </c>
      <c r="R877" s="3" t="s">
        <v>67</v>
      </c>
      <c r="S877" s="4">
        <v>4</v>
      </c>
      <c r="T877" s="4">
        <v>4</v>
      </c>
      <c r="U877" s="5" t="s">
        <v>11433</v>
      </c>
      <c r="V877" s="5" t="s">
        <v>11433</v>
      </c>
      <c r="W877" s="5" t="s">
        <v>11189</v>
      </c>
      <c r="X877" s="5" t="s">
        <v>11189</v>
      </c>
      <c r="Y877" s="4">
        <v>213</v>
      </c>
      <c r="Z877" s="4">
        <v>183</v>
      </c>
      <c r="AA877" s="4">
        <v>185</v>
      </c>
      <c r="AB877" s="4">
        <v>4</v>
      </c>
      <c r="AC877" s="4">
        <v>4</v>
      </c>
      <c r="AD877" s="4">
        <v>11</v>
      </c>
      <c r="AE877" s="4">
        <v>11</v>
      </c>
      <c r="AF877" s="4">
        <v>2</v>
      </c>
      <c r="AG877" s="4">
        <v>2</v>
      </c>
      <c r="AH877" s="4">
        <v>2</v>
      </c>
      <c r="AI877" s="4">
        <v>2</v>
      </c>
      <c r="AJ877" s="4">
        <v>5</v>
      </c>
      <c r="AK877" s="4">
        <v>5</v>
      </c>
      <c r="AL877" s="4">
        <v>3</v>
      </c>
      <c r="AM877" s="4">
        <v>3</v>
      </c>
      <c r="AN877" s="4">
        <v>0</v>
      </c>
      <c r="AO877" s="4">
        <v>0</v>
      </c>
      <c r="AP877" s="3" t="s">
        <v>58</v>
      </c>
      <c r="AQ877" s="3" t="s">
        <v>86</v>
      </c>
      <c r="AR877" s="6" t="str">
        <f>HYPERLINK("http://catalog.hathitrust.org/Record/001564750","HathiTrust Record")</f>
        <v>HathiTrust Record</v>
      </c>
      <c r="AS877" s="6" t="str">
        <f>HYPERLINK("https://creighton-primo.hosted.exlibrisgroup.com/primo-explore/search?tab=default_tab&amp;search_scope=EVERYTHING&amp;vid=01CRU&amp;lang=en_US&amp;offset=0&amp;query=any,contains,991003311649702656","Catalog Record")</f>
        <v>Catalog Record</v>
      </c>
      <c r="AT877" s="6" t="str">
        <f>HYPERLINK("http://www.worldcat.org/oclc/834970","WorldCat Record")</f>
        <v>WorldCat Record</v>
      </c>
      <c r="AU877" s="3" t="s">
        <v>11434</v>
      </c>
      <c r="AV877" s="3" t="s">
        <v>11435</v>
      </c>
      <c r="AW877" s="3" t="s">
        <v>11436</v>
      </c>
      <c r="AX877" s="3" t="s">
        <v>11436</v>
      </c>
      <c r="AY877" s="3" t="s">
        <v>11437</v>
      </c>
      <c r="AZ877" s="3" t="s">
        <v>74</v>
      </c>
      <c r="BB877" s="3" t="s">
        <v>11438</v>
      </c>
      <c r="BC877" s="3" t="s">
        <v>11439</v>
      </c>
      <c r="BD877" s="3" t="s">
        <v>11440</v>
      </c>
    </row>
    <row r="878" spans="1:56" ht="42.75" customHeight="1" x14ac:dyDescent="0.25">
      <c r="A878" s="7" t="s">
        <v>58</v>
      </c>
      <c r="B878" s="2" t="s">
        <v>11441</v>
      </c>
      <c r="C878" s="2" t="s">
        <v>11442</v>
      </c>
      <c r="D878" s="2" t="s">
        <v>11443</v>
      </c>
      <c r="F878" s="3" t="s">
        <v>58</v>
      </c>
      <c r="G878" s="3" t="s">
        <v>59</v>
      </c>
      <c r="H878" s="3" t="s">
        <v>58</v>
      </c>
      <c r="I878" s="3" t="s">
        <v>58</v>
      </c>
      <c r="J878" s="3" t="s">
        <v>60</v>
      </c>
      <c r="K878" s="2" t="s">
        <v>11444</v>
      </c>
      <c r="L878" s="2" t="s">
        <v>11445</v>
      </c>
      <c r="M878" s="3" t="s">
        <v>344</v>
      </c>
      <c r="O878" s="3" t="s">
        <v>64</v>
      </c>
      <c r="P878" s="3" t="s">
        <v>115</v>
      </c>
      <c r="R878" s="3" t="s">
        <v>67</v>
      </c>
      <c r="S878" s="4">
        <v>16</v>
      </c>
      <c r="T878" s="4">
        <v>16</v>
      </c>
      <c r="U878" s="5" t="s">
        <v>11446</v>
      </c>
      <c r="V878" s="5" t="s">
        <v>11446</v>
      </c>
      <c r="W878" s="5" t="s">
        <v>10883</v>
      </c>
      <c r="X878" s="5" t="s">
        <v>10883</v>
      </c>
      <c r="Y878" s="4">
        <v>300</v>
      </c>
      <c r="Z878" s="4">
        <v>219</v>
      </c>
      <c r="AA878" s="4">
        <v>378</v>
      </c>
      <c r="AB878" s="4">
        <v>2</v>
      </c>
      <c r="AC878" s="4">
        <v>2</v>
      </c>
      <c r="AD878" s="4">
        <v>11</v>
      </c>
      <c r="AE878" s="4">
        <v>16</v>
      </c>
      <c r="AF878" s="4">
        <v>2</v>
      </c>
      <c r="AG878" s="4">
        <v>5</v>
      </c>
      <c r="AH878" s="4">
        <v>4</v>
      </c>
      <c r="AI878" s="4">
        <v>6</v>
      </c>
      <c r="AJ878" s="4">
        <v>7</v>
      </c>
      <c r="AK878" s="4">
        <v>9</v>
      </c>
      <c r="AL878" s="4">
        <v>1</v>
      </c>
      <c r="AM878" s="4">
        <v>1</v>
      </c>
      <c r="AN878" s="4">
        <v>0</v>
      </c>
      <c r="AO878" s="4">
        <v>0</v>
      </c>
      <c r="AP878" s="3" t="s">
        <v>58</v>
      </c>
      <c r="AQ878" s="3" t="s">
        <v>58</v>
      </c>
      <c r="AS878" s="6" t="str">
        <f>HYPERLINK("https://creighton-primo.hosted.exlibrisgroup.com/primo-explore/search?tab=default_tab&amp;search_scope=EVERYTHING&amp;vid=01CRU&amp;lang=en_US&amp;offset=0&amp;query=any,contains,991004778809702656","Catalog Record")</f>
        <v>Catalog Record</v>
      </c>
      <c r="AT878" s="6" t="str">
        <f>HYPERLINK("http://www.worldcat.org/oclc/5101953","WorldCat Record")</f>
        <v>WorldCat Record</v>
      </c>
      <c r="AU878" s="3" t="s">
        <v>11447</v>
      </c>
      <c r="AV878" s="3" t="s">
        <v>11448</v>
      </c>
      <c r="AW878" s="3" t="s">
        <v>11449</v>
      </c>
      <c r="AX878" s="3" t="s">
        <v>11449</v>
      </c>
      <c r="AY878" s="3" t="s">
        <v>11450</v>
      </c>
      <c r="AZ878" s="3" t="s">
        <v>74</v>
      </c>
      <c r="BB878" s="3" t="s">
        <v>11451</v>
      </c>
      <c r="BC878" s="3" t="s">
        <v>11452</v>
      </c>
      <c r="BD878" s="3" t="s">
        <v>11453</v>
      </c>
    </row>
    <row r="879" spans="1:56" ht="42.75" customHeight="1" x14ac:dyDescent="0.25">
      <c r="A879" s="7" t="s">
        <v>58</v>
      </c>
      <c r="B879" s="2" t="s">
        <v>11454</v>
      </c>
      <c r="C879" s="2" t="s">
        <v>11455</v>
      </c>
      <c r="D879" s="2" t="s">
        <v>11456</v>
      </c>
      <c r="F879" s="3" t="s">
        <v>58</v>
      </c>
      <c r="G879" s="3" t="s">
        <v>59</v>
      </c>
      <c r="H879" s="3" t="s">
        <v>58</v>
      </c>
      <c r="I879" s="3" t="s">
        <v>58</v>
      </c>
      <c r="J879" s="3" t="s">
        <v>60</v>
      </c>
      <c r="K879" s="2" t="s">
        <v>11457</v>
      </c>
      <c r="L879" s="2" t="s">
        <v>11458</v>
      </c>
      <c r="M879" s="3" t="s">
        <v>344</v>
      </c>
      <c r="O879" s="3" t="s">
        <v>64</v>
      </c>
      <c r="P879" s="3" t="s">
        <v>99</v>
      </c>
      <c r="R879" s="3" t="s">
        <v>67</v>
      </c>
      <c r="S879" s="4">
        <v>16</v>
      </c>
      <c r="T879" s="4">
        <v>16</v>
      </c>
      <c r="U879" s="5" t="s">
        <v>11369</v>
      </c>
      <c r="V879" s="5" t="s">
        <v>11369</v>
      </c>
      <c r="W879" s="5" t="s">
        <v>11382</v>
      </c>
      <c r="X879" s="5" t="s">
        <v>11382</v>
      </c>
      <c r="Y879" s="4">
        <v>431</v>
      </c>
      <c r="Z879" s="4">
        <v>325</v>
      </c>
      <c r="AA879" s="4">
        <v>327</v>
      </c>
      <c r="AB879" s="4">
        <v>2</v>
      </c>
      <c r="AC879" s="4">
        <v>2</v>
      </c>
      <c r="AD879" s="4">
        <v>16</v>
      </c>
      <c r="AE879" s="4">
        <v>16</v>
      </c>
      <c r="AF879" s="4">
        <v>6</v>
      </c>
      <c r="AG879" s="4">
        <v>6</v>
      </c>
      <c r="AH879" s="4">
        <v>6</v>
      </c>
      <c r="AI879" s="4">
        <v>6</v>
      </c>
      <c r="AJ879" s="4">
        <v>9</v>
      </c>
      <c r="AK879" s="4">
        <v>9</v>
      </c>
      <c r="AL879" s="4">
        <v>1</v>
      </c>
      <c r="AM879" s="4">
        <v>1</v>
      </c>
      <c r="AN879" s="4">
        <v>0</v>
      </c>
      <c r="AO879" s="4">
        <v>0</v>
      </c>
      <c r="AP879" s="3" t="s">
        <v>58</v>
      </c>
      <c r="AQ879" s="3" t="s">
        <v>86</v>
      </c>
      <c r="AR879" s="6" t="str">
        <f>HYPERLINK("http://catalog.hathitrust.org/Record/007400985","HathiTrust Record")</f>
        <v>HathiTrust Record</v>
      </c>
      <c r="AS879" s="6" t="str">
        <f>HYPERLINK("https://creighton-primo.hosted.exlibrisgroup.com/primo-explore/search?tab=default_tab&amp;search_scope=EVERYTHING&amp;vid=01CRU&amp;lang=en_US&amp;offset=0&amp;query=any,contains,991005029139702656","Catalog Record")</f>
        <v>Catalog Record</v>
      </c>
      <c r="AT879" s="6" t="str">
        <f>HYPERLINK("http://www.worldcat.org/oclc/6708754","WorldCat Record")</f>
        <v>WorldCat Record</v>
      </c>
      <c r="AU879" s="3" t="s">
        <v>11459</v>
      </c>
      <c r="AV879" s="3" t="s">
        <v>11460</v>
      </c>
      <c r="AW879" s="3" t="s">
        <v>11461</v>
      </c>
      <c r="AX879" s="3" t="s">
        <v>11461</v>
      </c>
      <c r="AY879" s="3" t="s">
        <v>11462</v>
      </c>
      <c r="AZ879" s="3" t="s">
        <v>74</v>
      </c>
      <c r="BB879" s="3" t="s">
        <v>11463</v>
      </c>
      <c r="BC879" s="3" t="s">
        <v>11464</v>
      </c>
      <c r="BD879" s="3" t="s">
        <v>11465</v>
      </c>
    </row>
    <row r="880" spans="1:56" ht="42.75" customHeight="1" x14ac:dyDescent="0.25">
      <c r="A880" s="7" t="s">
        <v>58</v>
      </c>
      <c r="B880" s="2" t="s">
        <v>11466</v>
      </c>
      <c r="C880" s="2" t="s">
        <v>11467</v>
      </c>
      <c r="D880" s="2" t="s">
        <v>11468</v>
      </c>
      <c r="F880" s="3" t="s">
        <v>58</v>
      </c>
      <c r="G880" s="3" t="s">
        <v>59</v>
      </c>
      <c r="H880" s="3" t="s">
        <v>58</v>
      </c>
      <c r="I880" s="3" t="s">
        <v>58</v>
      </c>
      <c r="J880" s="3" t="s">
        <v>60</v>
      </c>
      <c r="K880" s="2" t="s">
        <v>11469</v>
      </c>
      <c r="L880" s="2" t="s">
        <v>11470</v>
      </c>
      <c r="M880" s="3" t="s">
        <v>737</v>
      </c>
      <c r="O880" s="3" t="s">
        <v>64</v>
      </c>
      <c r="P880" s="3" t="s">
        <v>65</v>
      </c>
      <c r="Q880" s="2" t="s">
        <v>11471</v>
      </c>
      <c r="R880" s="3" t="s">
        <v>67</v>
      </c>
      <c r="S880" s="4">
        <v>5</v>
      </c>
      <c r="T880" s="4">
        <v>5</v>
      </c>
      <c r="U880" s="5" t="s">
        <v>11419</v>
      </c>
      <c r="V880" s="5" t="s">
        <v>11419</v>
      </c>
      <c r="W880" s="5" t="s">
        <v>7156</v>
      </c>
      <c r="X880" s="5" t="s">
        <v>7156</v>
      </c>
      <c r="Y880" s="4">
        <v>233</v>
      </c>
      <c r="Z880" s="4">
        <v>155</v>
      </c>
      <c r="AA880" s="4">
        <v>162</v>
      </c>
      <c r="AB880" s="4">
        <v>1</v>
      </c>
      <c r="AC880" s="4">
        <v>1</v>
      </c>
      <c r="AD880" s="4">
        <v>6</v>
      </c>
      <c r="AE880" s="4">
        <v>6</v>
      </c>
      <c r="AF880" s="4">
        <v>3</v>
      </c>
      <c r="AG880" s="4">
        <v>3</v>
      </c>
      <c r="AH880" s="4">
        <v>1</v>
      </c>
      <c r="AI880" s="4">
        <v>1</v>
      </c>
      <c r="AJ880" s="4">
        <v>4</v>
      </c>
      <c r="AK880" s="4">
        <v>4</v>
      </c>
      <c r="AL880" s="4">
        <v>0</v>
      </c>
      <c r="AM880" s="4">
        <v>0</v>
      </c>
      <c r="AN880" s="4">
        <v>0</v>
      </c>
      <c r="AO880" s="4">
        <v>0</v>
      </c>
      <c r="AP880" s="3" t="s">
        <v>58</v>
      </c>
      <c r="AQ880" s="3" t="s">
        <v>86</v>
      </c>
      <c r="AR880" s="6" t="str">
        <f>HYPERLINK("http://catalog.hathitrust.org/Record/002970160","HathiTrust Record")</f>
        <v>HathiTrust Record</v>
      </c>
      <c r="AS880" s="6" t="str">
        <f>HYPERLINK("https://creighton-primo.hosted.exlibrisgroup.com/primo-explore/search?tab=default_tab&amp;search_scope=EVERYTHING&amp;vid=01CRU&amp;lang=en_US&amp;offset=0&amp;query=any,contains,991002474029702656","Catalog Record")</f>
        <v>Catalog Record</v>
      </c>
      <c r="AT880" s="6" t="str">
        <f>HYPERLINK("http://www.worldcat.org/oclc/32204136","WorldCat Record")</f>
        <v>WorldCat Record</v>
      </c>
      <c r="AU880" s="3" t="s">
        <v>11472</v>
      </c>
      <c r="AV880" s="3" t="s">
        <v>11473</v>
      </c>
      <c r="AW880" s="3" t="s">
        <v>11474</v>
      </c>
      <c r="AX880" s="3" t="s">
        <v>11474</v>
      </c>
      <c r="AY880" s="3" t="s">
        <v>11475</v>
      </c>
      <c r="AZ880" s="3" t="s">
        <v>74</v>
      </c>
      <c r="BB880" s="3" t="s">
        <v>11476</v>
      </c>
      <c r="BC880" s="3" t="s">
        <v>11477</v>
      </c>
      <c r="BD880" s="3" t="s">
        <v>11478</v>
      </c>
    </row>
    <row r="881" spans="1:56" ht="42.75" customHeight="1" x14ac:dyDescent="0.25">
      <c r="A881" s="7" t="s">
        <v>58</v>
      </c>
      <c r="B881" s="2" t="s">
        <v>11479</v>
      </c>
      <c r="C881" s="2" t="s">
        <v>11480</v>
      </c>
      <c r="D881" s="2" t="s">
        <v>11481</v>
      </c>
      <c r="F881" s="3" t="s">
        <v>58</v>
      </c>
      <c r="G881" s="3" t="s">
        <v>59</v>
      </c>
      <c r="H881" s="3" t="s">
        <v>58</v>
      </c>
      <c r="I881" s="3" t="s">
        <v>58</v>
      </c>
      <c r="J881" s="3" t="s">
        <v>60</v>
      </c>
      <c r="K881" s="2" t="s">
        <v>11482</v>
      </c>
      <c r="L881" s="2" t="s">
        <v>11483</v>
      </c>
      <c r="M881" s="3" t="s">
        <v>2386</v>
      </c>
      <c r="O881" s="3" t="s">
        <v>64</v>
      </c>
      <c r="P881" s="3" t="s">
        <v>115</v>
      </c>
      <c r="R881" s="3" t="s">
        <v>67</v>
      </c>
      <c r="S881" s="4">
        <v>7</v>
      </c>
      <c r="T881" s="4">
        <v>7</v>
      </c>
      <c r="U881" s="5" t="s">
        <v>9636</v>
      </c>
      <c r="V881" s="5" t="s">
        <v>9636</v>
      </c>
      <c r="W881" s="5" t="s">
        <v>2078</v>
      </c>
      <c r="X881" s="5" t="s">
        <v>2078</v>
      </c>
      <c r="Y881" s="4">
        <v>59</v>
      </c>
      <c r="Z881" s="4">
        <v>50</v>
      </c>
      <c r="AA881" s="4">
        <v>54</v>
      </c>
      <c r="AB881" s="4">
        <v>1</v>
      </c>
      <c r="AC881" s="4">
        <v>1</v>
      </c>
      <c r="AD881" s="4">
        <v>2</v>
      </c>
      <c r="AE881" s="4">
        <v>2</v>
      </c>
      <c r="AF881" s="4">
        <v>2</v>
      </c>
      <c r="AG881" s="4">
        <v>2</v>
      </c>
      <c r="AH881" s="4">
        <v>0</v>
      </c>
      <c r="AI881" s="4">
        <v>0</v>
      </c>
      <c r="AJ881" s="4">
        <v>1</v>
      </c>
      <c r="AK881" s="4">
        <v>1</v>
      </c>
      <c r="AL881" s="4">
        <v>0</v>
      </c>
      <c r="AM881" s="4">
        <v>0</v>
      </c>
      <c r="AN881" s="4">
        <v>0</v>
      </c>
      <c r="AO881" s="4">
        <v>0</v>
      </c>
      <c r="AP881" s="3" t="s">
        <v>58</v>
      </c>
      <c r="AQ881" s="3" t="s">
        <v>58</v>
      </c>
      <c r="AS881" s="6" t="str">
        <f>HYPERLINK("https://creighton-primo.hosted.exlibrisgroup.com/primo-explore/search?tab=default_tab&amp;search_scope=EVERYTHING&amp;vid=01CRU&amp;lang=en_US&amp;offset=0&amp;query=any,contains,991003998599702656","Catalog Record")</f>
        <v>Catalog Record</v>
      </c>
      <c r="AT881" s="6" t="str">
        <f>HYPERLINK("http://www.worldcat.org/oclc/2069035","WorldCat Record")</f>
        <v>WorldCat Record</v>
      </c>
      <c r="AU881" s="3" t="s">
        <v>11484</v>
      </c>
      <c r="AV881" s="3" t="s">
        <v>11485</v>
      </c>
      <c r="AW881" s="3" t="s">
        <v>11486</v>
      </c>
      <c r="AX881" s="3" t="s">
        <v>11486</v>
      </c>
      <c r="AY881" s="3" t="s">
        <v>11487</v>
      </c>
      <c r="AZ881" s="3" t="s">
        <v>74</v>
      </c>
      <c r="BC881" s="3" t="s">
        <v>11488</v>
      </c>
      <c r="BD881" s="3" t="s">
        <v>11489</v>
      </c>
    </row>
    <row r="882" spans="1:56" ht="42.75" customHeight="1" x14ac:dyDescent="0.25">
      <c r="A882" s="7" t="s">
        <v>58</v>
      </c>
      <c r="B882" s="2" t="s">
        <v>11490</v>
      </c>
      <c r="C882" s="2" t="s">
        <v>11491</v>
      </c>
      <c r="D882" s="2" t="s">
        <v>11492</v>
      </c>
      <c r="F882" s="3" t="s">
        <v>58</v>
      </c>
      <c r="G882" s="3" t="s">
        <v>59</v>
      </c>
      <c r="H882" s="3" t="s">
        <v>58</v>
      </c>
      <c r="I882" s="3" t="s">
        <v>58</v>
      </c>
      <c r="J882" s="3" t="s">
        <v>60</v>
      </c>
      <c r="K882" s="2" t="s">
        <v>7867</v>
      </c>
      <c r="L882" s="2" t="s">
        <v>11493</v>
      </c>
      <c r="M882" s="3" t="s">
        <v>207</v>
      </c>
      <c r="N882" s="2" t="s">
        <v>1736</v>
      </c>
      <c r="O882" s="3" t="s">
        <v>64</v>
      </c>
      <c r="P882" s="3" t="s">
        <v>115</v>
      </c>
      <c r="R882" s="3" t="s">
        <v>67</v>
      </c>
      <c r="S882" s="4">
        <v>17</v>
      </c>
      <c r="T882" s="4">
        <v>17</v>
      </c>
      <c r="U882" s="5" t="s">
        <v>11494</v>
      </c>
      <c r="V882" s="5" t="s">
        <v>11494</v>
      </c>
      <c r="W882" s="5" t="s">
        <v>11495</v>
      </c>
      <c r="X882" s="5" t="s">
        <v>11495</v>
      </c>
      <c r="Y882" s="4">
        <v>926</v>
      </c>
      <c r="Z882" s="4">
        <v>840</v>
      </c>
      <c r="AA882" s="4">
        <v>849</v>
      </c>
      <c r="AB882" s="4">
        <v>6</v>
      </c>
      <c r="AC882" s="4">
        <v>6</v>
      </c>
      <c r="AD882" s="4">
        <v>24</v>
      </c>
      <c r="AE882" s="4">
        <v>24</v>
      </c>
      <c r="AF882" s="4">
        <v>11</v>
      </c>
      <c r="AG882" s="4">
        <v>11</v>
      </c>
      <c r="AH882" s="4">
        <v>5</v>
      </c>
      <c r="AI882" s="4">
        <v>5</v>
      </c>
      <c r="AJ882" s="4">
        <v>10</v>
      </c>
      <c r="AK882" s="4">
        <v>10</v>
      </c>
      <c r="AL882" s="4">
        <v>3</v>
      </c>
      <c r="AM882" s="4">
        <v>3</v>
      </c>
      <c r="AN882" s="4">
        <v>0</v>
      </c>
      <c r="AO882" s="4">
        <v>0</v>
      </c>
      <c r="AP882" s="3" t="s">
        <v>58</v>
      </c>
      <c r="AQ882" s="3" t="s">
        <v>86</v>
      </c>
      <c r="AR882" s="6" t="str">
        <f>HYPERLINK("http://catalog.hathitrust.org/Record/007475302","HathiTrust Record")</f>
        <v>HathiTrust Record</v>
      </c>
      <c r="AS882" s="6" t="str">
        <f>HYPERLINK("https://creighton-primo.hosted.exlibrisgroup.com/primo-explore/search?tab=default_tab&amp;search_scope=EVERYTHING&amp;vid=01CRU&amp;lang=en_US&amp;offset=0&amp;query=any,contains,991005078749702656","Catalog Record")</f>
        <v>Catalog Record</v>
      </c>
      <c r="AT882" s="6" t="str">
        <f>HYPERLINK("http://www.worldcat.org/oclc/7165751","WorldCat Record")</f>
        <v>WorldCat Record</v>
      </c>
      <c r="AU882" s="3" t="s">
        <v>11496</v>
      </c>
      <c r="AV882" s="3" t="s">
        <v>11497</v>
      </c>
      <c r="AW882" s="3" t="s">
        <v>11498</v>
      </c>
      <c r="AX882" s="3" t="s">
        <v>11498</v>
      </c>
      <c r="AY882" s="3" t="s">
        <v>11499</v>
      </c>
      <c r="AZ882" s="3" t="s">
        <v>74</v>
      </c>
      <c r="BB882" s="3" t="s">
        <v>11500</v>
      </c>
      <c r="BC882" s="3" t="s">
        <v>11501</v>
      </c>
      <c r="BD882" s="3" t="s">
        <v>11502</v>
      </c>
    </row>
    <row r="883" spans="1:56" ht="42.75" customHeight="1" x14ac:dyDescent="0.25">
      <c r="A883" s="7" t="s">
        <v>58</v>
      </c>
      <c r="B883" s="2" t="s">
        <v>11503</v>
      </c>
      <c r="C883" s="2" t="s">
        <v>11504</v>
      </c>
      <c r="D883" s="2" t="s">
        <v>11505</v>
      </c>
      <c r="F883" s="3" t="s">
        <v>58</v>
      </c>
      <c r="G883" s="3" t="s">
        <v>59</v>
      </c>
      <c r="H883" s="3" t="s">
        <v>58</v>
      </c>
      <c r="I883" s="3" t="s">
        <v>58</v>
      </c>
      <c r="J883" s="3" t="s">
        <v>60</v>
      </c>
      <c r="L883" s="2" t="s">
        <v>11506</v>
      </c>
      <c r="M883" s="3" t="s">
        <v>3914</v>
      </c>
      <c r="N883" s="2" t="s">
        <v>1736</v>
      </c>
      <c r="O883" s="3" t="s">
        <v>64</v>
      </c>
      <c r="P883" s="3" t="s">
        <v>115</v>
      </c>
      <c r="R883" s="3" t="s">
        <v>67</v>
      </c>
      <c r="S883" s="4">
        <v>17</v>
      </c>
      <c r="T883" s="4">
        <v>17</v>
      </c>
      <c r="U883" s="5" t="s">
        <v>11507</v>
      </c>
      <c r="V883" s="5" t="s">
        <v>11507</v>
      </c>
      <c r="W883" s="5" t="s">
        <v>2773</v>
      </c>
      <c r="X883" s="5" t="s">
        <v>2773</v>
      </c>
      <c r="Y883" s="4">
        <v>450</v>
      </c>
      <c r="Z883" s="4">
        <v>385</v>
      </c>
      <c r="AA883" s="4">
        <v>394</v>
      </c>
      <c r="AB883" s="4">
        <v>3</v>
      </c>
      <c r="AC883" s="4">
        <v>3</v>
      </c>
      <c r="AD883" s="4">
        <v>15</v>
      </c>
      <c r="AE883" s="4">
        <v>15</v>
      </c>
      <c r="AF883" s="4">
        <v>7</v>
      </c>
      <c r="AG883" s="4">
        <v>7</v>
      </c>
      <c r="AH883" s="4">
        <v>2</v>
      </c>
      <c r="AI883" s="4">
        <v>2</v>
      </c>
      <c r="AJ883" s="4">
        <v>8</v>
      </c>
      <c r="AK883" s="4">
        <v>8</v>
      </c>
      <c r="AL883" s="4">
        <v>2</v>
      </c>
      <c r="AM883" s="4">
        <v>2</v>
      </c>
      <c r="AN883" s="4">
        <v>0</v>
      </c>
      <c r="AO883" s="4">
        <v>0</v>
      </c>
      <c r="AP883" s="3" t="s">
        <v>58</v>
      </c>
      <c r="AQ883" s="3" t="s">
        <v>86</v>
      </c>
      <c r="AR883" s="6" t="str">
        <f>HYPERLINK("http://catalog.hathitrust.org/Record/000697509","HathiTrust Record")</f>
        <v>HathiTrust Record</v>
      </c>
      <c r="AS883" s="6" t="str">
        <f>HYPERLINK("https://creighton-primo.hosted.exlibrisgroup.com/primo-explore/search?tab=default_tab&amp;search_scope=EVERYTHING&amp;vid=01CRU&amp;lang=en_US&amp;offset=0&amp;query=any,contains,991003917099702656","Catalog Record")</f>
        <v>Catalog Record</v>
      </c>
      <c r="AT883" s="6" t="str">
        <f>HYPERLINK("http://www.worldcat.org/oclc/1863248","WorldCat Record")</f>
        <v>WorldCat Record</v>
      </c>
      <c r="AU883" s="3" t="s">
        <v>11508</v>
      </c>
      <c r="AV883" s="3" t="s">
        <v>11509</v>
      </c>
      <c r="AW883" s="3" t="s">
        <v>11510</v>
      </c>
      <c r="AX883" s="3" t="s">
        <v>11510</v>
      </c>
      <c r="AY883" s="3" t="s">
        <v>11511</v>
      </c>
      <c r="AZ883" s="3" t="s">
        <v>74</v>
      </c>
      <c r="BB883" s="3" t="s">
        <v>11512</v>
      </c>
      <c r="BC883" s="3" t="s">
        <v>11513</v>
      </c>
      <c r="BD883" s="3" t="s">
        <v>11514</v>
      </c>
    </row>
    <row r="884" spans="1:56" ht="42.75" customHeight="1" x14ac:dyDescent="0.25">
      <c r="A884" s="7" t="s">
        <v>58</v>
      </c>
      <c r="B884" s="2" t="s">
        <v>11515</v>
      </c>
      <c r="C884" s="2" t="s">
        <v>11516</v>
      </c>
      <c r="D884" s="2" t="s">
        <v>11517</v>
      </c>
      <c r="F884" s="3" t="s">
        <v>58</v>
      </c>
      <c r="G884" s="3" t="s">
        <v>59</v>
      </c>
      <c r="H884" s="3" t="s">
        <v>58</v>
      </c>
      <c r="I884" s="3" t="s">
        <v>58</v>
      </c>
      <c r="J884" s="3" t="s">
        <v>60</v>
      </c>
      <c r="L884" s="2" t="s">
        <v>11518</v>
      </c>
      <c r="M884" s="3" t="s">
        <v>344</v>
      </c>
      <c r="N884" s="2" t="s">
        <v>1736</v>
      </c>
      <c r="O884" s="3" t="s">
        <v>64</v>
      </c>
      <c r="P884" s="3" t="s">
        <v>115</v>
      </c>
      <c r="R884" s="3" t="s">
        <v>67</v>
      </c>
      <c r="S884" s="4">
        <v>15</v>
      </c>
      <c r="T884" s="4">
        <v>15</v>
      </c>
      <c r="U884" s="5" t="s">
        <v>11519</v>
      </c>
      <c r="V884" s="5" t="s">
        <v>11519</v>
      </c>
      <c r="W884" s="5" t="s">
        <v>1576</v>
      </c>
      <c r="X884" s="5" t="s">
        <v>1576</v>
      </c>
      <c r="Y884" s="4">
        <v>381</v>
      </c>
      <c r="Z884" s="4">
        <v>349</v>
      </c>
      <c r="AA884" s="4">
        <v>353</v>
      </c>
      <c r="AB884" s="4">
        <v>3</v>
      </c>
      <c r="AC884" s="4">
        <v>3</v>
      </c>
      <c r="AD884" s="4">
        <v>12</v>
      </c>
      <c r="AE884" s="4">
        <v>12</v>
      </c>
      <c r="AF884" s="4">
        <v>7</v>
      </c>
      <c r="AG884" s="4">
        <v>7</v>
      </c>
      <c r="AH884" s="4">
        <v>3</v>
      </c>
      <c r="AI884" s="4">
        <v>3</v>
      </c>
      <c r="AJ884" s="4">
        <v>3</v>
      </c>
      <c r="AK884" s="4">
        <v>3</v>
      </c>
      <c r="AL884" s="4">
        <v>0</v>
      </c>
      <c r="AM884" s="4">
        <v>0</v>
      </c>
      <c r="AN884" s="4">
        <v>0</v>
      </c>
      <c r="AO884" s="4">
        <v>0</v>
      </c>
      <c r="AP884" s="3" t="s">
        <v>58</v>
      </c>
      <c r="AQ884" s="3" t="s">
        <v>86</v>
      </c>
      <c r="AR884" s="6" t="str">
        <f>HYPERLINK("http://catalog.hathitrust.org/Record/004422241","HathiTrust Record")</f>
        <v>HathiTrust Record</v>
      </c>
      <c r="AS884" s="6" t="str">
        <f>HYPERLINK("https://creighton-primo.hosted.exlibrisgroup.com/primo-explore/search?tab=default_tab&amp;search_scope=EVERYTHING&amp;vid=01CRU&amp;lang=en_US&amp;offset=0&amp;query=any,contains,991004944939702656","Catalog Record")</f>
        <v>Catalog Record</v>
      </c>
      <c r="AT884" s="6" t="str">
        <f>HYPERLINK("http://www.worldcat.org/oclc/6199744","WorldCat Record")</f>
        <v>WorldCat Record</v>
      </c>
      <c r="AU884" s="3" t="s">
        <v>11520</v>
      </c>
      <c r="AV884" s="3" t="s">
        <v>11521</v>
      </c>
      <c r="AW884" s="3" t="s">
        <v>11522</v>
      </c>
      <c r="AX884" s="3" t="s">
        <v>11522</v>
      </c>
      <c r="AY884" s="3" t="s">
        <v>11523</v>
      </c>
      <c r="AZ884" s="3" t="s">
        <v>74</v>
      </c>
      <c r="BB884" s="3" t="s">
        <v>11524</v>
      </c>
      <c r="BC884" s="3" t="s">
        <v>11525</v>
      </c>
      <c r="BD884" s="3" t="s">
        <v>11526</v>
      </c>
    </row>
    <row r="885" spans="1:56" ht="42.75" customHeight="1" x14ac:dyDescent="0.25">
      <c r="A885" s="7" t="s">
        <v>58</v>
      </c>
      <c r="B885" s="2" t="s">
        <v>11527</v>
      </c>
      <c r="C885" s="2" t="s">
        <v>11528</v>
      </c>
      <c r="D885" s="2" t="s">
        <v>11529</v>
      </c>
      <c r="F885" s="3" t="s">
        <v>58</v>
      </c>
      <c r="G885" s="3" t="s">
        <v>59</v>
      </c>
      <c r="H885" s="3" t="s">
        <v>58</v>
      </c>
      <c r="I885" s="3" t="s">
        <v>58</v>
      </c>
      <c r="J885" s="3" t="s">
        <v>60</v>
      </c>
      <c r="L885" s="2" t="s">
        <v>11530</v>
      </c>
      <c r="M885" s="3" t="s">
        <v>1574</v>
      </c>
      <c r="N885" s="2" t="s">
        <v>11531</v>
      </c>
      <c r="O885" s="3" t="s">
        <v>64</v>
      </c>
      <c r="P885" s="3" t="s">
        <v>115</v>
      </c>
      <c r="R885" s="3" t="s">
        <v>67</v>
      </c>
      <c r="S885" s="4">
        <v>27</v>
      </c>
      <c r="T885" s="4">
        <v>27</v>
      </c>
      <c r="U885" s="5" t="s">
        <v>11419</v>
      </c>
      <c r="V885" s="5" t="s">
        <v>11419</v>
      </c>
      <c r="W885" s="5" t="s">
        <v>8009</v>
      </c>
      <c r="X885" s="5" t="s">
        <v>8009</v>
      </c>
      <c r="Y885" s="4">
        <v>122</v>
      </c>
      <c r="Z885" s="4">
        <v>113</v>
      </c>
      <c r="AA885" s="4">
        <v>118</v>
      </c>
      <c r="AB885" s="4">
        <v>2</v>
      </c>
      <c r="AC885" s="4">
        <v>2</v>
      </c>
      <c r="AD885" s="4">
        <v>2</v>
      </c>
      <c r="AE885" s="4">
        <v>2</v>
      </c>
      <c r="AF885" s="4">
        <v>1</v>
      </c>
      <c r="AG885" s="4">
        <v>1</v>
      </c>
      <c r="AH885" s="4">
        <v>0</v>
      </c>
      <c r="AI885" s="4">
        <v>0</v>
      </c>
      <c r="AJ885" s="4">
        <v>1</v>
      </c>
      <c r="AK885" s="4">
        <v>1</v>
      </c>
      <c r="AL885" s="4">
        <v>1</v>
      </c>
      <c r="AM885" s="4">
        <v>1</v>
      </c>
      <c r="AN885" s="4">
        <v>0</v>
      </c>
      <c r="AO885" s="4">
        <v>0</v>
      </c>
      <c r="AP885" s="3" t="s">
        <v>58</v>
      </c>
      <c r="AQ885" s="3" t="s">
        <v>58</v>
      </c>
      <c r="AS885" s="6" t="str">
        <f>HYPERLINK("https://creighton-primo.hosted.exlibrisgroup.com/primo-explore/search?tab=default_tab&amp;search_scope=EVERYTHING&amp;vid=01CRU&amp;lang=en_US&amp;offset=0&amp;query=any,contains,991000021879702656","Catalog Record")</f>
        <v>Catalog Record</v>
      </c>
      <c r="AT885" s="6" t="str">
        <f>HYPERLINK("http://www.worldcat.org/oclc/8576867","WorldCat Record")</f>
        <v>WorldCat Record</v>
      </c>
      <c r="AU885" s="3" t="s">
        <v>11532</v>
      </c>
      <c r="AV885" s="3" t="s">
        <v>11533</v>
      </c>
      <c r="AW885" s="3" t="s">
        <v>11534</v>
      </c>
      <c r="AX885" s="3" t="s">
        <v>11534</v>
      </c>
      <c r="AY885" s="3" t="s">
        <v>11535</v>
      </c>
      <c r="AZ885" s="3" t="s">
        <v>74</v>
      </c>
      <c r="BB885" s="3" t="s">
        <v>11536</v>
      </c>
      <c r="BC885" s="3" t="s">
        <v>11537</v>
      </c>
      <c r="BD885" s="3" t="s">
        <v>11538</v>
      </c>
    </row>
    <row r="886" spans="1:56" ht="42.75" customHeight="1" x14ac:dyDescent="0.25">
      <c r="A886" s="7" t="s">
        <v>58</v>
      </c>
      <c r="B886" s="2" t="s">
        <v>11539</v>
      </c>
      <c r="C886" s="2" t="s">
        <v>11540</v>
      </c>
      <c r="D886" s="2" t="s">
        <v>11541</v>
      </c>
      <c r="F886" s="3" t="s">
        <v>58</v>
      </c>
      <c r="G886" s="3" t="s">
        <v>59</v>
      </c>
      <c r="H886" s="3" t="s">
        <v>58</v>
      </c>
      <c r="I886" s="3" t="s">
        <v>58</v>
      </c>
      <c r="J886" s="3" t="s">
        <v>60</v>
      </c>
      <c r="K886" s="2" t="s">
        <v>11542</v>
      </c>
      <c r="L886" s="2" t="s">
        <v>11543</v>
      </c>
      <c r="M886" s="3" t="s">
        <v>586</v>
      </c>
      <c r="N886" s="2" t="s">
        <v>1736</v>
      </c>
      <c r="O886" s="3" t="s">
        <v>64</v>
      </c>
      <c r="P886" s="3" t="s">
        <v>115</v>
      </c>
      <c r="R886" s="3" t="s">
        <v>67</v>
      </c>
      <c r="S886" s="4">
        <v>29</v>
      </c>
      <c r="T886" s="4">
        <v>29</v>
      </c>
      <c r="U886" s="5" t="s">
        <v>11419</v>
      </c>
      <c r="V886" s="5" t="s">
        <v>11419</v>
      </c>
      <c r="W886" s="5" t="s">
        <v>8009</v>
      </c>
      <c r="X886" s="5" t="s">
        <v>8009</v>
      </c>
      <c r="Y886" s="4">
        <v>196</v>
      </c>
      <c r="Z886" s="4">
        <v>174</v>
      </c>
      <c r="AA886" s="4">
        <v>175</v>
      </c>
      <c r="AB886" s="4">
        <v>3</v>
      </c>
      <c r="AC886" s="4">
        <v>3</v>
      </c>
      <c r="AD886" s="4">
        <v>8</v>
      </c>
      <c r="AE886" s="4">
        <v>8</v>
      </c>
      <c r="AF886" s="4">
        <v>3</v>
      </c>
      <c r="AG886" s="4">
        <v>3</v>
      </c>
      <c r="AH886" s="4">
        <v>1</v>
      </c>
      <c r="AI886" s="4">
        <v>1</v>
      </c>
      <c r="AJ886" s="4">
        <v>5</v>
      </c>
      <c r="AK886" s="4">
        <v>5</v>
      </c>
      <c r="AL886" s="4">
        <v>2</v>
      </c>
      <c r="AM886" s="4">
        <v>2</v>
      </c>
      <c r="AN886" s="4">
        <v>0</v>
      </c>
      <c r="AO886" s="4">
        <v>0</v>
      </c>
      <c r="AP886" s="3" t="s">
        <v>58</v>
      </c>
      <c r="AQ886" s="3" t="s">
        <v>58</v>
      </c>
      <c r="AS886" s="6" t="str">
        <f>HYPERLINK("https://creighton-primo.hosted.exlibrisgroup.com/primo-explore/search?tab=default_tab&amp;search_scope=EVERYTHING&amp;vid=01CRU&amp;lang=en_US&amp;offset=0&amp;query=any,contains,991001782819702656","Catalog Record")</f>
        <v>Catalog Record</v>
      </c>
      <c r="AT886" s="6" t="str">
        <f>HYPERLINK("http://www.worldcat.org/oclc/22488711","WorldCat Record")</f>
        <v>WorldCat Record</v>
      </c>
      <c r="AU886" s="3" t="s">
        <v>11544</v>
      </c>
      <c r="AV886" s="3" t="s">
        <v>11545</v>
      </c>
      <c r="AW886" s="3" t="s">
        <v>11546</v>
      </c>
      <c r="AX886" s="3" t="s">
        <v>11546</v>
      </c>
      <c r="AY886" s="3" t="s">
        <v>11547</v>
      </c>
      <c r="AZ886" s="3" t="s">
        <v>74</v>
      </c>
      <c r="BB886" s="3" t="s">
        <v>11548</v>
      </c>
      <c r="BC886" s="3" t="s">
        <v>11549</v>
      </c>
      <c r="BD886" s="3" t="s">
        <v>11550</v>
      </c>
    </row>
    <row r="887" spans="1:56" ht="42.75" customHeight="1" x14ac:dyDescent="0.25">
      <c r="A887" s="7" t="s">
        <v>58</v>
      </c>
      <c r="B887" s="2" t="s">
        <v>11551</v>
      </c>
      <c r="C887" s="2" t="s">
        <v>11552</v>
      </c>
      <c r="D887" s="2" t="s">
        <v>11553</v>
      </c>
      <c r="F887" s="3" t="s">
        <v>58</v>
      </c>
      <c r="G887" s="3" t="s">
        <v>59</v>
      </c>
      <c r="H887" s="3" t="s">
        <v>58</v>
      </c>
      <c r="I887" s="3" t="s">
        <v>86</v>
      </c>
      <c r="J887" s="3" t="s">
        <v>60</v>
      </c>
      <c r="K887" s="2" t="s">
        <v>11542</v>
      </c>
      <c r="L887" s="2" t="s">
        <v>11554</v>
      </c>
      <c r="M887" s="3" t="s">
        <v>98</v>
      </c>
      <c r="N887" s="2" t="s">
        <v>1736</v>
      </c>
      <c r="O887" s="3" t="s">
        <v>64</v>
      </c>
      <c r="P887" s="3" t="s">
        <v>115</v>
      </c>
      <c r="R887" s="3" t="s">
        <v>67</v>
      </c>
      <c r="S887" s="4">
        <v>32</v>
      </c>
      <c r="T887" s="4">
        <v>32</v>
      </c>
      <c r="U887" s="5" t="s">
        <v>11419</v>
      </c>
      <c r="V887" s="5" t="s">
        <v>11419</v>
      </c>
      <c r="W887" s="5" t="s">
        <v>8352</v>
      </c>
      <c r="X887" s="5" t="s">
        <v>8352</v>
      </c>
      <c r="Y887" s="4">
        <v>288</v>
      </c>
      <c r="Z887" s="4">
        <v>260</v>
      </c>
      <c r="AA887" s="4">
        <v>422</v>
      </c>
      <c r="AB887" s="4">
        <v>2</v>
      </c>
      <c r="AC887" s="4">
        <v>4</v>
      </c>
      <c r="AD887" s="4">
        <v>11</v>
      </c>
      <c r="AE887" s="4">
        <v>21</v>
      </c>
      <c r="AF887" s="4">
        <v>4</v>
      </c>
      <c r="AG887" s="4">
        <v>11</v>
      </c>
      <c r="AH887" s="4">
        <v>3</v>
      </c>
      <c r="AI887" s="4">
        <v>4</v>
      </c>
      <c r="AJ887" s="4">
        <v>5</v>
      </c>
      <c r="AK887" s="4">
        <v>10</v>
      </c>
      <c r="AL887" s="4">
        <v>1</v>
      </c>
      <c r="AM887" s="4">
        <v>3</v>
      </c>
      <c r="AN887" s="4">
        <v>0</v>
      </c>
      <c r="AO887" s="4">
        <v>0</v>
      </c>
      <c r="AP887" s="3" t="s">
        <v>58</v>
      </c>
      <c r="AQ887" s="3" t="s">
        <v>58</v>
      </c>
      <c r="AS887" s="6" t="str">
        <f>HYPERLINK("https://creighton-primo.hosted.exlibrisgroup.com/primo-explore/search?tab=default_tab&amp;search_scope=EVERYTHING&amp;vid=01CRU&amp;lang=en_US&amp;offset=0&amp;query=any,contains,991001196689702656","Catalog Record")</f>
        <v>Catalog Record</v>
      </c>
      <c r="AT887" s="6" t="str">
        <f>HYPERLINK("http://www.worldcat.org/oclc/17296115","WorldCat Record")</f>
        <v>WorldCat Record</v>
      </c>
      <c r="AU887" s="3" t="s">
        <v>11555</v>
      </c>
      <c r="AV887" s="3" t="s">
        <v>11556</v>
      </c>
      <c r="AW887" s="3" t="s">
        <v>11557</v>
      </c>
      <c r="AX887" s="3" t="s">
        <v>11557</v>
      </c>
      <c r="AY887" s="3" t="s">
        <v>11558</v>
      </c>
      <c r="AZ887" s="3" t="s">
        <v>74</v>
      </c>
      <c r="BB887" s="3" t="s">
        <v>11559</v>
      </c>
      <c r="BC887" s="3" t="s">
        <v>11560</v>
      </c>
      <c r="BD887" s="3" t="s">
        <v>11561</v>
      </c>
    </row>
    <row r="888" spans="1:56" ht="42.75" customHeight="1" x14ac:dyDescent="0.25">
      <c r="A888" s="7" t="s">
        <v>58</v>
      </c>
      <c r="B888" s="2" t="s">
        <v>11562</v>
      </c>
      <c r="C888" s="2" t="s">
        <v>11563</v>
      </c>
      <c r="D888" s="2" t="s">
        <v>11564</v>
      </c>
      <c r="F888" s="3" t="s">
        <v>58</v>
      </c>
      <c r="G888" s="3" t="s">
        <v>59</v>
      </c>
      <c r="H888" s="3" t="s">
        <v>58</v>
      </c>
      <c r="I888" s="3" t="s">
        <v>58</v>
      </c>
      <c r="J888" s="3" t="s">
        <v>60</v>
      </c>
      <c r="K888" s="2" t="s">
        <v>11565</v>
      </c>
      <c r="L888" s="2" t="s">
        <v>11566</v>
      </c>
      <c r="M888" s="3" t="s">
        <v>11567</v>
      </c>
      <c r="N888" s="2" t="s">
        <v>1736</v>
      </c>
      <c r="O888" s="3" t="s">
        <v>64</v>
      </c>
      <c r="P888" s="3" t="s">
        <v>145</v>
      </c>
      <c r="R888" s="3" t="s">
        <v>67</v>
      </c>
      <c r="S888" s="4">
        <v>1</v>
      </c>
      <c r="T888" s="4">
        <v>1</v>
      </c>
      <c r="U888" s="5" t="s">
        <v>11568</v>
      </c>
      <c r="V888" s="5" t="s">
        <v>11568</v>
      </c>
      <c r="W888" s="5" t="s">
        <v>11568</v>
      </c>
      <c r="X888" s="5" t="s">
        <v>11568</v>
      </c>
      <c r="Y888" s="4">
        <v>199</v>
      </c>
      <c r="Z888" s="4">
        <v>152</v>
      </c>
      <c r="AA888" s="4">
        <v>260</v>
      </c>
      <c r="AB888" s="4">
        <v>3</v>
      </c>
      <c r="AC888" s="4">
        <v>3</v>
      </c>
      <c r="AD888" s="4">
        <v>11</v>
      </c>
      <c r="AE888" s="4">
        <v>16</v>
      </c>
      <c r="AF888" s="4">
        <v>3</v>
      </c>
      <c r="AG888" s="4">
        <v>5</v>
      </c>
      <c r="AH888" s="4">
        <v>2</v>
      </c>
      <c r="AI888" s="4">
        <v>3</v>
      </c>
      <c r="AJ888" s="4">
        <v>8</v>
      </c>
      <c r="AK888" s="4">
        <v>11</v>
      </c>
      <c r="AL888" s="4">
        <v>2</v>
      </c>
      <c r="AM888" s="4">
        <v>2</v>
      </c>
      <c r="AN888" s="4">
        <v>0</v>
      </c>
      <c r="AO888" s="4">
        <v>0</v>
      </c>
      <c r="AP888" s="3" t="s">
        <v>58</v>
      </c>
      <c r="AQ888" s="3" t="s">
        <v>58</v>
      </c>
      <c r="AS888" s="6" t="str">
        <f>HYPERLINK("https://creighton-primo.hosted.exlibrisgroup.com/primo-explore/search?tab=default_tab&amp;search_scope=EVERYTHING&amp;vid=01CRU&amp;lang=en_US&amp;offset=0&amp;query=any,contains,991000379469702656","Catalog Record")</f>
        <v>Catalog Record</v>
      </c>
      <c r="AT888" s="6" t="str">
        <f>HYPERLINK("http://www.worldcat.org/oclc/624405636","WorldCat Record")</f>
        <v>WorldCat Record</v>
      </c>
      <c r="AU888" s="3" t="s">
        <v>11569</v>
      </c>
      <c r="AV888" s="3" t="s">
        <v>11570</v>
      </c>
      <c r="AW888" s="3" t="s">
        <v>11571</v>
      </c>
      <c r="AX888" s="3" t="s">
        <v>11571</v>
      </c>
      <c r="AY888" s="3" t="s">
        <v>11572</v>
      </c>
      <c r="AZ888" s="3" t="s">
        <v>74</v>
      </c>
      <c r="BB888" s="3" t="s">
        <v>11573</v>
      </c>
      <c r="BC888" s="3" t="s">
        <v>11574</v>
      </c>
      <c r="BD888" s="3" t="s">
        <v>11575</v>
      </c>
    </row>
    <row r="889" spans="1:56" ht="42.75" customHeight="1" x14ac:dyDescent="0.25">
      <c r="A889" s="7" t="s">
        <v>58</v>
      </c>
      <c r="B889" s="2" t="s">
        <v>11576</v>
      </c>
      <c r="C889" s="2" t="s">
        <v>11577</v>
      </c>
      <c r="D889" s="2" t="s">
        <v>11578</v>
      </c>
      <c r="F889" s="3" t="s">
        <v>58</v>
      </c>
      <c r="G889" s="3" t="s">
        <v>59</v>
      </c>
      <c r="H889" s="3" t="s">
        <v>86</v>
      </c>
      <c r="I889" s="3" t="s">
        <v>58</v>
      </c>
      <c r="J889" s="3" t="s">
        <v>60</v>
      </c>
      <c r="K889" s="2" t="s">
        <v>8832</v>
      </c>
      <c r="L889" s="2" t="s">
        <v>9058</v>
      </c>
      <c r="M889" s="3" t="s">
        <v>2227</v>
      </c>
      <c r="O889" s="3" t="s">
        <v>64</v>
      </c>
      <c r="P889" s="3" t="s">
        <v>115</v>
      </c>
      <c r="R889" s="3" t="s">
        <v>67</v>
      </c>
      <c r="S889" s="4">
        <v>14</v>
      </c>
      <c r="T889" s="4">
        <v>14</v>
      </c>
      <c r="U889" s="5" t="s">
        <v>11579</v>
      </c>
      <c r="V889" s="5" t="s">
        <v>11579</v>
      </c>
      <c r="W889" s="5" t="s">
        <v>11382</v>
      </c>
      <c r="X889" s="5" t="s">
        <v>11382</v>
      </c>
      <c r="Y889" s="4">
        <v>414</v>
      </c>
      <c r="Z889" s="4">
        <v>344</v>
      </c>
      <c r="AA889" s="4">
        <v>346</v>
      </c>
      <c r="AB889" s="4">
        <v>5</v>
      </c>
      <c r="AC889" s="4">
        <v>5</v>
      </c>
      <c r="AD889" s="4">
        <v>16</v>
      </c>
      <c r="AE889" s="4">
        <v>16</v>
      </c>
      <c r="AF889" s="4">
        <v>3</v>
      </c>
      <c r="AG889" s="4">
        <v>3</v>
      </c>
      <c r="AH889" s="4">
        <v>4</v>
      </c>
      <c r="AI889" s="4">
        <v>4</v>
      </c>
      <c r="AJ889" s="4">
        <v>8</v>
      </c>
      <c r="AK889" s="4">
        <v>8</v>
      </c>
      <c r="AL889" s="4">
        <v>3</v>
      </c>
      <c r="AM889" s="4">
        <v>3</v>
      </c>
      <c r="AN889" s="4">
        <v>0</v>
      </c>
      <c r="AO889" s="4">
        <v>0</v>
      </c>
      <c r="AP889" s="3" t="s">
        <v>58</v>
      </c>
      <c r="AQ889" s="3" t="s">
        <v>86</v>
      </c>
      <c r="AR889" s="6" t="str">
        <f>HYPERLINK("http://catalog.hathitrust.org/Record/000612244","HathiTrust Record")</f>
        <v>HathiTrust Record</v>
      </c>
      <c r="AS889" s="6" t="str">
        <f>HYPERLINK("https://creighton-primo.hosted.exlibrisgroup.com/primo-explore/search?tab=default_tab&amp;search_scope=EVERYTHING&amp;vid=01CRU&amp;lang=en_US&amp;offset=0&amp;query=any,contains,991000597349702656","Catalog Record")</f>
        <v>Catalog Record</v>
      </c>
      <c r="AT889" s="6" t="str">
        <f>HYPERLINK("http://www.worldcat.org/oclc/11814057","WorldCat Record")</f>
        <v>WorldCat Record</v>
      </c>
      <c r="AU889" s="3" t="s">
        <v>11580</v>
      </c>
      <c r="AV889" s="3" t="s">
        <v>11581</v>
      </c>
      <c r="AW889" s="3" t="s">
        <v>11582</v>
      </c>
      <c r="AX889" s="3" t="s">
        <v>11582</v>
      </c>
      <c r="AY889" s="3" t="s">
        <v>11583</v>
      </c>
      <c r="AZ889" s="3" t="s">
        <v>74</v>
      </c>
      <c r="BB889" s="3" t="s">
        <v>11584</v>
      </c>
      <c r="BC889" s="3" t="s">
        <v>11585</v>
      </c>
      <c r="BD889" s="3" t="s">
        <v>11586</v>
      </c>
    </row>
    <row r="890" spans="1:56" ht="42.75" customHeight="1" x14ac:dyDescent="0.25">
      <c r="A890" s="7" t="s">
        <v>58</v>
      </c>
      <c r="B890" s="2" t="s">
        <v>11587</v>
      </c>
      <c r="C890" s="2" t="s">
        <v>11588</v>
      </c>
      <c r="D890" s="2" t="s">
        <v>11589</v>
      </c>
      <c r="F890" s="3" t="s">
        <v>58</v>
      </c>
      <c r="G890" s="3" t="s">
        <v>59</v>
      </c>
      <c r="H890" s="3" t="s">
        <v>58</v>
      </c>
      <c r="I890" s="3" t="s">
        <v>58</v>
      </c>
      <c r="J890" s="3" t="s">
        <v>60</v>
      </c>
      <c r="L890" s="2" t="s">
        <v>11590</v>
      </c>
      <c r="M890" s="3" t="s">
        <v>207</v>
      </c>
      <c r="O890" s="3" t="s">
        <v>64</v>
      </c>
      <c r="P890" s="3" t="s">
        <v>99</v>
      </c>
      <c r="R890" s="3" t="s">
        <v>67</v>
      </c>
      <c r="S890" s="4">
        <v>2</v>
      </c>
      <c r="T890" s="4">
        <v>2</v>
      </c>
      <c r="U890" s="5" t="s">
        <v>2999</v>
      </c>
      <c r="V890" s="5" t="s">
        <v>2999</v>
      </c>
      <c r="W890" s="5" t="s">
        <v>7263</v>
      </c>
      <c r="X890" s="5" t="s">
        <v>7263</v>
      </c>
      <c r="Y890" s="4">
        <v>66</v>
      </c>
      <c r="Z890" s="4">
        <v>56</v>
      </c>
      <c r="AA890" s="4">
        <v>57</v>
      </c>
      <c r="AB890" s="4">
        <v>2</v>
      </c>
      <c r="AC890" s="4">
        <v>2</v>
      </c>
      <c r="AD890" s="4">
        <v>1</v>
      </c>
      <c r="AE890" s="4">
        <v>1</v>
      </c>
      <c r="AF890" s="4">
        <v>0</v>
      </c>
      <c r="AG890" s="4">
        <v>0</v>
      </c>
      <c r="AH890" s="4">
        <v>0</v>
      </c>
      <c r="AI890" s="4">
        <v>0</v>
      </c>
      <c r="AJ890" s="4">
        <v>0</v>
      </c>
      <c r="AK890" s="4">
        <v>0</v>
      </c>
      <c r="AL890" s="4">
        <v>1</v>
      </c>
      <c r="AM890" s="4">
        <v>1</v>
      </c>
      <c r="AN890" s="4">
        <v>0</v>
      </c>
      <c r="AO890" s="4">
        <v>0</v>
      </c>
      <c r="AP890" s="3" t="s">
        <v>58</v>
      </c>
      <c r="AQ890" s="3" t="s">
        <v>86</v>
      </c>
      <c r="AR890" s="6" t="str">
        <f>HYPERLINK("http://catalog.hathitrust.org/Record/010614550","HathiTrust Record")</f>
        <v>HathiTrust Record</v>
      </c>
      <c r="AS890" s="6" t="str">
        <f>HYPERLINK("https://creighton-primo.hosted.exlibrisgroup.com/primo-explore/search?tab=default_tab&amp;search_scope=EVERYTHING&amp;vid=01CRU&amp;lang=en_US&amp;offset=0&amp;query=any,contains,991005095519702656","Catalog Record")</f>
        <v>Catalog Record</v>
      </c>
      <c r="AT890" s="6" t="str">
        <f>HYPERLINK("http://www.worldcat.org/oclc/7272802","WorldCat Record")</f>
        <v>WorldCat Record</v>
      </c>
      <c r="AU890" s="3" t="s">
        <v>11591</v>
      </c>
      <c r="AV890" s="3" t="s">
        <v>11592</v>
      </c>
      <c r="AW890" s="3" t="s">
        <v>11593</v>
      </c>
      <c r="AX890" s="3" t="s">
        <v>11593</v>
      </c>
      <c r="AY890" s="3" t="s">
        <v>11594</v>
      </c>
      <c r="AZ890" s="3" t="s">
        <v>74</v>
      </c>
      <c r="BB890" s="3" t="s">
        <v>11595</v>
      </c>
      <c r="BC890" s="3" t="s">
        <v>11596</v>
      </c>
      <c r="BD890" s="3" t="s">
        <v>11597</v>
      </c>
    </row>
    <row r="891" spans="1:56" ht="42.75" customHeight="1" x14ac:dyDescent="0.25">
      <c r="A891" s="7" t="s">
        <v>58</v>
      </c>
      <c r="B891" s="2" t="s">
        <v>11598</v>
      </c>
      <c r="C891" s="2" t="s">
        <v>11599</v>
      </c>
      <c r="D891" s="2" t="s">
        <v>11600</v>
      </c>
      <c r="F891" s="3" t="s">
        <v>58</v>
      </c>
      <c r="G891" s="3" t="s">
        <v>59</v>
      </c>
      <c r="H891" s="3" t="s">
        <v>58</v>
      </c>
      <c r="I891" s="3" t="s">
        <v>58</v>
      </c>
      <c r="J891" s="3" t="s">
        <v>60</v>
      </c>
      <c r="L891" s="2" t="s">
        <v>11601</v>
      </c>
      <c r="M891" s="3" t="s">
        <v>2227</v>
      </c>
      <c r="O891" s="3" t="s">
        <v>64</v>
      </c>
      <c r="P891" s="3" t="s">
        <v>115</v>
      </c>
      <c r="Q891" s="2" t="s">
        <v>11602</v>
      </c>
      <c r="R891" s="3" t="s">
        <v>67</v>
      </c>
      <c r="S891" s="4">
        <v>1</v>
      </c>
      <c r="T891" s="4">
        <v>1</v>
      </c>
      <c r="U891" s="5" t="s">
        <v>6459</v>
      </c>
      <c r="V891" s="5" t="s">
        <v>6459</v>
      </c>
      <c r="W891" s="5" t="s">
        <v>11603</v>
      </c>
      <c r="X891" s="5" t="s">
        <v>11603</v>
      </c>
      <c r="Y891" s="4">
        <v>405</v>
      </c>
      <c r="Z891" s="4">
        <v>316</v>
      </c>
      <c r="AA891" s="4">
        <v>324</v>
      </c>
      <c r="AB891" s="4">
        <v>4</v>
      </c>
      <c r="AC891" s="4">
        <v>4</v>
      </c>
      <c r="AD891" s="4">
        <v>18</v>
      </c>
      <c r="AE891" s="4">
        <v>18</v>
      </c>
      <c r="AF891" s="4">
        <v>5</v>
      </c>
      <c r="AG891" s="4">
        <v>5</v>
      </c>
      <c r="AH891" s="4">
        <v>6</v>
      </c>
      <c r="AI891" s="4">
        <v>6</v>
      </c>
      <c r="AJ891" s="4">
        <v>9</v>
      </c>
      <c r="AK891" s="4">
        <v>9</v>
      </c>
      <c r="AL891" s="4">
        <v>3</v>
      </c>
      <c r="AM891" s="4">
        <v>3</v>
      </c>
      <c r="AN891" s="4">
        <v>0</v>
      </c>
      <c r="AO891" s="4">
        <v>0</v>
      </c>
      <c r="AP891" s="3" t="s">
        <v>58</v>
      </c>
      <c r="AQ891" s="3" t="s">
        <v>86</v>
      </c>
      <c r="AR891" s="6" t="str">
        <f>HYPERLINK("http://catalog.hathitrust.org/Record/000463037","HathiTrust Record")</f>
        <v>HathiTrust Record</v>
      </c>
      <c r="AS891" s="6" t="str">
        <f>HYPERLINK("https://creighton-primo.hosted.exlibrisgroup.com/primo-explore/search?tab=default_tab&amp;search_scope=EVERYTHING&amp;vid=01CRU&amp;lang=en_US&amp;offset=0&amp;query=any,contains,991000506679702656","Catalog Record")</f>
        <v>Catalog Record</v>
      </c>
      <c r="AT891" s="6" t="str">
        <f>HYPERLINK("http://www.worldcat.org/oclc/11211520","WorldCat Record")</f>
        <v>WorldCat Record</v>
      </c>
      <c r="AU891" s="3" t="s">
        <v>11604</v>
      </c>
      <c r="AV891" s="3" t="s">
        <v>11605</v>
      </c>
      <c r="AW891" s="3" t="s">
        <v>11606</v>
      </c>
      <c r="AX891" s="3" t="s">
        <v>11606</v>
      </c>
      <c r="AY891" s="3" t="s">
        <v>11607</v>
      </c>
      <c r="AZ891" s="3" t="s">
        <v>74</v>
      </c>
      <c r="BB891" s="3" t="s">
        <v>11608</v>
      </c>
      <c r="BC891" s="3" t="s">
        <v>11609</v>
      </c>
      <c r="BD891" s="3" t="s">
        <v>11610</v>
      </c>
    </row>
    <row r="892" spans="1:56" ht="42.75" customHeight="1" x14ac:dyDescent="0.25">
      <c r="A892" s="7" t="s">
        <v>58</v>
      </c>
      <c r="B892" s="2" t="s">
        <v>11611</v>
      </c>
      <c r="C892" s="2" t="s">
        <v>11612</v>
      </c>
      <c r="D892" s="2" t="s">
        <v>11613</v>
      </c>
      <c r="F892" s="3" t="s">
        <v>58</v>
      </c>
      <c r="G892" s="3" t="s">
        <v>59</v>
      </c>
      <c r="H892" s="3" t="s">
        <v>58</v>
      </c>
      <c r="I892" s="3" t="s">
        <v>58</v>
      </c>
      <c r="J892" s="3" t="s">
        <v>60</v>
      </c>
      <c r="K892" s="2" t="s">
        <v>11614</v>
      </c>
      <c r="L892" s="2" t="s">
        <v>11615</v>
      </c>
      <c r="M892" s="3" t="s">
        <v>805</v>
      </c>
      <c r="N892" s="2" t="s">
        <v>1736</v>
      </c>
      <c r="O892" s="3" t="s">
        <v>64</v>
      </c>
      <c r="P892" s="3" t="s">
        <v>115</v>
      </c>
      <c r="R892" s="3" t="s">
        <v>67</v>
      </c>
      <c r="S892" s="4">
        <v>9</v>
      </c>
      <c r="T892" s="4">
        <v>9</v>
      </c>
      <c r="U892" s="5" t="s">
        <v>11616</v>
      </c>
      <c r="V892" s="5" t="s">
        <v>11616</v>
      </c>
      <c r="W892" s="5" t="s">
        <v>11617</v>
      </c>
      <c r="X892" s="5" t="s">
        <v>11617</v>
      </c>
      <c r="Y892" s="4">
        <v>518</v>
      </c>
      <c r="Z892" s="4">
        <v>345</v>
      </c>
      <c r="AA892" s="4">
        <v>345</v>
      </c>
      <c r="AB892" s="4">
        <v>3</v>
      </c>
      <c r="AC892" s="4">
        <v>3</v>
      </c>
      <c r="AD892" s="4">
        <v>20</v>
      </c>
      <c r="AE892" s="4">
        <v>20</v>
      </c>
      <c r="AF892" s="4">
        <v>9</v>
      </c>
      <c r="AG892" s="4">
        <v>9</v>
      </c>
      <c r="AH892" s="4">
        <v>2</v>
      </c>
      <c r="AI892" s="4">
        <v>2</v>
      </c>
      <c r="AJ892" s="4">
        <v>11</v>
      </c>
      <c r="AK892" s="4">
        <v>11</v>
      </c>
      <c r="AL892" s="4">
        <v>2</v>
      </c>
      <c r="AM892" s="4">
        <v>2</v>
      </c>
      <c r="AN892" s="4">
        <v>0</v>
      </c>
      <c r="AO892" s="4">
        <v>0</v>
      </c>
      <c r="AP892" s="3" t="s">
        <v>58</v>
      </c>
      <c r="AQ892" s="3" t="s">
        <v>58</v>
      </c>
      <c r="AS892" s="6" t="str">
        <f>HYPERLINK("https://creighton-primo.hosted.exlibrisgroup.com/primo-explore/search?tab=default_tab&amp;search_scope=EVERYTHING&amp;vid=01CRU&amp;lang=en_US&amp;offset=0&amp;query=any,contains,991003210819702656","Catalog Record")</f>
        <v>Catalog Record</v>
      </c>
      <c r="AT892" s="6" t="str">
        <f>HYPERLINK("http://www.worldcat.org/oclc/34358181","WorldCat Record")</f>
        <v>WorldCat Record</v>
      </c>
      <c r="AU892" s="3" t="s">
        <v>11618</v>
      </c>
      <c r="AV892" s="3" t="s">
        <v>11619</v>
      </c>
      <c r="AW892" s="3" t="s">
        <v>11620</v>
      </c>
      <c r="AX892" s="3" t="s">
        <v>11620</v>
      </c>
      <c r="AY892" s="3" t="s">
        <v>11621</v>
      </c>
      <c r="AZ892" s="3" t="s">
        <v>74</v>
      </c>
      <c r="BB892" s="3" t="s">
        <v>11622</v>
      </c>
      <c r="BC892" s="3" t="s">
        <v>11623</v>
      </c>
      <c r="BD892" s="3" t="s">
        <v>11624</v>
      </c>
    </row>
    <row r="893" spans="1:56" ht="42.75" customHeight="1" x14ac:dyDescent="0.25">
      <c r="A893" s="7" t="s">
        <v>58</v>
      </c>
      <c r="B893" s="2" t="s">
        <v>11625</v>
      </c>
      <c r="C893" s="2" t="s">
        <v>11626</v>
      </c>
      <c r="D893" s="2" t="s">
        <v>11627</v>
      </c>
      <c r="F893" s="3" t="s">
        <v>58</v>
      </c>
      <c r="G893" s="3" t="s">
        <v>59</v>
      </c>
      <c r="H893" s="3" t="s">
        <v>58</v>
      </c>
      <c r="I893" s="3" t="s">
        <v>58</v>
      </c>
      <c r="J893" s="3" t="s">
        <v>60</v>
      </c>
      <c r="K893" s="2" t="s">
        <v>11628</v>
      </c>
      <c r="L893" s="2" t="s">
        <v>11629</v>
      </c>
      <c r="M893" s="3" t="s">
        <v>737</v>
      </c>
      <c r="O893" s="3" t="s">
        <v>64</v>
      </c>
      <c r="P893" s="3" t="s">
        <v>115</v>
      </c>
      <c r="R893" s="3" t="s">
        <v>67</v>
      </c>
      <c r="S893" s="4">
        <v>3</v>
      </c>
      <c r="T893" s="4">
        <v>3</v>
      </c>
      <c r="U893" s="5" t="s">
        <v>11630</v>
      </c>
      <c r="V893" s="5" t="s">
        <v>11630</v>
      </c>
      <c r="W893" s="5" t="s">
        <v>4578</v>
      </c>
      <c r="X893" s="5" t="s">
        <v>4578</v>
      </c>
      <c r="Y893" s="4">
        <v>387</v>
      </c>
      <c r="Z893" s="4">
        <v>289</v>
      </c>
      <c r="AA893" s="4">
        <v>294</v>
      </c>
      <c r="AB893" s="4">
        <v>4</v>
      </c>
      <c r="AC893" s="4">
        <v>4</v>
      </c>
      <c r="AD893" s="4">
        <v>24</v>
      </c>
      <c r="AE893" s="4">
        <v>24</v>
      </c>
      <c r="AF893" s="4">
        <v>9</v>
      </c>
      <c r="AG893" s="4">
        <v>9</v>
      </c>
      <c r="AH893" s="4">
        <v>5</v>
      </c>
      <c r="AI893" s="4">
        <v>5</v>
      </c>
      <c r="AJ893" s="4">
        <v>11</v>
      </c>
      <c r="AK893" s="4">
        <v>11</v>
      </c>
      <c r="AL893" s="4">
        <v>3</v>
      </c>
      <c r="AM893" s="4">
        <v>3</v>
      </c>
      <c r="AN893" s="4">
        <v>0</v>
      </c>
      <c r="AO893" s="4">
        <v>0</v>
      </c>
      <c r="AP893" s="3" t="s">
        <v>58</v>
      </c>
      <c r="AQ893" s="3" t="s">
        <v>58</v>
      </c>
      <c r="AS893" s="6" t="str">
        <f>HYPERLINK("https://creighton-primo.hosted.exlibrisgroup.com/primo-explore/search?tab=default_tab&amp;search_scope=EVERYTHING&amp;vid=01CRU&amp;lang=en_US&amp;offset=0&amp;query=any,contains,991002354189702656","Catalog Record")</f>
        <v>Catalog Record</v>
      </c>
      <c r="AT893" s="6" t="str">
        <f>HYPERLINK("http://www.worldcat.org/oclc/30625917","WorldCat Record")</f>
        <v>WorldCat Record</v>
      </c>
      <c r="AU893" s="3" t="s">
        <v>11631</v>
      </c>
      <c r="AV893" s="3" t="s">
        <v>11632</v>
      </c>
      <c r="AW893" s="3" t="s">
        <v>11633</v>
      </c>
      <c r="AX893" s="3" t="s">
        <v>11633</v>
      </c>
      <c r="AY893" s="3" t="s">
        <v>11634</v>
      </c>
      <c r="AZ893" s="3" t="s">
        <v>74</v>
      </c>
      <c r="BB893" s="3" t="s">
        <v>11635</v>
      </c>
      <c r="BC893" s="3" t="s">
        <v>11636</v>
      </c>
      <c r="BD893" s="3" t="s">
        <v>11637</v>
      </c>
    </row>
    <row r="894" spans="1:56" ht="42.75" customHeight="1" x14ac:dyDescent="0.25">
      <c r="A894" s="7" t="s">
        <v>58</v>
      </c>
      <c r="B894" s="2" t="s">
        <v>11638</v>
      </c>
      <c r="C894" s="2" t="s">
        <v>11639</v>
      </c>
      <c r="D894" s="2" t="s">
        <v>11640</v>
      </c>
      <c r="F894" s="3" t="s">
        <v>58</v>
      </c>
      <c r="G894" s="3" t="s">
        <v>59</v>
      </c>
      <c r="H894" s="3" t="s">
        <v>86</v>
      </c>
      <c r="I894" s="3" t="s">
        <v>58</v>
      </c>
      <c r="J894" s="3" t="s">
        <v>60</v>
      </c>
      <c r="K894" s="2" t="s">
        <v>11641</v>
      </c>
      <c r="L894" s="2" t="s">
        <v>9267</v>
      </c>
      <c r="M894" s="3" t="s">
        <v>2227</v>
      </c>
      <c r="O894" s="3" t="s">
        <v>64</v>
      </c>
      <c r="P894" s="3" t="s">
        <v>115</v>
      </c>
      <c r="R894" s="3" t="s">
        <v>67</v>
      </c>
      <c r="S894" s="4">
        <v>3</v>
      </c>
      <c r="T894" s="4">
        <v>3</v>
      </c>
      <c r="U894" s="5" t="s">
        <v>11642</v>
      </c>
      <c r="V894" s="5" t="s">
        <v>11642</v>
      </c>
      <c r="W894" s="5" t="s">
        <v>4459</v>
      </c>
      <c r="X894" s="5" t="s">
        <v>1238</v>
      </c>
      <c r="Y894" s="4">
        <v>344</v>
      </c>
      <c r="Z894" s="4">
        <v>310</v>
      </c>
      <c r="AA894" s="4">
        <v>315</v>
      </c>
      <c r="AB894" s="4">
        <v>1</v>
      </c>
      <c r="AC894" s="4">
        <v>1</v>
      </c>
      <c r="AD894" s="4">
        <v>12</v>
      </c>
      <c r="AE894" s="4">
        <v>12</v>
      </c>
      <c r="AF894" s="4">
        <v>5</v>
      </c>
      <c r="AG894" s="4">
        <v>5</v>
      </c>
      <c r="AH894" s="4">
        <v>3</v>
      </c>
      <c r="AI894" s="4">
        <v>3</v>
      </c>
      <c r="AJ894" s="4">
        <v>7</v>
      </c>
      <c r="AK894" s="4">
        <v>7</v>
      </c>
      <c r="AL894" s="4">
        <v>0</v>
      </c>
      <c r="AM894" s="4">
        <v>0</v>
      </c>
      <c r="AN894" s="4">
        <v>0</v>
      </c>
      <c r="AO894" s="4">
        <v>0</v>
      </c>
      <c r="AP894" s="3" t="s">
        <v>58</v>
      </c>
      <c r="AQ894" s="3" t="s">
        <v>58</v>
      </c>
      <c r="AS894" s="6" t="str">
        <f>HYPERLINK("https://creighton-primo.hosted.exlibrisgroup.com/primo-explore/search?tab=default_tab&amp;search_scope=EVERYTHING&amp;vid=01CRU&amp;lang=en_US&amp;offset=0&amp;query=any,contains,991000620409702656","Catalog Record")</f>
        <v>Catalog Record</v>
      </c>
      <c r="AT894" s="6" t="str">
        <f>HYPERLINK("http://www.worldcat.org/oclc/11971322","WorldCat Record")</f>
        <v>WorldCat Record</v>
      </c>
      <c r="AU894" s="3" t="s">
        <v>11643</v>
      </c>
      <c r="AV894" s="3" t="s">
        <v>11644</v>
      </c>
      <c r="AW894" s="3" t="s">
        <v>11645</v>
      </c>
      <c r="AX894" s="3" t="s">
        <v>11645</v>
      </c>
      <c r="AY894" s="3" t="s">
        <v>11646</v>
      </c>
      <c r="AZ894" s="3" t="s">
        <v>74</v>
      </c>
      <c r="BB894" s="3" t="s">
        <v>11647</v>
      </c>
      <c r="BC894" s="3" t="s">
        <v>11648</v>
      </c>
      <c r="BD894" s="3" t="s">
        <v>11649</v>
      </c>
    </row>
    <row r="895" spans="1:56" ht="42.75" customHeight="1" x14ac:dyDescent="0.25">
      <c r="A895" s="7" t="s">
        <v>58</v>
      </c>
      <c r="B895" s="2" t="s">
        <v>11650</v>
      </c>
      <c r="C895" s="2" t="s">
        <v>11651</v>
      </c>
      <c r="D895" s="2" t="s">
        <v>11652</v>
      </c>
      <c r="F895" s="3" t="s">
        <v>58</v>
      </c>
      <c r="G895" s="3" t="s">
        <v>59</v>
      </c>
      <c r="H895" s="3" t="s">
        <v>58</v>
      </c>
      <c r="I895" s="3" t="s">
        <v>58</v>
      </c>
      <c r="J895" s="3" t="s">
        <v>60</v>
      </c>
      <c r="K895" s="2" t="s">
        <v>11653</v>
      </c>
      <c r="L895" s="2" t="s">
        <v>11654</v>
      </c>
      <c r="M895" s="3" t="s">
        <v>2227</v>
      </c>
      <c r="N895" s="2" t="s">
        <v>1736</v>
      </c>
      <c r="O895" s="3" t="s">
        <v>64</v>
      </c>
      <c r="P895" s="3" t="s">
        <v>115</v>
      </c>
      <c r="R895" s="3" t="s">
        <v>67</v>
      </c>
      <c r="S895" s="4">
        <v>3</v>
      </c>
      <c r="T895" s="4">
        <v>3</v>
      </c>
      <c r="U895" s="5" t="s">
        <v>11165</v>
      </c>
      <c r="V895" s="5" t="s">
        <v>11165</v>
      </c>
      <c r="W895" s="5" t="s">
        <v>11655</v>
      </c>
      <c r="X895" s="5" t="s">
        <v>11655</v>
      </c>
      <c r="Y895" s="4">
        <v>1198</v>
      </c>
      <c r="Z895" s="4">
        <v>1129</v>
      </c>
      <c r="AA895" s="4">
        <v>1193</v>
      </c>
      <c r="AB895" s="4">
        <v>8</v>
      </c>
      <c r="AC895" s="4">
        <v>8</v>
      </c>
      <c r="AD895" s="4">
        <v>11</v>
      </c>
      <c r="AE895" s="4">
        <v>12</v>
      </c>
      <c r="AF895" s="4">
        <v>4</v>
      </c>
      <c r="AG895" s="4">
        <v>4</v>
      </c>
      <c r="AH895" s="4">
        <v>3</v>
      </c>
      <c r="AI895" s="4">
        <v>3</v>
      </c>
      <c r="AJ895" s="4">
        <v>4</v>
      </c>
      <c r="AK895" s="4">
        <v>5</v>
      </c>
      <c r="AL895" s="4">
        <v>3</v>
      </c>
      <c r="AM895" s="4">
        <v>3</v>
      </c>
      <c r="AN895" s="4">
        <v>0</v>
      </c>
      <c r="AO895" s="4">
        <v>0</v>
      </c>
      <c r="AP895" s="3" t="s">
        <v>58</v>
      </c>
      <c r="AQ895" s="3" t="s">
        <v>58</v>
      </c>
      <c r="AS895" s="6" t="str">
        <f>HYPERLINK("https://creighton-primo.hosted.exlibrisgroup.com/primo-explore/search?tab=default_tab&amp;search_scope=EVERYTHING&amp;vid=01CRU&amp;lang=en_US&amp;offset=0&amp;query=any,contains,991000510089702656","Catalog Record")</f>
        <v>Catalog Record</v>
      </c>
      <c r="AT895" s="6" t="str">
        <f>HYPERLINK("http://www.worldcat.org/oclc/11234951","WorldCat Record")</f>
        <v>WorldCat Record</v>
      </c>
      <c r="AU895" s="3" t="s">
        <v>11656</v>
      </c>
      <c r="AV895" s="3" t="s">
        <v>11657</v>
      </c>
      <c r="AW895" s="3" t="s">
        <v>11658</v>
      </c>
      <c r="AX895" s="3" t="s">
        <v>11658</v>
      </c>
      <c r="AY895" s="3" t="s">
        <v>11659</v>
      </c>
      <c r="AZ895" s="3" t="s">
        <v>74</v>
      </c>
      <c r="BB895" s="3" t="s">
        <v>11660</v>
      </c>
      <c r="BC895" s="3" t="s">
        <v>11661</v>
      </c>
      <c r="BD895" s="3" t="s">
        <v>11662</v>
      </c>
    </row>
    <row r="896" spans="1:56" ht="42.75" customHeight="1" x14ac:dyDescent="0.25">
      <c r="A896" s="7" t="s">
        <v>58</v>
      </c>
      <c r="B896" s="2" t="s">
        <v>11663</v>
      </c>
      <c r="C896" s="2" t="s">
        <v>11664</v>
      </c>
      <c r="D896" s="2" t="s">
        <v>11665</v>
      </c>
      <c r="F896" s="3" t="s">
        <v>58</v>
      </c>
      <c r="G896" s="3" t="s">
        <v>59</v>
      </c>
      <c r="H896" s="3" t="s">
        <v>58</v>
      </c>
      <c r="I896" s="3" t="s">
        <v>58</v>
      </c>
      <c r="J896" s="3" t="s">
        <v>60</v>
      </c>
      <c r="K896" s="2" t="s">
        <v>11666</v>
      </c>
      <c r="L896" s="2" t="s">
        <v>11667</v>
      </c>
      <c r="M896" s="3" t="s">
        <v>2770</v>
      </c>
      <c r="O896" s="3" t="s">
        <v>64</v>
      </c>
      <c r="P896" s="3" t="s">
        <v>115</v>
      </c>
      <c r="R896" s="3" t="s">
        <v>67</v>
      </c>
      <c r="S896" s="4">
        <v>3</v>
      </c>
      <c r="T896" s="4">
        <v>3</v>
      </c>
      <c r="U896" s="5" t="s">
        <v>11165</v>
      </c>
      <c r="V896" s="5" t="s">
        <v>11165</v>
      </c>
      <c r="W896" s="5" t="s">
        <v>8602</v>
      </c>
      <c r="X896" s="5" t="s">
        <v>8602</v>
      </c>
      <c r="Y896" s="4">
        <v>242</v>
      </c>
      <c r="Z896" s="4">
        <v>198</v>
      </c>
      <c r="AA896" s="4">
        <v>205</v>
      </c>
      <c r="AB896" s="4">
        <v>2</v>
      </c>
      <c r="AC896" s="4">
        <v>2</v>
      </c>
      <c r="AD896" s="4">
        <v>7</v>
      </c>
      <c r="AE896" s="4">
        <v>7</v>
      </c>
      <c r="AF896" s="4">
        <v>1</v>
      </c>
      <c r="AG896" s="4">
        <v>1</v>
      </c>
      <c r="AH896" s="4">
        <v>2</v>
      </c>
      <c r="AI896" s="4">
        <v>2</v>
      </c>
      <c r="AJ896" s="4">
        <v>5</v>
      </c>
      <c r="AK896" s="4">
        <v>5</v>
      </c>
      <c r="AL896" s="4">
        <v>1</v>
      </c>
      <c r="AM896" s="4">
        <v>1</v>
      </c>
      <c r="AN896" s="4">
        <v>0</v>
      </c>
      <c r="AO896" s="4">
        <v>0</v>
      </c>
      <c r="AP896" s="3" t="s">
        <v>58</v>
      </c>
      <c r="AQ896" s="3" t="s">
        <v>58</v>
      </c>
      <c r="AS896" s="6" t="str">
        <f>HYPERLINK("https://creighton-primo.hosted.exlibrisgroup.com/primo-explore/search?tab=default_tab&amp;search_scope=EVERYTHING&amp;vid=01CRU&amp;lang=en_US&amp;offset=0&amp;query=any,contains,991004150279702656","Catalog Record")</f>
        <v>Catalog Record</v>
      </c>
      <c r="AT896" s="6" t="str">
        <f>HYPERLINK("http://www.worldcat.org/oclc/2523427","WorldCat Record")</f>
        <v>WorldCat Record</v>
      </c>
      <c r="AU896" s="3" t="s">
        <v>11668</v>
      </c>
      <c r="AV896" s="3" t="s">
        <v>11669</v>
      </c>
      <c r="AW896" s="3" t="s">
        <v>11670</v>
      </c>
      <c r="AX896" s="3" t="s">
        <v>11670</v>
      </c>
      <c r="AY896" s="3" t="s">
        <v>11671</v>
      </c>
      <c r="AZ896" s="3" t="s">
        <v>74</v>
      </c>
      <c r="BB896" s="3" t="s">
        <v>11672</v>
      </c>
      <c r="BC896" s="3" t="s">
        <v>11673</v>
      </c>
      <c r="BD896" s="3" t="s">
        <v>11674</v>
      </c>
    </row>
    <row r="897" spans="1:56" ht="42.75" customHeight="1" x14ac:dyDescent="0.25">
      <c r="A897" s="7" t="s">
        <v>58</v>
      </c>
      <c r="B897" s="2" t="s">
        <v>11675</v>
      </c>
      <c r="C897" s="2" t="s">
        <v>11676</v>
      </c>
      <c r="D897" s="2" t="s">
        <v>11677</v>
      </c>
      <c r="F897" s="3" t="s">
        <v>58</v>
      </c>
      <c r="G897" s="3" t="s">
        <v>59</v>
      </c>
      <c r="H897" s="3" t="s">
        <v>58</v>
      </c>
      <c r="I897" s="3" t="s">
        <v>58</v>
      </c>
      <c r="J897" s="3" t="s">
        <v>60</v>
      </c>
      <c r="K897" s="2" t="s">
        <v>11678</v>
      </c>
      <c r="L897" s="2" t="s">
        <v>11679</v>
      </c>
      <c r="M897" s="3" t="s">
        <v>177</v>
      </c>
      <c r="O897" s="3" t="s">
        <v>64</v>
      </c>
      <c r="P897" s="3" t="s">
        <v>208</v>
      </c>
      <c r="R897" s="3" t="s">
        <v>67</v>
      </c>
      <c r="S897" s="4">
        <v>3</v>
      </c>
      <c r="T897" s="4">
        <v>3</v>
      </c>
      <c r="U897" s="5" t="s">
        <v>11680</v>
      </c>
      <c r="V897" s="5" t="s">
        <v>11680</v>
      </c>
      <c r="W897" s="5" t="s">
        <v>165</v>
      </c>
      <c r="X897" s="5" t="s">
        <v>165</v>
      </c>
      <c r="Y897" s="4">
        <v>511</v>
      </c>
      <c r="Z897" s="4">
        <v>450</v>
      </c>
      <c r="AA897" s="4">
        <v>497</v>
      </c>
      <c r="AB897" s="4">
        <v>3</v>
      </c>
      <c r="AC897" s="4">
        <v>4</v>
      </c>
      <c r="AD897" s="4">
        <v>13</v>
      </c>
      <c r="AE897" s="4">
        <v>14</v>
      </c>
      <c r="AF897" s="4">
        <v>2</v>
      </c>
      <c r="AG897" s="4">
        <v>2</v>
      </c>
      <c r="AH897" s="4">
        <v>2</v>
      </c>
      <c r="AI897" s="4">
        <v>2</v>
      </c>
      <c r="AJ897" s="4">
        <v>10</v>
      </c>
      <c r="AK897" s="4">
        <v>10</v>
      </c>
      <c r="AL897" s="4">
        <v>2</v>
      </c>
      <c r="AM897" s="4">
        <v>3</v>
      </c>
      <c r="AN897" s="4">
        <v>0</v>
      </c>
      <c r="AO897" s="4">
        <v>0</v>
      </c>
      <c r="AP897" s="3" t="s">
        <v>58</v>
      </c>
      <c r="AQ897" s="3" t="s">
        <v>86</v>
      </c>
      <c r="AR897" s="6" t="str">
        <f>HYPERLINK("http://catalog.hathitrust.org/Record/001564760","HathiTrust Record")</f>
        <v>HathiTrust Record</v>
      </c>
      <c r="AS897" s="6" t="str">
        <f>HYPERLINK("https://creighton-primo.hosted.exlibrisgroup.com/primo-explore/search?tab=default_tab&amp;search_scope=EVERYTHING&amp;vid=01CRU&amp;lang=en_US&amp;offset=0&amp;query=any,contains,991003274889702656","Catalog Record")</f>
        <v>Catalog Record</v>
      </c>
      <c r="AT897" s="6" t="str">
        <f>HYPERLINK("http://www.worldcat.org/oclc/799529","WorldCat Record")</f>
        <v>WorldCat Record</v>
      </c>
      <c r="AU897" s="3" t="s">
        <v>11681</v>
      </c>
      <c r="AV897" s="3" t="s">
        <v>11682</v>
      </c>
      <c r="AW897" s="3" t="s">
        <v>11683</v>
      </c>
      <c r="AX897" s="3" t="s">
        <v>11683</v>
      </c>
      <c r="AY897" s="3" t="s">
        <v>11684</v>
      </c>
      <c r="AZ897" s="3" t="s">
        <v>74</v>
      </c>
      <c r="BB897" s="3" t="s">
        <v>11685</v>
      </c>
      <c r="BC897" s="3" t="s">
        <v>11686</v>
      </c>
      <c r="BD897" s="3" t="s">
        <v>11687</v>
      </c>
    </row>
    <row r="898" spans="1:56" ht="42.75" customHeight="1" x14ac:dyDescent="0.25">
      <c r="A898" s="7" t="s">
        <v>58</v>
      </c>
      <c r="B898" s="2" t="s">
        <v>11688</v>
      </c>
      <c r="C898" s="2" t="s">
        <v>11689</v>
      </c>
      <c r="D898" s="2" t="s">
        <v>11690</v>
      </c>
      <c r="F898" s="3" t="s">
        <v>58</v>
      </c>
      <c r="G898" s="3" t="s">
        <v>59</v>
      </c>
      <c r="H898" s="3" t="s">
        <v>58</v>
      </c>
      <c r="I898" s="3" t="s">
        <v>58</v>
      </c>
      <c r="J898" s="3" t="s">
        <v>60</v>
      </c>
      <c r="K898" s="2" t="s">
        <v>11678</v>
      </c>
      <c r="L898" s="2" t="s">
        <v>11691</v>
      </c>
      <c r="M898" s="3" t="s">
        <v>163</v>
      </c>
      <c r="O898" s="3" t="s">
        <v>64</v>
      </c>
      <c r="P898" s="3" t="s">
        <v>208</v>
      </c>
      <c r="R898" s="3" t="s">
        <v>67</v>
      </c>
      <c r="S898" s="4">
        <v>9</v>
      </c>
      <c r="T898" s="4">
        <v>9</v>
      </c>
      <c r="U898" s="5" t="s">
        <v>11692</v>
      </c>
      <c r="V898" s="5" t="s">
        <v>11692</v>
      </c>
      <c r="W898" s="5" t="s">
        <v>11693</v>
      </c>
      <c r="X898" s="5" t="s">
        <v>11693</v>
      </c>
      <c r="Y898" s="4">
        <v>414</v>
      </c>
      <c r="Z898" s="4">
        <v>333</v>
      </c>
      <c r="AA898" s="4">
        <v>1957</v>
      </c>
      <c r="AB898" s="4">
        <v>5</v>
      </c>
      <c r="AC898" s="4">
        <v>16</v>
      </c>
      <c r="AD898" s="4">
        <v>10</v>
      </c>
      <c r="AE898" s="4">
        <v>40</v>
      </c>
      <c r="AF898" s="4">
        <v>1</v>
      </c>
      <c r="AG898" s="4">
        <v>16</v>
      </c>
      <c r="AH898" s="4">
        <v>2</v>
      </c>
      <c r="AI898" s="4">
        <v>8</v>
      </c>
      <c r="AJ898" s="4">
        <v>5</v>
      </c>
      <c r="AK898" s="4">
        <v>19</v>
      </c>
      <c r="AL898" s="4">
        <v>2</v>
      </c>
      <c r="AM898" s="4">
        <v>5</v>
      </c>
      <c r="AN898" s="4">
        <v>0</v>
      </c>
      <c r="AO898" s="4">
        <v>0</v>
      </c>
      <c r="AP898" s="3" t="s">
        <v>58</v>
      </c>
      <c r="AQ898" s="3" t="s">
        <v>86</v>
      </c>
      <c r="AR898" s="6" t="str">
        <f>HYPERLINK("http://catalog.hathitrust.org/Record/001564761","HathiTrust Record")</f>
        <v>HathiTrust Record</v>
      </c>
      <c r="AS898" s="6" t="str">
        <f>HYPERLINK("https://creighton-primo.hosted.exlibrisgroup.com/primo-explore/search?tab=default_tab&amp;search_scope=EVERYTHING&amp;vid=01CRU&amp;lang=en_US&amp;offset=0&amp;query=any,contains,991005266339702656","Catalog Record")</f>
        <v>Catalog Record</v>
      </c>
      <c r="AT898" s="6" t="str">
        <f>HYPERLINK("http://www.worldcat.org/oclc/6483420","WorldCat Record")</f>
        <v>WorldCat Record</v>
      </c>
      <c r="AU898" s="3" t="s">
        <v>11694</v>
      </c>
      <c r="AV898" s="3" t="s">
        <v>11695</v>
      </c>
      <c r="AW898" s="3" t="s">
        <v>11696</v>
      </c>
      <c r="AX898" s="3" t="s">
        <v>11696</v>
      </c>
      <c r="AY898" s="3" t="s">
        <v>11697</v>
      </c>
      <c r="AZ898" s="3" t="s">
        <v>74</v>
      </c>
      <c r="BB898" s="3" t="s">
        <v>11698</v>
      </c>
      <c r="BC898" s="3" t="s">
        <v>11699</v>
      </c>
      <c r="BD898" s="3" t="s">
        <v>11700</v>
      </c>
    </row>
    <row r="899" spans="1:56" ht="42.75" customHeight="1" x14ac:dyDescent="0.25">
      <c r="A899" s="7" t="s">
        <v>58</v>
      </c>
      <c r="B899" s="2" t="s">
        <v>11701</v>
      </c>
      <c r="C899" s="2" t="s">
        <v>11702</v>
      </c>
      <c r="D899" s="2" t="s">
        <v>11703</v>
      </c>
      <c r="F899" s="3" t="s">
        <v>58</v>
      </c>
      <c r="G899" s="3" t="s">
        <v>59</v>
      </c>
      <c r="H899" s="3" t="s">
        <v>58</v>
      </c>
      <c r="I899" s="3" t="s">
        <v>58</v>
      </c>
      <c r="J899" s="3" t="s">
        <v>60</v>
      </c>
      <c r="K899" s="2" t="s">
        <v>11704</v>
      </c>
      <c r="L899" s="2" t="s">
        <v>11705</v>
      </c>
      <c r="M899" s="3" t="s">
        <v>177</v>
      </c>
      <c r="O899" s="3" t="s">
        <v>64</v>
      </c>
      <c r="P899" s="3" t="s">
        <v>208</v>
      </c>
      <c r="R899" s="3" t="s">
        <v>67</v>
      </c>
      <c r="S899" s="4">
        <v>4</v>
      </c>
      <c r="T899" s="4">
        <v>4</v>
      </c>
      <c r="U899" s="5" t="s">
        <v>11706</v>
      </c>
      <c r="V899" s="5" t="s">
        <v>11706</v>
      </c>
      <c r="W899" s="5" t="s">
        <v>11707</v>
      </c>
      <c r="X899" s="5" t="s">
        <v>11707</v>
      </c>
      <c r="Y899" s="4">
        <v>320</v>
      </c>
      <c r="Z899" s="4">
        <v>232</v>
      </c>
      <c r="AA899" s="4">
        <v>234</v>
      </c>
      <c r="AB899" s="4">
        <v>2</v>
      </c>
      <c r="AC899" s="4">
        <v>2</v>
      </c>
      <c r="AD899" s="4">
        <v>5</v>
      </c>
      <c r="AE899" s="4">
        <v>5</v>
      </c>
      <c r="AF899" s="4">
        <v>2</v>
      </c>
      <c r="AG899" s="4">
        <v>2</v>
      </c>
      <c r="AH899" s="4">
        <v>1</v>
      </c>
      <c r="AI899" s="4">
        <v>1</v>
      </c>
      <c r="AJ899" s="4">
        <v>4</v>
      </c>
      <c r="AK899" s="4">
        <v>4</v>
      </c>
      <c r="AL899" s="4">
        <v>0</v>
      </c>
      <c r="AM899" s="4">
        <v>0</v>
      </c>
      <c r="AN899" s="4">
        <v>0</v>
      </c>
      <c r="AO899" s="4">
        <v>0</v>
      </c>
      <c r="AP899" s="3" t="s">
        <v>58</v>
      </c>
      <c r="AQ899" s="3" t="s">
        <v>86</v>
      </c>
      <c r="AR899" s="6" t="str">
        <f>HYPERLINK("http://catalog.hathitrust.org/Record/008161478","HathiTrust Record")</f>
        <v>HathiTrust Record</v>
      </c>
      <c r="AS899" s="6" t="str">
        <f>HYPERLINK("https://creighton-primo.hosted.exlibrisgroup.com/primo-explore/search?tab=default_tab&amp;search_scope=EVERYTHING&amp;vid=01CRU&amp;lang=en_US&amp;offset=0&amp;query=any,contains,991003340679702656","Catalog Record")</f>
        <v>Catalog Record</v>
      </c>
      <c r="AT899" s="6" t="str">
        <f>HYPERLINK("http://www.worldcat.org/oclc/871656","WorldCat Record")</f>
        <v>WorldCat Record</v>
      </c>
      <c r="AU899" s="3" t="s">
        <v>11708</v>
      </c>
      <c r="AV899" s="3" t="s">
        <v>11709</v>
      </c>
      <c r="AW899" s="3" t="s">
        <v>11710</v>
      </c>
      <c r="AX899" s="3" t="s">
        <v>11710</v>
      </c>
      <c r="AY899" s="3" t="s">
        <v>11711</v>
      </c>
      <c r="AZ899" s="3" t="s">
        <v>74</v>
      </c>
      <c r="BC899" s="3" t="s">
        <v>11712</v>
      </c>
      <c r="BD899" s="3" t="s">
        <v>11713</v>
      </c>
    </row>
    <row r="900" spans="1:56" ht="42.75" customHeight="1" x14ac:dyDescent="0.25">
      <c r="A900" s="7" t="s">
        <v>58</v>
      </c>
      <c r="B900" s="2" t="s">
        <v>11714</v>
      </c>
      <c r="C900" s="2" t="s">
        <v>11715</v>
      </c>
      <c r="D900" s="2" t="s">
        <v>11716</v>
      </c>
      <c r="F900" s="3" t="s">
        <v>58</v>
      </c>
      <c r="G900" s="3" t="s">
        <v>59</v>
      </c>
      <c r="H900" s="3" t="s">
        <v>58</v>
      </c>
      <c r="I900" s="3" t="s">
        <v>58</v>
      </c>
      <c r="J900" s="3" t="s">
        <v>60</v>
      </c>
      <c r="K900" s="2" t="s">
        <v>11717</v>
      </c>
      <c r="L900" s="2" t="s">
        <v>11718</v>
      </c>
      <c r="M900" s="3" t="s">
        <v>2386</v>
      </c>
      <c r="O900" s="3" t="s">
        <v>64</v>
      </c>
      <c r="P900" s="3" t="s">
        <v>115</v>
      </c>
      <c r="R900" s="3" t="s">
        <v>67</v>
      </c>
      <c r="S900" s="4">
        <v>2</v>
      </c>
      <c r="T900" s="4">
        <v>2</v>
      </c>
      <c r="U900" s="5" t="s">
        <v>11706</v>
      </c>
      <c r="V900" s="5" t="s">
        <v>11706</v>
      </c>
      <c r="W900" s="5" t="s">
        <v>11719</v>
      </c>
      <c r="X900" s="5" t="s">
        <v>11719</v>
      </c>
      <c r="Y900" s="4">
        <v>759</v>
      </c>
      <c r="Z900" s="4">
        <v>673</v>
      </c>
      <c r="AA900" s="4">
        <v>881</v>
      </c>
      <c r="AB900" s="4">
        <v>8</v>
      </c>
      <c r="AC900" s="4">
        <v>10</v>
      </c>
      <c r="AD900" s="4">
        <v>20</v>
      </c>
      <c r="AE900" s="4">
        <v>27</v>
      </c>
      <c r="AF900" s="4">
        <v>6</v>
      </c>
      <c r="AG900" s="4">
        <v>11</v>
      </c>
      <c r="AH900" s="4">
        <v>3</v>
      </c>
      <c r="AI900" s="4">
        <v>4</v>
      </c>
      <c r="AJ900" s="4">
        <v>9</v>
      </c>
      <c r="AK900" s="4">
        <v>12</v>
      </c>
      <c r="AL900" s="4">
        <v>3</v>
      </c>
      <c r="AM900" s="4">
        <v>5</v>
      </c>
      <c r="AN900" s="4">
        <v>1</v>
      </c>
      <c r="AO900" s="4">
        <v>1</v>
      </c>
      <c r="AP900" s="3" t="s">
        <v>58</v>
      </c>
      <c r="AQ900" s="3" t="s">
        <v>86</v>
      </c>
      <c r="AR900" s="6" t="str">
        <f>HYPERLINK("http://catalog.hathitrust.org/Record/001564763","HathiTrust Record")</f>
        <v>HathiTrust Record</v>
      </c>
      <c r="AS900" s="6" t="str">
        <f>HYPERLINK("https://creighton-primo.hosted.exlibrisgroup.com/primo-explore/search?tab=default_tab&amp;search_scope=EVERYTHING&amp;vid=01CRU&amp;lang=en_US&amp;offset=0&amp;query=any,contains,991003507159702656","Catalog Record")</f>
        <v>Catalog Record</v>
      </c>
      <c r="AT900" s="6" t="str">
        <f>HYPERLINK("http://www.worldcat.org/oclc/1059763","WorldCat Record")</f>
        <v>WorldCat Record</v>
      </c>
      <c r="AU900" s="3" t="s">
        <v>11720</v>
      </c>
      <c r="AV900" s="3" t="s">
        <v>11721</v>
      </c>
      <c r="AW900" s="3" t="s">
        <v>11722</v>
      </c>
      <c r="AX900" s="3" t="s">
        <v>11722</v>
      </c>
      <c r="AY900" s="3" t="s">
        <v>11723</v>
      </c>
      <c r="AZ900" s="3" t="s">
        <v>74</v>
      </c>
      <c r="BB900" s="3" t="s">
        <v>11724</v>
      </c>
      <c r="BC900" s="3" t="s">
        <v>11725</v>
      </c>
      <c r="BD900" s="3" t="s">
        <v>11726</v>
      </c>
    </row>
    <row r="901" spans="1:56" ht="42.75" customHeight="1" x14ac:dyDescent="0.25">
      <c r="A901" s="7" t="s">
        <v>58</v>
      </c>
      <c r="B901" s="2" t="s">
        <v>11727</v>
      </c>
      <c r="C901" s="2" t="s">
        <v>11728</v>
      </c>
      <c r="D901" s="2" t="s">
        <v>11729</v>
      </c>
      <c r="F901" s="3" t="s">
        <v>58</v>
      </c>
      <c r="G901" s="3" t="s">
        <v>59</v>
      </c>
      <c r="H901" s="3" t="s">
        <v>58</v>
      </c>
      <c r="I901" s="3" t="s">
        <v>58</v>
      </c>
      <c r="J901" s="3" t="s">
        <v>60</v>
      </c>
      <c r="K901" s="2" t="s">
        <v>11730</v>
      </c>
      <c r="L901" s="2" t="s">
        <v>11731</v>
      </c>
      <c r="M901" s="3" t="s">
        <v>223</v>
      </c>
      <c r="O901" s="3" t="s">
        <v>64</v>
      </c>
      <c r="P901" s="3" t="s">
        <v>115</v>
      </c>
      <c r="R901" s="3" t="s">
        <v>67</v>
      </c>
      <c r="S901" s="4">
        <v>3</v>
      </c>
      <c r="T901" s="4">
        <v>3</v>
      </c>
      <c r="U901" s="5" t="s">
        <v>11732</v>
      </c>
      <c r="V901" s="5" t="s">
        <v>11732</v>
      </c>
      <c r="W901" s="5" t="s">
        <v>8158</v>
      </c>
      <c r="X901" s="5" t="s">
        <v>8158</v>
      </c>
      <c r="Y901" s="4">
        <v>426</v>
      </c>
      <c r="Z901" s="4">
        <v>362</v>
      </c>
      <c r="AA901" s="4">
        <v>404</v>
      </c>
      <c r="AB901" s="4">
        <v>3</v>
      </c>
      <c r="AC901" s="4">
        <v>4</v>
      </c>
      <c r="AD901" s="4">
        <v>11</v>
      </c>
      <c r="AE901" s="4">
        <v>12</v>
      </c>
      <c r="AF901" s="4">
        <v>3</v>
      </c>
      <c r="AG901" s="4">
        <v>3</v>
      </c>
      <c r="AH901" s="4">
        <v>0</v>
      </c>
      <c r="AI901" s="4">
        <v>0</v>
      </c>
      <c r="AJ901" s="4">
        <v>7</v>
      </c>
      <c r="AK901" s="4">
        <v>7</v>
      </c>
      <c r="AL901" s="4">
        <v>2</v>
      </c>
      <c r="AM901" s="4">
        <v>3</v>
      </c>
      <c r="AN901" s="4">
        <v>0</v>
      </c>
      <c r="AO901" s="4">
        <v>0</v>
      </c>
      <c r="AP901" s="3" t="s">
        <v>58</v>
      </c>
      <c r="AQ901" s="3" t="s">
        <v>58</v>
      </c>
      <c r="AS901" s="6" t="str">
        <f>HYPERLINK("https://creighton-primo.hosted.exlibrisgroup.com/primo-explore/search?tab=default_tab&amp;search_scope=EVERYTHING&amp;vid=01CRU&amp;lang=en_US&amp;offset=0&amp;query=any,contains,991004535069702656","Catalog Record")</f>
        <v>Catalog Record</v>
      </c>
      <c r="AT901" s="6" t="str">
        <f>HYPERLINK("http://www.worldcat.org/oclc/3869218","WorldCat Record")</f>
        <v>WorldCat Record</v>
      </c>
      <c r="AU901" s="3" t="s">
        <v>11733</v>
      </c>
      <c r="AV901" s="3" t="s">
        <v>11734</v>
      </c>
      <c r="AW901" s="3" t="s">
        <v>11735</v>
      </c>
      <c r="AX901" s="3" t="s">
        <v>11735</v>
      </c>
      <c r="AY901" s="3" t="s">
        <v>11736</v>
      </c>
      <c r="AZ901" s="3" t="s">
        <v>74</v>
      </c>
      <c r="BB901" s="3" t="s">
        <v>11737</v>
      </c>
      <c r="BC901" s="3" t="s">
        <v>11738</v>
      </c>
      <c r="BD901" s="3" t="s">
        <v>11739</v>
      </c>
    </row>
    <row r="902" spans="1:56" ht="42.75" customHeight="1" x14ac:dyDescent="0.25">
      <c r="A902" s="7" t="s">
        <v>58</v>
      </c>
      <c r="B902" s="2" t="s">
        <v>11740</v>
      </c>
      <c r="C902" s="2" t="s">
        <v>11741</v>
      </c>
      <c r="D902" s="2" t="s">
        <v>11742</v>
      </c>
      <c r="F902" s="3" t="s">
        <v>58</v>
      </c>
      <c r="G902" s="3" t="s">
        <v>59</v>
      </c>
      <c r="H902" s="3" t="s">
        <v>58</v>
      </c>
      <c r="I902" s="3" t="s">
        <v>58</v>
      </c>
      <c r="J902" s="3" t="s">
        <v>60</v>
      </c>
      <c r="K902" s="2" t="s">
        <v>11743</v>
      </c>
      <c r="L902" s="2" t="s">
        <v>3747</v>
      </c>
      <c r="M902" s="3" t="s">
        <v>344</v>
      </c>
      <c r="O902" s="3" t="s">
        <v>64</v>
      </c>
      <c r="P902" s="3" t="s">
        <v>83</v>
      </c>
      <c r="R902" s="3" t="s">
        <v>67</v>
      </c>
      <c r="S902" s="4">
        <v>3</v>
      </c>
      <c r="T902" s="4">
        <v>3</v>
      </c>
      <c r="U902" s="5" t="s">
        <v>9417</v>
      </c>
      <c r="V902" s="5" t="s">
        <v>9417</v>
      </c>
      <c r="W902" s="5" t="s">
        <v>210</v>
      </c>
      <c r="X902" s="5" t="s">
        <v>210</v>
      </c>
      <c r="Y902" s="4">
        <v>189</v>
      </c>
      <c r="Z902" s="4">
        <v>165</v>
      </c>
      <c r="AA902" s="4">
        <v>170</v>
      </c>
      <c r="AB902" s="4">
        <v>2</v>
      </c>
      <c r="AC902" s="4">
        <v>2</v>
      </c>
      <c r="AD902" s="4">
        <v>6</v>
      </c>
      <c r="AE902" s="4">
        <v>6</v>
      </c>
      <c r="AF902" s="4">
        <v>1</v>
      </c>
      <c r="AG902" s="4">
        <v>1</v>
      </c>
      <c r="AH902" s="4">
        <v>1</v>
      </c>
      <c r="AI902" s="4">
        <v>1</v>
      </c>
      <c r="AJ902" s="4">
        <v>4</v>
      </c>
      <c r="AK902" s="4">
        <v>4</v>
      </c>
      <c r="AL902" s="4">
        <v>1</v>
      </c>
      <c r="AM902" s="4">
        <v>1</v>
      </c>
      <c r="AN902" s="4">
        <v>0</v>
      </c>
      <c r="AO902" s="4">
        <v>0</v>
      </c>
      <c r="AP902" s="3" t="s">
        <v>58</v>
      </c>
      <c r="AQ902" s="3" t="s">
        <v>58</v>
      </c>
      <c r="AS902" s="6" t="str">
        <f>HYPERLINK("https://creighton-primo.hosted.exlibrisgroup.com/primo-explore/search?tab=default_tab&amp;search_scope=EVERYTHING&amp;vid=01CRU&amp;lang=en_US&amp;offset=0&amp;query=any,contains,991004961389702656","Catalog Record")</f>
        <v>Catalog Record</v>
      </c>
      <c r="AT902" s="6" t="str">
        <f>HYPERLINK("http://www.worldcat.org/oclc/6305227","WorldCat Record")</f>
        <v>WorldCat Record</v>
      </c>
      <c r="AU902" s="3" t="s">
        <v>11744</v>
      </c>
      <c r="AV902" s="3" t="s">
        <v>11745</v>
      </c>
      <c r="AW902" s="3" t="s">
        <v>11746</v>
      </c>
      <c r="AX902" s="3" t="s">
        <v>11746</v>
      </c>
      <c r="AY902" s="3" t="s">
        <v>11747</v>
      </c>
      <c r="AZ902" s="3" t="s">
        <v>74</v>
      </c>
      <c r="BB902" s="3" t="s">
        <v>11748</v>
      </c>
      <c r="BC902" s="3" t="s">
        <v>11749</v>
      </c>
      <c r="BD902" s="3" t="s">
        <v>11750</v>
      </c>
    </row>
    <row r="903" spans="1:56" ht="42.75" customHeight="1" x14ac:dyDescent="0.25">
      <c r="A903" s="7" t="s">
        <v>58</v>
      </c>
      <c r="B903" s="2" t="s">
        <v>11751</v>
      </c>
      <c r="C903" s="2" t="s">
        <v>11752</v>
      </c>
      <c r="D903" s="2" t="s">
        <v>11753</v>
      </c>
      <c r="F903" s="3" t="s">
        <v>58</v>
      </c>
      <c r="G903" s="3" t="s">
        <v>59</v>
      </c>
      <c r="H903" s="3" t="s">
        <v>58</v>
      </c>
      <c r="I903" s="3" t="s">
        <v>58</v>
      </c>
      <c r="J903" s="3" t="s">
        <v>60</v>
      </c>
      <c r="K903" s="2" t="s">
        <v>11754</v>
      </c>
      <c r="L903" s="2" t="s">
        <v>11755</v>
      </c>
      <c r="M903" s="3" t="s">
        <v>480</v>
      </c>
      <c r="N903" s="2" t="s">
        <v>1736</v>
      </c>
      <c r="O903" s="3" t="s">
        <v>64</v>
      </c>
      <c r="P903" s="3" t="s">
        <v>115</v>
      </c>
      <c r="R903" s="3" t="s">
        <v>67</v>
      </c>
      <c r="S903" s="4">
        <v>8</v>
      </c>
      <c r="T903" s="4">
        <v>8</v>
      </c>
      <c r="U903" s="5" t="s">
        <v>11756</v>
      </c>
      <c r="V903" s="5" t="s">
        <v>11756</v>
      </c>
      <c r="W903" s="5" t="s">
        <v>11757</v>
      </c>
      <c r="X903" s="5" t="s">
        <v>11757</v>
      </c>
      <c r="Y903" s="4">
        <v>1806</v>
      </c>
      <c r="Z903" s="4">
        <v>1715</v>
      </c>
      <c r="AA903" s="4">
        <v>1863</v>
      </c>
      <c r="AB903" s="4">
        <v>18</v>
      </c>
      <c r="AC903" s="4">
        <v>19</v>
      </c>
      <c r="AD903" s="4">
        <v>38</v>
      </c>
      <c r="AE903" s="4">
        <v>39</v>
      </c>
      <c r="AF903" s="4">
        <v>14</v>
      </c>
      <c r="AG903" s="4">
        <v>14</v>
      </c>
      <c r="AH903" s="4">
        <v>8</v>
      </c>
      <c r="AI903" s="4">
        <v>8</v>
      </c>
      <c r="AJ903" s="4">
        <v>15</v>
      </c>
      <c r="AK903" s="4">
        <v>15</v>
      </c>
      <c r="AL903" s="4">
        <v>8</v>
      </c>
      <c r="AM903" s="4">
        <v>9</v>
      </c>
      <c r="AN903" s="4">
        <v>1</v>
      </c>
      <c r="AO903" s="4">
        <v>1</v>
      </c>
      <c r="AP903" s="3" t="s">
        <v>58</v>
      </c>
      <c r="AQ903" s="3" t="s">
        <v>58</v>
      </c>
      <c r="AS903" s="6" t="str">
        <f>HYPERLINK("https://creighton-primo.hosted.exlibrisgroup.com/primo-explore/search?tab=default_tab&amp;search_scope=EVERYTHING&amp;vid=01CRU&amp;lang=en_US&amp;offset=0&amp;query=any,contains,991001478349702656","Catalog Record")</f>
        <v>Catalog Record</v>
      </c>
      <c r="AT903" s="6" t="str">
        <f>HYPERLINK("http://www.worldcat.org/oclc/19590008","WorldCat Record")</f>
        <v>WorldCat Record</v>
      </c>
      <c r="AU903" s="3" t="s">
        <v>11758</v>
      </c>
      <c r="AV903" s="3" t="s">
        <v>11759</v>
      </c>
      <c r="AW903" s="3" t="s">
        <v>11760</v>
      </c>
      <c r="AX903" s="3" t="s">
        <v>11760</v>
      </c>
      <c r="AY903" s="3" t="s">
        <v>11761</v>
      </c>
      <c r="AZ903" s="3" t="s">
        <v>74</v>
      </c>
      <c r="BB903" s="3" t="s">
        <v>11762</v>
      </c>
      <c r="BC903" s="3" t="s">
        <v>11763</v>
      </c>
      <c r="BD903" s="3" t="s">
        <v>11764</v>
      </c>
    </row>
    <row r="904" spans="1:56" ht="42.75" customHeight="1" x14ac:dyDescent="0.25">
      <c r="A904" s="7" t="s">
        <v>58</v>
      </c>
      <c r="B904" s="2" t="s">
        <v>11765</v>
      </c>
      <c r="C904" s="2" t="s">
        <v>11766</v>
      </c>
      <c r="D904" s="2" t="s">
        <v>11767</v>
      </c>
      <c r="F904" s="3" t="s">
        <v>58</v>
      </c>
      <c r="G904" s="3" t="s">
        <v>59</v>
      </c>
      <c r="H904" s="3" t="s">
        <v>58</v>
      </c>
      <c r="I904" s="3" t="s">
        <v>58</v>
      </c>
      <c r="J904" s="3" t="s">
        <v>60</v>
      </c>
      <c r="K904" s="2" t="s">
        <v>11768</v>
      </c>
      <c r="L904" s="2" t="s">
        <v>11769</v>
      </c>
      <c r="M904" s="3" t="s">
        <v>586</v>
      </c>
      <c r="N904" s="2" t="s">
        <v>1736</v>
      </c>
      <c r="O904" s="3" t="s">
        <v>64</v>
      </c>
      <c r="P904" s="3" t="s">
        <v>115</v>
      </c>
      <c r="R904" s="3" t="s">
        <v>67</v>
      </c>
      <c r="S904" s="4">
        <v>26</v>
      </c>
      <c r="T904" s="4">
        <v>26</v>
      </c>
      <c r="U904" s="5" t="s">
        <v>11770</v>
      </c>
      <c r="V904" s="5" t="s">
        <v>11770</v>
      </c>
      <c r="W904" s="5" t="s">
        <v>10558</v>
      </c>
      <c r="X904" s="5" t="s">
        <v>10558</v>
      </c>
      <c r="Y904" s="4">
        <v>296</v>
      </c>
      <c r="Z904" s="4">
        <v>280</v>
      </c>
      <c r="AA904" s="4">
        <v>318</v>
      </c>
      <c r="AB904" s="4">
        <v>2</v>
      </c>
      <c r="AC904" s="4">
        <v>2</v>
      </c>
      <c r="AD904" s="4">
        <v>6</v>
      </c>
      <c r="AE904" s="4">
        <v>6</v>
      </c>
      <c r="AF904" s="4">
        <v>2</v>
      </c>
      <c r="AG904" s="4">
        <v>2</v>
      </c>
      <c r="AH904" s="4">
        <v>0</v>
      </c>
      <c r="AI904" s="4">
        <v>0</v>
      </c>
      <c r="AJ904" s="4">
        <v>5</v>
      </c>
      <c r="AK904" s="4">
        <v>5</v>
      </c>
      <c r="AL904" s="4">
        <v>0</v>
      </c>
      <c r="AM904" s="4">
        <v>0</v>
      </c>
      <c r="AN904" s="4">
        <v>0</v>
      </c>
      <c r="AO904" s="4">
        <v>0</v>
      </c>
      <c r="AP904" s="3" t="s">
        <v>58</v>
      </c>
      <c r="AQ904" s="3" t="s">
        <v>58</v>
      </c>
      <c r="AS904" s="6" t="str">
        <f>HYPERLINK("https://creighton-primo.hosted.exlibrisgroup.com/primo-explore/search?tab=default_tab&amp;search_scope=EVERYTHING&amp;vid=01CRU&amp;lang=en_US&amp;offset=0&amp;query=any,contains,991001867689702656","Catalog Record")</f>
        <v>Catalog Record</v>
      </c>
      <c r="AT904" s="6" t="str">
        <f>HYPERLINK("http://www.worldcat.org/oclc/23470056","WorldCat Record")</f>
        <v>WorldCat Record</v>
      </c>
      <c r="AU904" s="3" t="s">
        <v>11771</v>
      </c>
      <c r="AV904" s="3" t="s">
        <v>11772</v>
      </c>
      <c r="AW904" s="3" t="s">
        <v>11773</v>
      </c>
      <c r="AX904" s="3" t="s">
        <v>11773</v>
      </c>
      <c r="AY904" s="3" t="s">
        <v>11774</v>
      </c>
      <c r="AZ904" s="3" t="s">
        <v>74</v>
      </c>
      <c r="BB904" s="3" t="s">
        <v>11775</v>
      </c>
      <c r="BC904" s="3" t="s">
        <v>11776</v>
      </c>
      <c r="BD904" s="3" t="s">
        <v>11777</v>
      </c>
    </row>
    <row r="905" spans="1:56" ht="42.75" customHeight="1" x14ac:dyDescent="0.25">
      <c r="A905" s="7" t="s">
        <v>58</v>
      </c>
      <c r="B905" s="2" t="s">
        <v>11778</v>
      </c>
      <c r="C905" s="2" t="s">
        <v>11779</v>
      </c>
      <c r="D905" s="2" t="s">
        <v>11780</v>
      </c>
      <c r="F905" s="3" t="s">
        <v>58</v>
      </c>
      <c r="G905" s="3" t="s">
        <v>59</v>
      </c>
      <c r="H905" s="3" t="s">
        <v>58</v>
      </c>
      <c r="I905" s="3" t="s">
        <v>58</v>
      </c>
      <c r="J905" s="3" t="s">
        <v>60</v>
      </c>
      <c r="K905" s="2" t="s">
        <v>11781</v>
      </c>
      <c r="L905" s="2" t="s">
        <v>11782</v>
      </c>
      <c r="M905" s="3" t="s">
        <v>82</v>
      </c>
      <c r="O905" s="3" t="s">
        <v>64</v>
      </c>
      <c r="P905" s="3" t="s">
        <v>115</v>
      </c>
      <c r="R905" s="3" t="s">
        <v>67</v>
      </c>
      <c r="S905" s="4">
        <v>2</v>
      </c>
      <c r="T905" s="4">
        <v>2</v>
      </c>
      <c r="U905" s="5" t="s">
        <v>4136</v>
      </c>
      <c r="V905" s="5" t="s">
        <v>4136</v>
      </c>
      <c r="W905" s="5" t="s">
        <v>7013</v>
      </c>
      <c r="X905" s="5" t="s">
        <v>7013</v>
      </c>
      <c r="Y905" s="4">
        <v>112</v>
      </c>
      <c r="Z905" s="4">
        <v>76</v>
      </c>
      <c r="AA905" s="4">
        <v>102</v>
      </c>
      <c r="AB905" s="4">
        <v>1</v>
      </c>
      <c r="AC905" s="4">
        <v>1</v>
      </c>
      <c r="AD905" s="4">
        <v>4</v>
      </c>
      <c r="AE905" s="4">
        <v>5</v>
      </c>
      <c r="AF905" s="4">
        <v>2</v>
      </c>
      <c r="AG905" s="4">
        <v>3</v>
      </c>
      <c r="AH905" s="4">
        <v>1</v>
      </c>
      <c r="AI905" s="4">
        <v>2</v>
      </c>
      <c r="AJ905" s="4">
        <v>3</v>
      </c>
      <c r="AK905" s="4">
        <v>3</v>
      </c>
      <c r="AL905" s="4">
        <v>0</v>
      </c>
      <c r="AM905" s="4">
        <v>0</v>
      </c>
      <c r="AN905" s="4">
        <v>0</v>
      </c>
      <c r="AO905" s="4">
        <v>0</v>
      </c>
      <c r="AP905" s="3" t="s">
        <v>58</v>
      </c>
      <c r="AQ905" s="3" t="s">
        <v>86</v>
      </c>
      <c r="AR905" s="6" t="str">
        <f>HYPERLINK("http://catalog.hathitrust.org/Record/000874395","HathiTrust Record")</f>
        <v>HathiTrust Record</v>
      </c>
      <c r="AS905" s="6" t="str">
        <f>HYPERLINK("https://creighton-primo.hosted.exlibrisgroup.com/primo-explore/search?tab=default_tab&amp;search_scope=EVERYTHING&amp;vid=01CRU&amp;lang=en_US&amp;offset=0&amp;query=any,contains,991001164989702656","Catalog Record")</f>
        <v>Catalog Record</v>
      </c>
      <c r="AT905" s="6" t="str">
        <f>HYPERLINK("http://www.worldcat.org/oclc/16922666","WorldCat Record")</f>
        <v>WorldCat Record</v>
      </c>
      <c r="AU905" s="3" t="s">
        <v>11783</v>
      </c>
      <c r="AV905" s="3" t="s">
        <v>11784</v>
      </c>
      <c r="AW905" s="3" t="s">
        <v>11785</v>
      </c>
      <c r="AX905" s="3" t="s">
        <v>11785</v>
      </c>
      <c r="AY905" s="3" t="s">
        <v>11786</v>
      </c>
      <c r="AZ905" s="3" t="s">
        <v>74</v>
      </c>
      <c r="BB905" s="3" t="s">
        <v>11787</v>
      </c>
      <c r="BC905" s="3" t="s">
        <v>11788</v>
      </c>
      <c r="BD905" s="3" t="s">
        <v>11789</v>
      </c>
    </row>
    <row r="906" spans="1:56" ht="42.75" customHeight="1" x14ac:dyDescent="0.25">
      <c r="A906" s="7" t="s">
        <v>58</v>
      </c>
      <c r="B906" s="2" t="s">
        <v>11790</v>
      </c>
      <c r="C906" s="2" t="s">
        <v>11791</v>
      </c>
      <c r="D906" s="2" t="s">
        <v>11792</v>
      </c>
      <c r="F906" s="3" t="s">
        <v>58</v>
      </c>
      <c r="G906" s="3" t="s">
        <v>59</v>
      </c>
      <c r="H906" s="3" t="s">
        <v>58</v>
      </c>
      <c r="I906" s="3" t="s">
        <v>58</v>
      </c>
      <c r="J906" s="3" t="s">
        <v>60</v>
      </c>
      <c r="L906" s="2" t="s">
        <v>11793</v>
      </c>
      <c r="M906" s="3" t="s">
        <v>805</v>
      </c>
      <c r="O906" s="3" t="s">
        <v>64</v>
      </c>
      <c r="P906" s="3" t="s">
        <v>254</v>
      </c>
      <c r="R906" s="3" t="s">
        <v>67</v>
      </c>
      <c r="S906" s="4">
        <v>28</v>
      </c>
      <c r="T906" s="4">
        <v>28</v>
      </c>
      <c r="U906" s="5" t="s">
        <v>11794</v>
      </c>
      <c r="V906" s="5" t="s">
        <v>11794</v>
      </c>
      <c r="W906" s="5" t="s">
        <v>7667</v>
      </c>
      <c r="X906" s="5" t="s">
        <v>7667</v>
      </c>
      <c r="Y906" s="4">
        <v>302</v>
      </c>
      <c r="Z906" s="4">
        <v>205</v>
      </c>
      <c r="AA906" s="4">
        <v>378</v>
      </c>
      <c r="AB906" s="4">
        <v>3</v>
      </c>
      <c r="AC906" s="4">
        <v>4</v>
      </c>
      <c r="AD906" s="4">
        <v>15</v>
      </c>
      <c r="AE906" s="4">
        <v>17</v>
      </c>
      <c r="AF906" s="4">
        <v>5</v>
      </c>
      <c r="AG906" s="4">
        <v>6</v>
      </c>
      <c r="AH906" s="4">
        <v>4</v>
      </c>
      <c r="AI906" s="4">
        <v>4</v>
      </c>
      <c r="AJ906" s="4">
        <v>9</v>
      </c>
      <c r="AK906" s="4">
        <v>10</v>
      </c>
      <c r="AL906" s="4">
        <v>2</v>
      </c>
      <c r="AM906" s="4">
        <v>3</v>
      </c>
      <c r="AN906" s="4">
        <v>0</v>
      </c>
      <c r="AO906" s="4">
        <v>0</v>
      </c>
      <c r="AP906" s="3" t="s">
        <v>58</v>
      </c>
      <c r="AQ906" s="3" t="s">
        <v>58</v>
      </c>
      <c r="AS906" s="6" t="str">
        <f>HYPERLINK("https://creighton-primo.hosted.exlibrisgroup.com/primo-explore/search?tab=default_tab&amp;search_scope=EVERYTHING&amp;vid=01CRU&amp;lang=en_US&amp;offset=0&amp;query=any,contains,991002471009702656","Catalog Record")</f>
        <v>Catalog Record</v>
      </c>
      <c r="AT906" s="6" t="str">
        <f>HYPERLINK("http://www.worldcat.org/oclc/32169212","WorldCat Record")</f>
        <v>WorldCat Record</v>
      </c>
      <c r="AU906" s="3" t="s">
        <v>11795</v>
      </c>
      <c r="AV906" s="3" t="s">
        <v>11796</v>
      </c>
      <c r="AW906" s="3" t="s">
        <v>11797</v>
      </c>
      <c r="AX906" s="3" t="s">
        <v>11797</v>
      </c>
      <c r="AY906" s="3" t="s">
        <v>11798</v>
      </c>
      <c r="AZ906" s="3" t="s">
        <v>74</v>
      </c>
      <c r="BB906" s="3" t="s">
        <v>11799</v>
      </c>
      <c r="BC906" s="3" t="s">
        <v>11800</v>
      </c>
      <c r="BD906" s="3" t="s">
        <v>11801</v>
      </c>
    </row>
    <row r="907" spans="1:56" ht="42.75" customHeight="1" x14ac:dyDescent="0.25">
      <c r="A907" s="7" t="s">
        <v>58</v>
      </c>
      <c r="B907" s="2" t="s">
        <v>11802</v>
      </c>
      <c r="C907" s="2" t="s">
        <v>11803</v>
      </c>
      <c r="D907" s="2" t="s">
        <v>11804</v>
      </c>
      <c r="F907" s="3" t="s">
        <v>58</v>
      </c>
      <c r="G907" s="3" t="s">
        <v>59</v>
      </c>
      <c r="H907" s="3" t="s">
        <v>86</v>
      </c>
      <c r="I907" s="3" t="s">
        <v>58</v>
      </c>
      <c r="J907" s="3" t="s">
        <v>60</v>
      </c>
      <c r="K907" s="2" t="s">
        <v>11805</v>
      </c>
      <c r="L907" s="2" t="s">
        <v>11806</v>
      </c>
      <c r="M907" s="3" t="s">
        <v>2770</v>
      </c>
      <c r="O907" s="3" t="s">
        <v>64</v>
      </c>
      <c r="P907" s="3" t="s">
        <v>115</v>
      </c>
      <c r="Q907" s="2" t="s">
        <v>11807</v>
      </c>
      <c r="R907" s="3" t="s">
        <v>67</v>
      </c>
      <c r="S907" s="4">
        <v>1</v>
      </c>
      <c r="T907" s="4">
        <v>4</v>
      </c>
      <c r="V907" s="5" t="s">
        <v>11808</v>
      </c>
      <c r="W907" s="5" t="s">
        <v>117</v>
      </c>
      <c r="X907" s="5" t="s">
        <v>117</v>
      </c>
      <c r="Y907" s="4">
        <v>353</v>
      </c>
      <c r="Z907" s="4">
        <v>249</v>
      </c>
      <c r="AA907" s="4">
        <v>270</v>
      </c>
      <c r="AB907" s="4">
        <v>3</v>
      </c>
      <c r="AC907" s="4">
        <v>3</v>
      </c>
      <c r="AD907" s="4">
        <v>10</v>
      </c>
      <c r="AE907" s="4">
        <v>11</v>
      </c>
      <c r="AF907" s="4">
        <v>4</v>
      </c>
      <c r="AG907" s="4">
        <v>5</v>
      </c>
      <c r="AH907" s="4">
        <v>2</v>
      </c>
      <c r="AI907" s="4">
        <v>2</v>
      </c>
      <c r="AJ907" s="4">
        <v>7</v>
      </c>
      <c r="AK907" s="4">
        <v>8</v>
      </c>
      <c r="AL907" s="4">
        <v>1</v>
      </c>
      <c r="AM907" s="4">
        <v>1</v>
      </c>
      <c r="AN907" s="4">
        <v>0</v>
      </c>
      <c r="AO907" s="4">
        <v>0</v>
      </c>
      <c r="AP907" s="3" t="s">
        <v>58</v>
      </c>
      <c r="AQ907" s="3" t="s">
        <v>58</v>
      </c>
      <c r="AS907" s="6" t="str">
        <f>HYPERLINK("https://creighton-primo.hosted.exlibrisgroup.com/primo-explore/search?tab=default_tab&amp;search_scope=EVERYTHING&amp;vid=01CRU&amp;lang=en_US&amp;offset=0&amp;query=any,contains,991001785379702656","Catalog Record")</f>
        <v>Catalog Record</v>
      </c>
      <c r="AT907" s="6" t="str">
        <f>HYPERLINK("http://www.worldcat.org/oclc/3204676","WorldCat Record")</f>
        <v>WorldCat Record</v>
      </c>
      <c r="AU907" s="3" t="s">
        <v>11809</v>
      </c>
      <c r="AV907" s="3" t="s">
        <v>11810</v>
      </c>
      <c r="AW907" s="3" t="s">
        <v>11811</v>
      </c>
      <c r="AX907" s="3" t="s">
        <v>11811</v>
      </c>
      <c r="AY907" s="3" t="s">
        <v>11812</v>
      </c>
      <c r="AZ907" s="3" t="s">
        <v>74</v>
      </c>
      <c r="BB907" s="3" t="s">
        <v>11813</v>
      </c>
      <c r="BC907" s="3" t="s">
        <v>11814</v>
      </c>
      <c r="BD907" s="3" t="s">
        <v>11815</v>
      </c>
    </row>
    <row r="908" spans="1:56" ht="42.75" customHeight="1" x14ac:dyDescent="0.25">
      <c r="A908" s="7" t="s">
        <v>58</v>
      </c>
      <c r="B908" s="2" t="s">
        <v>11816</v>
      </c>
      <c r="C908" s="2" t="s">
        <v>11817</v>
      </c>
      <c r="D908" s="2" t="s">
        <v>11818</v>
      </c>
      <c r="F908" s="3" t="s">
        <v>58</v>
      </c>
      <c r="G908" s="3" t="s">
        <v>59</v>
      </c>
      <c r="H908" s="3" t="s">
        <v>58</v>
      </c>
      <c r="I908" s="3" t="s">
        <v>58</v>
      </c>
      <c r="J908" s="3" t="s">
        <v>60</v>
      </c>
      <c r="L908" s="2" t="s">
        <v>11819</v>
      </c>
      <c r="M908" s="3" t="s">
        <v>480</v>
      </c>
      <c r="O908" s="3" t="s">
        <v>64</v>
      </c>
      <c r="P908" s="3" t="s">
        <v>115</v>
      </c>
      <c r="R908" s="3" t="s">
        <v>67</v>
      </c>
      <c r="S908" s="4">
        <v>4</v>
      </c>
      <c r="T908" s="4">
        <v>4</v>
      </c>
      <c r="U908" s="5" t="s">
        <v>2051</v>
      </c>
      <c r="V908" s="5" t="s">
        <v>2051</v>
      </c>
      <c r="W908" s="5" t="s">
        <v>11820</v>
      </c>
      <c r="X908" s="5" t="s">
        <v>11820</v>
      </c>
      <c r="Y908" s="4">
        <v>258</v>
      </c>
      <c r="Z908" s="4">
        <v>209</v>
      </c>
      <c r="AA908" s="4">
        <v>216</v>
      </c>
      <c r="AB908" s="4">
        <v>3</v>
      </c>
      <c r="AC908" s="4">
        <v>3</v>
      </c>
      <c r="AD908" s="4">
        <v>12</v>
      </c>
      <c r="AE908" s="4">
        <v>12</v>
      </c>
      <c r="AF908" s="4">
        <v>3</v>
      </c>
      <c r="AG908" s="4">
        <v>3</v>
      </c>
      <c r="AH908" s="4">
        <v>2</v>
      </c>
      <c r="AI908" s="4">
        <v>2</v>
      </c>
      <c r="AJ908" s="4">
        <v>8</v>
      </c>
      <c r="AK908" s="4">
        <v>8</v>
      </c>
      <c r="AL908" s="4">
        <v>2</v>
      </c>
      <c r="AM908" s="4">
        <v>2</v>
      </c>
      <c r="AN908" s="4">
        <v>0</v>
      </c>
      <c r="AO908" s="4">
        <v>0</v>
      </c>
      <c r="AP908" s="3" t="s">
        <v>58</v>
      </c>
      <c r="AQ908" s="3" t="s">
        <v>86</v>
      </c>
      <c r="AR908" s="6" t="str">
        <f>HYPERLINK("http://catalog.hathitrust.org/Record/004506128","HathiTrust Record")</f>
        <v>HathiTrust Record</v>
      </c>
      <c r="AS908" s="6" t="str">
        <f>HYPERLINK("https://creighton-primo.hosted.exlibrisgroup.com/primo-explore/search?tab=default_tab&amp;search_scope=EVERYTHING&amp;vid=01CRU&amp;lang=en_US&amp;offset=0&amp;query=any,contains,991001362049702656","Catalog Record")</f>
        <v>Catalog Record</v>
      </c>
      <c r="AT908" s="6" t="str">
        <f>HYPERLINK("http://www.worldcat.org/oclc/18522315","WorldCat Record")</f>
        <v>WorldCat Record</v>
      </c>
      <c r="AU908" s="3" t="s">
        <v>11821</v>
      </c>
      <c r="AV908" s="3" t="s">
        <v>11822</v>
      </c>
      <c r="AW908" s="3" t="s">
        <v>11823</v>
      </c>
      <c r="AX908" s="3" t="s">
        <v>11823</v>
      </c>
      <c r="AY908" s="3" t="s">
        <v>11824</v>
      </c>
      <c r="AZ908" s="3" t="s">
        <v>74</v>
      </c>
      <c r="BB908" s="3" t="s">
        <v>11825</v>
      </c>
      <c r="BC908" s="3" t="s">
        <v>11826</v>
      </c>
      <c r="BD908" s="3" t="s">
        <v>11827</v>
      </c>
    </row>
    <row r="909" spans="1:56" ht="42.75" customHeight="1" x14ac:dyDescent="0.25">
      <c r="A909" s="7" t="s">
        <v>58</v>
      </c>
      <c r="B909" s="2" t="s">
        <v>11828</v>
      </c>
      <c r="C909" s="2" t="s">
        <v>11829</v>
      </c>
      <c r="D909" s="2" t="s">
        <v>11830</v>
      </c>
      <c r="F909" s="3" t="s">
        <v>58</v>
      </c>
      <c r="G909" s="3" t="s">
        <v>59</v>
      </c>
      <c r="H909" s="3" t="s">
        <v>58</v>
      </c>
      <c r="I909" s="3" t="s">
        <v>58</v>
      </c>
      <c r="J909" s="3" t="s">
        <v>60</v>
      </c>
      <c r="K909" s="2" t="s">
        <v>11831</v>
      </c>
      <c r="L909" s="2" t="s">
        <v>11832</v>
      </c>
      <c r="M909" s="3" t="s">
        <v>1574</v>
      </c>
      <c r="O909" s="3" t="s">
        <v>64</v>
      </c>
      <c r="P909" s="3" t="s">
        <v>115</v>
      </c>
      <c r="R909" s="3" t="s">
        <v>67</v>
      </c>
      <c r="S909" s="4">
        <v>8</v>
      </c>
      <c r="T909" s="4">
        <v>8</v>
      </c>
      <c r="U909" s="5" t="s">
        <v>11833</v>
      </c>
      <c r="V909" s="5" t="s">
        <v>11833</v>
      </c>
      <c r="W909" s="5" t="s">
        <v>4848</v>
      </c>
      <c r="X909" s="5" t="s">
        <v>4848</v>
      </c>
      <c r="Y909" s="4">
        <v>350</v>
      </c>
      <c r="Z909" s="4">
        <v>252</v>
      </c>
      <c r="AA909" s="4">
        <v>276</v>
      </c>
      <c r="AB909" s="4">
        <v>1</v>
      </c>
      <c r="AC909" s="4">
        <v>1</v>
      </c>
      <c r="AD909" s="4">
        <v>7</v>
      </c>
      <c r="AE909" s="4">
        <v>9</v>
      </c>
      <c r="AF909" s="4">
        <v>1</v>
      </c>
      <c r="AG909" s="4">
        <v>3</v>
      </c>
      <c r="AH909" s="4">
        <v>2</v>
      </c>
      <c r="AI909" s="4">
        <v>2</v>
      </c>
      <c r="AJ909" s="4">
        <v>5</v>
      </c>
      <c r="AK909" s="4">
        <v>6</v>
      </c>
      <c r="AL909" s="4">
        <v>0</v>
      </c>
      <c r="AM909" s="4">
        <v>0</v>
      </c>
      <c r="AN909" s="4">
        <v>0</v>
      </c>
      <c r="AO909" s="4">
        <v>0</v>
      </c>
      <c r="AP909" s="3" t="s">
        <v>58</v>
      </c>
      <c r="AQ909" s="3" t="s">
        <v>86</v>
      </c>
      <c r="AR909" s="6" t="str">
        <f>HYPERLINK("http://catalog.hathitrust.org/Record/000277126","HathiTrust Record")</f>
        <v>HathiTrust Record</v>
      </c>
      <c r="AS909" s="6" t="str">
        <f>HYPERLINK("https://creighton-primo.hosted.exlibrisgroup.com/primo-explore/search?tab=default_tab&amp;search_scope=EVERYTHING&amp;vid=01CRU&amp;lang=en_US&amp;offset=0&amp;query=any,contains,991000034269702656","Catalog Record")</f>
        <v>Catalog Record</v>
      </c>
      <c r="AT909" s="6" t="str">
        <f>HYPERLINK("http://www.worldcat.org/oclc/8627040","WorldCat Record")</f>
        <v>WorldCat Record</v>
      </c>
      <c r="AU909" s="3" t="s">
        <v>11834</v>
      </c>
      <c r="AV909" s="3" t="s">
        <v>11835</v>
      </c>
      <c r="AW909" s="3" t="s">
        <v>11836</v>
      </c>
      <c r="AX909" s="3" t="s">
        <v>11836</v>
      </c>
      <c r="AY909" s="3" t="s">
        <v>11837</v>
      </c>
      <c r="AZ909" s="3" t="s">
        <v>74</v>
      </c>
      <c r="BB909" s="3" t="s">
        <v>11838</v>
      </c>
      <c r="BC909" s="3" t="s">
        <v>11839</v>
      </c>
      <c r="BD909" s="3" t="s">
        <v>11840</v>
      </c>
    </row>
    <row r="910" spans="1:56" ht="42.75" customHeight="1" x14ac:dyDescent="0.25">
      <c r="A910" s="7" t="s">
        <v>58</v>
      </c>
      <c r="B910" s="2" t="s">
        <v>11841</v>
      </c>
      <c r="C910" s="2" t="s">
        <v>11842</v>
      </c>
      <c r="D910" s="2" t="s">
        <v>11843</v>
      </c>
      <c r="F910" s="3" t="s">
        <v>58</v>
      </c>
      <c r="G910" s="3" t="s">
        <v>59</v>
      </c>
      <c r="H910" s="3" t="s">
        <v>58</v>
      </c>
      <c r="I910" s="3" t="s">
        <v>58</v>
      </c>
      <c r="J910" s="3" t="s">
        <v>60</v>
      </c>
      <c r="L910" s="2" t="s">
        <v>9599</v>
      </c>
      <c r="M910" s="3" t="s">
        <v>695</v>
      </c>
      <c r="N910" s="2" t="s">
        <v>1736</v>
      </c>
      <c r="O910" s="3" t="s">
        <v>64</v>
      </c>
      <c r="P910" s="3" t="s">
        <v>145</v>
      </c>
      <c r="R910" s="3" t="s">
        <v>67</v>
      </c>
      <c r="S910" s="4">
        <v>13</v>
      </c>
      <c r="T910" s="4">
        <v>13</v>
      </c>
      <c r="U910" s="5" t="s">
        <v>11844</v>
      </c>
      <c r="V910" s="5" t="s">
        <v>11844</v>
      </c>
      <c r="W910" s="5" t="s">
        <v>11845</v>
      </c>
      <c r="X910" s="5" t="s">
        <v>11845</v>
      </c>
      <c r="Y910" s="4">
        <v>371</v>
      </c>
      <c r="Z910" s="4">
        <v>321</v>
      </c>
      <c r="AA910" s="4">
        <v>389</v>
      </c>
      <c r="AB910" s="4">
        <v>4</v>
      </c>
      <c r="AC910" s="4">
        <v>5</v>
      </c>
      <c r="AD910" s="4">
        <v>18</v>
      </c>
      <c r="AE910" s="4">
        <v>21</v>
      </c>
      <c r="AF910" s="4">
        <v>5</v>
      </c>
      <c r="AG910" s="4">
        <v>6</v>
      </c>
      <c r="AH910" s="4">
        <v>4</v>
      </c>
      <c r="AI910" s="4">
        <v>4</v>
      </c>
      <c r="AJ910" s="4">
        <v>11</v>
      </c>
      <c r="AK910" s="4">
        <v>12</v>
      </c>
      <c r="AL910" s="4">
        <v>3</v>
      </c>
      <c r="AM910" s="4">
        <v>4</v>
      </c>
      <c r="AN910" s="4">
        <v>0</v>
      </c>
      <c r="AO910" s="4">
        <v>0</v>
      </c>
      <c r="AP910" s="3" t="s">
        <v>58</v>
      </c>
      <c r="AQ910" s="3" t="s">
        <v>58</v>
      </c>
      <c r="AS910" s="6" t="str">
        <f>HYPERLINK("https://creighton-primo.hosted.exlibrisgroup.com/primo-explore/search?tab=default_tab&amp;search_scope=EVERYTHING&amp;vid=01CRU&amp;lang=en_US&amp;offset=0&amp;query=any,contains,991002236319702656","Catalog Record")</f>
        <v>Catalog Record</v>
      </c>
      <c r="AT910" s="6" t="str">
        <f>HYPERLINK("http://www.worldcat.org/oclc/28847192","WorldCat Record")</f>
        <v>WorldCat Record</v>
      </c>
      <c r="AU910" s="3" t="s">
        <v>11846</v>
      </c>
      <c r="AV910" s="3" t="s">
        <v>11847</v>
      </c>
      <c r="AW910" s="3" t="s">
        <v>11848</v>
      </c>
      <c r="AX910" s="3" t="s">
        <v>11848</v>
      </c>
      <c r="AY910" s="3" t="s">
        <v>11849</v>
      </c>
      <c r="AZ910" s="3" t="s">
        <v>74</v>
      </c>
      <c r="BB910" s="3" t="s">
        <v>11850</v>
      </c>
      <c r="BC910" s="3" t="s">
        <v>11851</v>
      </c>
      <c r="BD910" s="3" t="s">
        <v>11852</v>
      </c>
    </row>
    <row r="911" spans="1:56" ht="42.75" customHeight="1" x14ac:dyDescent="0.25">
      <c r="A911" s="7" t="s">
        <v>58</v>
      </c>
      <c r="B911" s="2" t="s">
        <v>11853</v>
      </c>
      <c r="C911" s="2" t="s">
        <v>11854</v>
      </c>
      <c r="D911" s="2" t="s">
        <v>11855</v>
      </c>
      <c r="F911" s="3" t="s">
        <v>58</v>
      </c>
      <c r="G911" s="3" t="s">
        <v>59</v>
      </c>
      <c r="H911" s="3" t="s">
        <v>58</v>
      </c>
      <c r="I911" s="3" t="s">
        <v>58</v>
      </c>
      <c r="J911" s="3" t="s">
        <v>60</v>
      </c>
      <c r="L911" s="2" t="s">
        <v>11856</v>
      </c>
      <c r="M911" s="3" t="s">
        <v>5200</v>
      </c>
      <c r="O911" s="3" t="s">
        <v>64</v>
      </c>
      <c r="P911" s="3" t="s">
        <v>1749</v>
      </c>
      <c r="R911" s="3" t="s">
        <v>67</v>
      </c>
      <c r="S911" s="4">
        <v>2</v>
      </c>
      <c r="T911" s="4">
        <v>2</v>
      </c>
      <c r="U911" s="5" t="s">
        <v>11857</v>
      </c>
      <c r="V911" s="5" t="s">
        <v>11857</v>
      </c>
      <c r="W911" s="5" t="s">
        <v>4124</v>
      </c>
      <c r="X911" s="5" t="s">
        <v>4124</v>
      </c>
      <c r="Y911" s="4">
        <v>132</v>
      </c>
      <c r="Z911" s="4">
        <v>102</v>
      </c>
      <c r="AA911" s="4">
        <v>104</v>
      </c>
      <c r="AB911" s="4">
        <v>1</v>
      </c>
      <c r="AC911" s="4">
        <v>1</v>
      </c>
      <c r="AD911" s="4">
        <v>4</v>
      </c>
      <c r="AE911" s="4">
        <v>4</v>
      </c>
      <c r="AF911" s="4">
        <v>0</v>
      </c>
      <c r="AG911" s="4">
        <v>0</v>
      </c>
      <c r="AH911" s="4">
        <v>2</v>
      </c>
      <c r="AI911" s="4">
        <v>2</v>
      </c>
      <c r="AJ911" s="4">
        <v>2</v>
      </c>
      <c r="AK911" s="4">
        <v>2</v>
      </c>
      <c r="AL911" s="4">
        <v>0</v>
      </c>
      <c r="AM911" s="4">
        <v>0</v>
      </c>
      <c r="AN911" s="4">
        <v>0</v>
      </c>
      <c r="AO911" s="4">
        <v>0</v>
      </c>
      <c r="AP911" s="3" t="s">
        <v>58</v>
      </c>
      <c r="AQ911" s="3" t="s">
        <v>86</v>
      </c>
      <c r="AR911" s="6" t="str">
        <f>HYPERLINK("http://catalog.hathitrust.org/Record/003619185","HathiTrust Record")</f>
        <v>HathiTrust Record</v>
      </c>
      <c r="AS911" s="6" t="str">
        <f>HYPERLINK("https://creighton-primo.hosted.exlibrisgroup.com/primo-explore/search?tab=default_tab&amp;search_scope=EVERYTHING&amp;vid=01CRU&amp;lang=en_US&amp;offset=0&amp;query=any,contains,991002917499702656","Catalog Record")</f>
        <v>Catalog Record</v>
      </c>
      <c r="AT911" s="6" t="str">
        <f>HYPERLINK("http://www.worldcat.org/oclc/524724","WorldCat Record")</f>
        <v>WorldCat Record</v>
      </c>
      <c r="AU911" s="3" t="s">
        <v>11858</v>
      </c>
      <c r="AV911" s="3" t="s">
        <v>11859</v>
      </c>
      <c r="AW911" s="3" t="s">
        <v>11860</v>
      </c>
      <c r="AX911" s="3" t="s">
        <v>11860</v>
      </c>
      <c r="AY911" s="3" t="s">
        <v>11861</v>
      </c>
      <c r="AZ911" s="3" t="s">
        <v>74</v>
      </c>
      <c r="BC911" s="3" t="s">
        <v>11862</v>
      </c>
      <c r="BD911" s="3" t="s">
        <v>11863</v>
      </c>
    </row>
    <row r="912" spans="1:56" ht="42.75" customHeight="1" x14ac:dyDescent="0.25">
      <c r="A912" s="7" t="s">
        <v>58</v>
      </c>
      <c r="B912" s="2" t="s">
        <v>11864</v>
      </c>
      <c r="C912" s="2" t="s">
        <v>11865</v>
      </c>
      <c r="D912" s="2" t="s">
        <v>11866</v>
      </c>
      <c r="F912" s="3" t="s">
        <v>58</v>
      </c>
      <c r="G912" s="3" t="s">
        <v>59</v>
      </c>
      <c r="H912" s="3" t="s">
        <v>58</v>
      </c>
      <c r="I912" s="3" t="s">
        <v>58</v>
      </c>
      <c r="J912" s="3" t="s">
        <v>60</v>
      </c>
      <c r="K912" s="2" t="s">
        <v>3598</v>
      </c>
      <c r="L912" s="2" t="s">
        <v>11867</v>
      </c>
      <c r="M912" s="3" t="s">
        <v>3069</v>
      </c>
      <c r="O912" s="3" t="s">
        <v>64</v>
      </c>
      <c r="P912" s="3" t="s">
        <v>99</v>
      </c>
      <c r="R912" s="3" t="s">
        <v>67</v>
      </c>
      <c r="S912" s="4">
        <v>4</v>
      </c>
      <c r="T912" s="4">
        <v>4</v>
      </c>
      <c r="U912" s="5" t="s">
        <v>11868</v>
      </c>
      <c r="V912" s="5" t="s">
        <v>11868</v>
      </c>
      <c r="W912" s="5" t="s">
        <v>210</v>
      </c>
      <c r="X912" s="5" t="s">
        <v>210</v>
      </c>
      <c r="Y912" s="4">
        <v>342</v>
      </c>
      <c r="Z912" s="4">
        <v>300</v>
      </c>
      <c r="AA912" s="4">
        <v>318</v>
      </c>
      <c r="AB912" s="4">
        <v>5</v>
      </c>
      <c r="AC912" s="4">
        <v>5</v>
      </c>
      <c r="AD912" s="4">
        <v>13</v>
      </c>
      <c r="AE912" s="4">
        <v>13</v>
      </c>
      <c r="AF912" s="4">
        <v>1</v>
      </c>
      <c r="AG912" s="4">
        <v>1</v>
      </c>
      <c r="AH912" s="4">
        <v>4</v>
      </c>
      <c r="AI912" s="4">
        <v>4</v>
      </c>
      <c r="AJ912" s="4">
        <v>6</v>
      </c>
      <c r="AK912" s="4">
        <v>6</v>
      </c>
      <c r="AL912" s="4">
        <v>4</v>
      </c>
      <c r="AM912" s="4">
        <v>4</v>
      </c>
      <c r="AN912" s="4">
        <v>0</v>
      </c>
      <c r="AO912" s="4">
        <v>0</v>
      </c>
      <c r="AP912" s="3" t="s">
        <v>58</v>
      </c>
      <c r="AQ912" s="3" t="s">
        <v>86</v>
      </c>
      <c r="AR912" s="6" t="str">
        <f>HYPERLINK("http://catalog.hathitrust.org/Record/001561454","HathiTrust Record")</f>
        <v>HathiTrust Record</v>
      </c>
      <c r="AS912" s="6" t="str">
        <f>HYPERLINK("https://creighton-primo.hosted.exlibrisgroup.com/primo-explore/search?tab=default_tab&amp;search_scope=EVERYTHING&amp;vid=01CRU&amp;lang=en_US&amp;offset=0&amp;query=any,contains,991002733749702656","Catalog Record")</f>
        <v>Catalog Record</v>
      </c>
      <c r="AT912" s="6" t="str">
        <f>HYPERLINK("http://www.worldcat.org/oclc/21198972","WorldCat Record")</f>
        <v>WorldCat Record</v>
      </c>
      <c r="AU912" s="3" t="s">
        <v>11869</v>
      </c>
      <c r="AV912" s="3" t="s">
        <v>11870</v>
      </c>
      <c r="AW912" s="3" t="s">
        <v>11871</v>
      </c>
      <c r="AX912" s="3" t="s">
        <v>11871</v>
      </c>
      <c r="AY912" s="3" t="s">
        <v>11872</v>
      </c>
      <c r="AZ912" s="3" t="s">
        <v>74</v>
      </c>
      <c r="BC912" s="3" t="s">
        <v>11873</v>
      </c>
      <c r="BD912" s="3" t="s">
        <v>11874</v>
      </c>
    </row>
    <row r="913" spans="1:56" ht="42.75" customHeight="1" x14ac:dyDescent="0.25">
      <c r="A913" s="7" t="s">
        <v>58</v>
      </c>
      <c r="B913" s="2" t="s">
        <v>11875</v>
      </c>
      <c r="C913" s="2" t="s">
        <v>11876</v>
      </c>
      <c r="D913" s="2" t="s">
        <v>11877</v>
      </c>
      <c r="F913" s="3" t="s">
        <v>58</v>
      </c>
      <c r="G913" s="3" t="s">
        <v>59</v>
      </c>
      <c r="H913" s="3" t="s">
        <v>58</v>
      </c>
      <c r="I913" s="3" t="s">
        <v>58</v>
      </c>
      <c r="J913" s="3" t="s">
        <v>60</v>
      </c>
      <c r="K913" s="2" t="s">
        <v>11878</v>
      </c>
      <c r="L913" s="2" t="s">
        <v>11879</v>
      </c>
      <c r="M913" s="3" t="s">
        <v>177</v>
      </c>
      <c r="O913" s="3" t="s">
        <v>64</v>
      </c>
      <c r="P913" s="3" t="s">
        <v>115</v>
      </c>
      <c r="R913" s="3" t="s">
        <v>67</v>
      </c>
      <c r="S913" s="4">
        <v>6</v>
      </c>
      <c r="T913" s="4">
        <v>6</v>
      </c>
      <c r="U913" s="5" t="s">
        <v>11880</v>
      </c>
      <c r="V913" s="5" t="s">
        <v>11880</v>
      </c>
      <c r="W913" s="5" t="s">
        <v>2840</v>
      </c>
      <c r="X913" s="5" t="s">
        <v>2840</v>
      </c>
      <c r="Y913" s="4">
        <v>551</v>
      </c>
      <c r="Z913" s="4">
        <v>505</v>
      </c>
      <c r="AA913" s="4">
        <v>544</v>
      </c>
      <c r="AB913" s="4">
        <v>5</v>
      </c>
      <c r="AC913" s="4">
        <v>6</v>
      </c>
      <c r="AD913" s="4">
        <v>16</v>
      </c>
      <c r="AE913" s="4">
        <v>17</v>
      </c>
      <c r="AF913" s="4">
        <v>3</v>
      </c>
      <c r="AG913" s="4">
        <v>3</v>
      </c>
      <c r="AH913" s="4">
        <v>4</v>
      </c>
      <c r="AI913" s="4">
        <v>4</v>
      </c>
      <c r="AJ913" s="4">
        <v>8</v>
      </c>
      <c r="AK913" s="4">
        <v>8</v>
      </c>
      <c r="AL913" s="4">
        <v>4</v>
      </c>
      <c r="AM913" s="4">
        <v>5</v>
      </c>
      <c r="AN913" s="4">
        <v>0</v>
      </c>
      <c r="AO913" s="4">
        <v>0</v>
      </c>
      <c r="AP913" s="3" t="s">
        <v>58</v>
      </c>
      <c r="AQ913" s="3" t="s">
        <v>86</v>
      </c>
      <c r="AR913" s="6" t="str">
        <f>HYPERLINK("http://catalog.hathitrust.org/Record/001561455","HathiTrust Record")</f>
        <v>HathiTrust Record</v>
      </c>
      <c r="AS913" s="6" t="str">
        <f>HYPERLINK("https://creighton-primo.hosted.exlibrisgroup.com/primo-explore/search?tab=default_tab&amp;search_scope=EVERYTHING&amp;vid=01CRU&amp;lang=en_US&amp;offset=0&amp;query=any,contains,991003172189702656","Catalog Record")</f>
        <v>Catalog Record</v>
      </c>
      <c r="AT913" s="6" t="str">
        <f>HYPERLINK("http://www.worldcat.org/oclc/707559","WorldCat Record")</f>
        <v>WorldCat Record</v>
      </c>
      <c r="AU913" s="3" t="s">
        <v>11881</v>
      </c>
      <c r="AV913" s="3" t="s">
        <v>11882</v>
      </c>
      <c r="AW913" s="3" t="s">
        <v>11883</v>
      </c>
      <c r="AX913" s="3" t="s">
        <v>11883</v>
      </c>
      <c r="AY913" s="3" t="s">
        <v>11884</v>
      </c>
      <c r="AZ913" s="3" t="s">
        <v>74</v>
      </c>
      <c r="BB913" s="3" t="s">
        <v>11885</v>
      </c>
      <c r="BC913" s="3" t="s">
        <v>11886</v>
      </c>
      <c r="BD913" s="3" t="s">
        <v>11887</v>
      </c>
    </row>
    <row r="914" spans="1:56" ht="42.75" customHeight="1" x14ac:dyDescent="0.25">
      <c r="A914" s="7" t="s">
        <v>58</v>
      </c>
      <c r="B914" s="2" t="s">
        <v>11888</v>
      </c>
      <c r="C914" s="2" t="s">
        <v>11889</v>
      </c>
      <c r="D914" s="2" t="s">
        <v>11890</v>
      </c>
      <c r="F914" s="3" t="s">
        <v>58</v>
      </c>
      <c r="G914" s="3" t="s">
        <v>59</v>
      </c>
      <c r="H914" s="3" t="s">
        <v>58</v>
      </c>
      <c r="I914" s="3" t="s">
        <v>58</v>
      </c>
      <c r="J914" s="3" t="s">
        <v>60</v>
      </c>
      <c r="K914" s="2" t="s">
        <v>11891</v>
      </c>
      <c r="L914" s="2" t="s">
        <v>2554</v>
      </c>
      <c r="M914" s="3" t="s">
        <v>642</v>
      </c>
      <c r="O914" s="3" t="s">
        <v>64</v>
      </c>
      <c r="P914" s="3" t="s">
        <v>115</v>
      </c>
      <c r="R914" s="3" t="s">
        <v>67</v>
      </c>
      <c r="S914" s="4">
        <v>9</v>
      </c>
      <c r="T914" s="4">
        <v>9</v>
      </c>
      <c r="U914" s="5" t="s">
        <v>11892</v>
      </c>
      <c r="V914" s="5" t="s">
        <v>11892</v>
      </c>
      <c r="W914" s="5" t="s">
        <v>11893</v>
      </c>
      <c r="X914" s="5" t="s">
        <v>11893</v>
      </c>
      <c r="Y914" s="4">
        <v>605</v>
      </c>
      <c r="Z914" s="4">
        <v>482</v>
      </c>
      <c r="AA914" s="4">
        <v>555</v>
      </c>
      <c r="AB914" s="4">
        <v>3</v>
      </c>
      <c r="AC914" s="4">
        <v>3</v>
      </c>
      <c r="AD914" s="4">
        <v>20</v>
      </c>
      <c r="AE914" s="4">
        <v>21</v>
      </c>
      <c r="AF914" s="4">
        <v>4</v>
      </c>
      <c r="AG914" s="4">
        <v>4</v>
      </c>
      <c r="AH914" s="4">
        <v>4</v>
      </c>
      <c r="AI914" s="4">
        <v>4</v>
      </c>
      <c r="AJ914" s="4">
        <v>13</v>
      </c>
      <c r="AK914" s="4">
        <v>14</v>
      </c>
      <c r="AL914" s="4">
        <v>2</v>
      </c>
      <c r="AM914" s="4">
        <v>2</v>
      </c>
      <c r="AN914" s="4">
        <v>1</v>
      </c>
      <c r="AO914" s="4">
        <v>1</v>
      </c>
      <c r="AP914" s="3" t="s">
        <v>58</v>
      </c>
      <c r="AQ914" s="3" t="s">
        <v>86</v>
      </c>
      <c r="AR914" s="6" t="str">
        <f>HYPERLINK("http://catalog.hathitrust.org/Record/002495267","HathiTrust Record")</f>
        <v>HathiTrust Record</v>
      </c>
      <c r="AS914" s="6" t="str">
        <f>HYPERLINK("https://creighton-primo.hosted.exlibrisgroup.com/primo-explore/search?tab=default_tab&amp;search_scope=EVERYTHING&amp;vid=01CRU&amp;lang=en_US&amp;offset=0&amp;query=any,contains,991001905359702656","Catalog Record")</f>
        <v>Catalog Record</v>
      </c>
      <c r="AT914" s="6" t="str">
        <f>HYPERLINK("http://www.worldcat.org/oclc/24067352","WorldCat Record")</f>
        <v>WorldCat Record</v>
      </c>
      <c r="AU914" s="3" t="s">
        <v>11894</v>
      </c>
      <c r="AV914" s="3" t="s">
        <v>11895</v>
      </c>
      <c r="AW914" s="3" t="s">
        <v>11896</v>
      </c>
      <c r="AX914" s="3" t="s">
        <v>11896</v>
      </c>
      <c r="AY914" s="3" t="s">
        <v>11897</v>
      </c>
      <c r="AZ914" s="3" t="s">
        <v>74</v>
      </c>
      <c r="BB914" s="3" t="s">
        <v>11898</v>
      </c>
      <c r="BC914" s="3" t="s">
        <v>11899</v>
      </c>
      <c r="BD914" s="3" t="s">
        <v>11900</v>
      </c>
    </row>
    <row r="915" spans="1:56" ht="42.75" customHeight="1" x14ac:dyDescent="0.25">
      <c r="A915" s="7" t="s">
        <v>58</v>
      </c>
      <c r="B915" s="2" t="s">
        <v>11901</v>
      </c>
      <c r="C915" s="2" t="s">
        <v>11902</v>
      </c>
      <c r="D915" s="2" t="s">
        <v>11903</v>
      </c>
      <c r="F915" s="3" t="s">
        <v>58</v>
      </c>
      <c r="G915" s="3" t="s">
        <v>59</v>
      </c>
      <c r="H915" s="3" t="s">
        <v>58</v>
      </c>
      <c r="I915" s="3" t="s">
        <v>58</v>
      </c>
      <c r="J915" s="3" t="s">
        <v>60</v>
      </c>
      <c r="K915" s="2" t="s">
        <v>11904</v>
      </c>
      <c r="L915" s="2" t="s">
        <v>11905</v>
      </c>
      <c r="M915" s="3" t="s">
        <v>98</v>
      </c>
      <c r="N915" s="2" t="s">
        <v>11906</v>
      </c>
      <c r="O915" s="3" t="s">
        <v>64</v>
      </c>
      <c r="P915" s="3" t="s">
        <v>115</v>
      </c>
      <c r="R915" s="3" t="s">
        <v>67</v>
      </c>
      <c r="S915" s="4">
        <v>4</v>
      </c>
      <c r="T915" s="4">
        <v>4</v>
      </c>
      <c r="U915" s="5" t="s">
        <v>11907</v>
      </c>
      <c r="V915" s="5" t="s">
        <v>11907</v>
      </c>
      <c r="W915" s="5" t="s">
        <v>4848</v>
      </c>
      <c r="X915" s="5" t="s">
        <v>4848</v>
      </c>
      <c r="Y915" s="4">
        <v>21</v>
      </c>
      <c r="Z915" s="4">
        <v>19</v>
      </c>
      <c r="AA915" s="4">
        <v>215</v>
      </c>
      <c r="AB915" s="4">
        <v>1</v>
      </c>
      <c r="AC915" s="4">
        <v>1</v>
      </c>
      <c r="AD915" s="4">
        <v>1</v>
      </c>
      <c r="AE915" s="4">
        <v>6</v>
      </c>
      <c r="AF915" s="4">
        <v>0</v>
      </c>
      <c r="AG915" s="4">
        <v>2</v>
      </c>
      <c r="AH915" s="4">
        <v>0</v>
      </c>
      <c r="AI915" s="4">
        <v>1</v>
      </c>
      <c r="AJ915" s="4">
        <v>1</v>
      </c>
      <c r="AK915" s="4">
        <v>5</v>
      </c>
      <c r="AL915" s="4">
        <v>0</v>
      </c>
      <c r="AM915" s="4">
        <v>0</v>
      </c>
      <c r="AN915" s="4">
        <v>0</v>
      </c>
      <c r="AO915" s="4">
        <v>0</v>
      </c>
      <c r="AP915" s="3" t="s">
        <v>58</v>
      </c>
      <c r="AQ915" s="3" t="s">
        <v>58</v>
      </c>
      <c r="AS915" s="6" t="str">
        <f>HYPERLINK("https://creighton-primo.hosted.exlibrisgroup.com/primo-explore/search?tab=default_tab&amp;search_scope=EVERYTHING&amp;vid=01CRU&amp;lang=en_US&amp;offset=0&amp;query=any,contains,991001440609702656","Catalog Record")</f>
        <v>Catalog Record</v>
      </c>
      <c r="AT915" s="6" t="str">
        <f>HYPERLINK("http://www.worldcat.org/oclc/19232594","WorldCat Record")</f>
        <v>WorldCat Record</v>
      </c>
      <c r="AU915" s="3" t="s">
        <v>11908</v>
      </c>
      <c r="AV915" s="3" t="s">
        <v>11909</v>
      </c>
      <c r="AW915" s="3" t="s">
        <v>11910</v>
      </c>
      <c r="AX915" s="3" t="s">
        <v>11910</v>
      </c>
      <c r="AY915" s="3" t="s">
        <v>11911</v>
      </c>
      <c r="AZ915" s="3" t="s">
        <v>74</v>
      </c>
      <c r="BB915" s="3" t="s">
        <v>11912</v>
      </c>
      <c r="BC915" s="3" t="s">
        <v>11913</v>
      </c>
      <c r="BD915" s="3" t="s">
        <v>11914</v>
      </c>
    </row>
    <row r="916" spans="1:56" ht="42.75" customHeight="1" x14ac:dyDescent="0.25">
      <c r="A916" s="7" t="s">
        <v>58</v>
      </c>
      <c r="B916" s="2" t="s">
        <v>11915</v>
      </c>
      <c r="C916" s="2" t="s">
        <v>11916</v>
      </c>
      <c r="D916" s="2" t="s">
        <v>11917</v>
      </c>
      <c r="F916" s="3" t="s">
        <v>58</v>
      </c>
      <c r="G916" s="3" t="s">
        <v>59</v>
      </c>
      <c r="H916" s="3" t="s">
        <v>58</v>
      </c>
      <c r="I916" s="3" t="s">
        <v>58</v>
      </c>
      <c r="J916" s="3" t="s">
        <v>60</v>
      </c>
      <c r="K916" s="2" t="s">
        <v>11918</v>
      </c>
      <c r="L916" s="2" t="s">
        <v>11919</v>
      </c>
      <c r="M916" s="3" t="s">
        <v>163</v>
      </c>
      <c r="N916" s="2" t="s">
        <v>3823</v>
      </c>
      <c r="O916" s="3" t="s">
        <v>64</v>
      </c>
      <c r="P916" s="3" t="s">
        <v>1898</v>
      </c>
      <c r="R916" s="3" t="s">
        <v>67</v>
      </c>
      <c r="S916" s="4">
        <v>14</v>
      </c>
      <c r="T916" s="4">
        <v>14</v>
      </c>
      <c r="U916" s="5" t="s">
        <v>11920</v>
      </c>
      <c r="V916" s="5" t="s">
        <v>11920</v>
      </c>
      <c r="W916" s="5" t="s">
        <v>11921</v>
      </c>
      <c r="X916" s="5" t="s">
        <v>11921</v>
      </c>
      <c r="Y916" s="4">
        <v>51</v>
      </c>
      <c r="Z916" s="4">
        <v>44</v>
      </c>
      <c r="AA916" s="4">
        <v>67</v>
      </c>
      <c r="AB916" s="4">
        <v>1</v>
      </c>
      <c r="AC916" s="4">
        <v>1</v>
      </c>
      <c r="AD916" s="4">
        <v>0</v>
      </c>
      <c r="AE916" s="4">
        <v>0</v>
      </c>
      <c r="AF916" s="4">
        <v>0</v>
      </c>
      <c r="AG916" s="4">
        <v>0</v>
      </c>
      <c r="AH916" s="4">
        <v>0</v>
      </c>
      <c r="AI916" s="4">
        <v>0</v>
      </c>
      <c r="AJ916" s="4">
        <v>0</v>
      </c>
      <c r="AK916" s="4">
        <v>0</v>
      </c>
      <c r="AL916" s="4">
        <v>0</v>
      </c>
      <c r="AM916" s="4">
        <v>0</v>
      </c>
      <c r="AN916" s="4">
        <v>0</v>
      </c>
      <c r="AO916" s="4">
        <v>0</v>
      </c>
      <c r="AP916" s="3" t="s">
        <v>58</v>
      </c>
      <c r="AQ916" s="3" t="s">
        <v>86</v>
      </c>
      <c r="AR916" s="6" t="str">
        <f>HYPERLINK("http://catalog.hathitrust.org/Record/000733743","HathiTrust Record")</f>
        <v>HathiTrust Record</v>
      </c>
      <c r="AS916" s="6" t="str">
        <f>HYPERLINK("https://creighton-primo.hosted.exlibrisgroup.com/primo-explore/search?tab=default_tab&amp;search_scope=EVERYTHING&amp;vid=01CRU&amp;lang=en_US&amp;offset=0&amp;query=any,contains,991000829449702656","Catalog Record")</f>
        <v>Catalog Record</v>
      </c>
      <c r="AT916" s="6" t="str">
        <f>HYPERLINK("http://www.worldcat.org/oclc/147178","WorldCat Record")</f>
        <v>WorldCat Record</v>
      </c>
      <c r="AU916" s="3" t="s">
        <v>11922</v>
      </c>
      <c r="AV916" s="3" t="s">
        <v>11923</v>
      </c>
      <c r="AW916" s="3" t="s">
        <v>11924</v>
      </c>
      <c r="AX916" s="3" t="s">
        <v>11924</v>
      </c>
      <c r="AY916" s="3" t="s">
        <v>11925</v>
      </c>
      <c r="AZ916" s="3" t="s">
        <v>74</v>
      </c>
      <c r="BC916" s="3" t="s">
        <v>11926</v>
      </c>
      <c r="BD916" s="3" t="s">
        <v>11927</v>
      </c>
    </row>
    <row r="917" spans="1:56" ht="42.75" customHeight="1" x14ac:dyDescent="0.25">
      <c r="A917" s="7" t="s">
        <v>58</v>
      </c>
      <c r="B917" s="2" t="s">
        <v>11928</v>
      </c>
      <c r="C917" s="2" t="s">
        <v>11929</v>
      </c>
      <c r="D917" s="2" t="s">
        <v>11930</v>
      </c>
      <c r="F917" s="3" t="s">
        <v>58</v>
      </c>
      <c r="G917" s="3" t="s">
        <v>59</v>
      </c>
      <c r="H917" s="3" t="s">
        <v>58</v>
      </c>
      <c r="I917" s="3" t="s">
        <v>58</v>
      </c>
      <c r="J917" s="3" t="s">
        <v>60</v>
      </c>
      <c r="K917" s="2" t="s">
        <v>11931</v>
      </c>
      <c r="L917" s="2" t="s">
        <v>11932</v>
      </c>
      <c r="M917" s="3" t="s">
        <v>177</v>
      </c>
      <c r="O917" s="3" t="s">
        <v>64</v>
      </c>
      <c r="P917" s="3" t="s">
        <v>2854</v>
      </c>
      <c r="R917" s="3" t="s">
        <v>67</v>
      </c>
      <c r="S917" s="4">
        <v>19</v>
      </c>
      <c r="T917" s="4">
        <v>19</v>
      </c>
      <c r="U917" s="5" t="s">
        <v>11933</v>
      </c>
      <c r="V917" s="5" t="s">
        <v>11933</v>
      </c>
      <c r="W917" s="5" t="s">
        <v>11934</v>
      </c>
      <c r="X917" s="5" t="s">
        <v>11934</v>
      </c>
      <c r="Y917" s="4">
        <v>79</v>
      </c>
      <c r="Z917" s="4">
        <v>75</v>
      </c>
      <c r="AA917" s="4">
        <v>408</v>
      </c>
      <c r="AB917" s="4">
        <v>1</v>
      </c>
      <c r="AC917" s="4">
        <v>3</v>
      </c>
      <c r="AD917" s="4">
        <v>1</v>
      </c>
      <c r="AE917" s="4">
        <v>16</v>
      </c>
      <c r="AF917" s="4">
        <v>1</v>
      </c>
      <c r="AG917" s="4">
        <v>6</v>
      </c>
      <c r="AH917" s="4">
        <v>1</v>
      </c>
      <c r="AI917" s="4">
        <v>2</v>
      </c>
      <c r="AJ917" s="4">
        <v>0</v>
      </c>
      <c r="AK917" s="4">
        <v>8</v>
      </c>
      <c r="AL917" s="4">
        <v>0</v>
      </c>
      <c r="AM917" s="4">
        <v>2</v>
      </c>
      <c r="AN917" s="4">
        <v>0</v>
      </c>
      <c r="AO917" s="4">
        <v>0</v>
      </c>
      <c r="AP917" s="3" t="s">
        <v>58</v>
      </c>
      <c r="AQ917" s="3" t="s">
        <v>58</v>
      </c>
      <c r="AS917" s="6" t="str">
        <f>HYPERLINK("https://creighton-primo.hosted.exlibrisgroup.com/primo-explore/search?tab=default_tab&amp;search_scope=EVERYTHING&amp;vid=01CRU&amp;lang=en_US&amp;offset=0&amp;query=any,contains,991003437229702656","Catalog Record")</f>
        <v>Catalog Record</v>
      </c>
      <c r="AT917" s="6" t="str">
        <f>HYPERLINK("http://www.worldcat.org/oclc/972874","WorldCat Record")</f>
        <v>WorldCat Record</v>
      </c>
      <c r="AU917" s="3" t="s">
        <v>11935</v>
      </c>
      <c r="AV917" s="3" t="s">
        <v>11936</v>
      </c>
      <c r="AW917" s="3" t="s">
        <v>11937</v>
      </c>
      <c r="AX917" s="3" t="s">
        <v>11937</v>
      </c>
      <c r="AY917" s="3" t="s">
        <v>11938</v>
      </c>
      <c r="AZ917" s="3" t="s">
        <v>74</v>
      </c>
      <c r="BB917" s="3" t="s">
        <v>11939</v>
      </c>
      <c r="BC917" s="3" t="s">
        <v>11940</v>
      </c>
      <c r="BD917" s="3" t="s">
        <v>11941</v>
      </c>
    </row>
    <row r="918" spans="1:56" ht="42.75" customHeight="1" x14ac:dyDescent="0.25">
      <c r="A918" s="7" t="s">
        <v>58</v>
      </c>
      <c r="B918" s="2" t="s">
        <v>11942</v>
      </c>
      <c r="C918" s="2" t="s">
        <v>11943</v>
      </c>
      <c r="D918" s="2" t="s">
        <v>11944</v>
      </c>
      <c r="F918" s="3" t="s">
        <v>58</v>
      </c>
      <c r="G918" s="3" t="s">
        <v>59</v>
      </c>
      <c r="H918" s="3" t="s">
        <v>58</v>
      </c>
      <c r="I918" s="3" t="s">
        <v>58</v>
      </c>
      <c r="J918" s="3" t="s">
        <v>60</v>
      </c>
      <c r="K918" s="2" t="s">
        <v>11945</v>
      </c>
      <c r="L918" s="2" t="s">
        <v>11946</v>
      </c>
      <c r="M918" s="3" t="s">
        <v>3914</v>
      </c>
      <c r="O918" s="3" t="s">
        <v>64</v>
      </c>
      <c r="P918" s="3" t="s">
        <v>115</v>
      </c>
      <c r="Q918" s="2" t="s">
        <v>11947</v>
      </c>
      <c r="R918" s="3" t="s">
        <v>67</v>
      </c>
      <c r="S918" s="4">
        <v>23</v>
      </c>
      <c r="T918" s="4">
        <v>23</v>
      </c>
      <c r="U918" s="5" t="s">
        <v>11948</v>
      </c>
      <c r="V918" s="5" t="s">
        <v>11948</v>
      </c>
      <c r="W918" s="5" t="s">
        <v>7013</v>
      </c>
      <c r="X918" s="5" t="s">
        <v>7013</v>
      </c>
      <c r="Y918" s="4">
        <v>311</v>
      </c>
      <c r="Z918" s="4">
        <v>242</v>
      </c>
      <c r="AA918" s="4">
        <v>263</v>
      </c>
      <c r="AB918" s="4">
        <v>1</v>
      </c>
      <c r="AC918" s="4">
        <v>1</v>
      </c>
      <c r="AD918" s="4">
        <v>7</v>
      </c>
      <c r="AE918" s="4">
        <v>9</v>
      </c>
      <c r="AF918" s="4">
        <v>2</v>
      </c>
      <c r="AG918" s="4">
        <v>4</v>
      </c>
      <c r="AH918" s="4">
        <v>4</v>
      </c>
      <c r="AI918" s="4">
        <v>4</v>
      </c>
      <c r="AJ918" s="4">
        <v>4</v>
      </c>
      <c r="AK918" s="4">
        <v>5</v>
      </c>
      <c r="AL918" s="4">
        <v>0</v>
      </c>
      <c r="AM918" s="4">
        <v>0</v>
      </c>
      <c r="AN918" s="4">
        <v>0</v>
      </c>
      <c r="AO918" s="4">
        <v>0</v>
      </c>
      <c r="AP918" s="3" t="s">
        <v>58</v>
      </c>
      <c r="AQ918" s="3" t="s">
        <v>58</v>
      </c>
      <c r="AS918" s="6" t="str">
        <f>HYPERLINK("https://creighton-primo.hosted.exlibrisgroup.com/primo-explore/search?tab=default_tab&amp;search_scope=EVERYTHING&amp;vid=01CRU&amp;lang=en_US&amp;offset=0&amp;query=any,contains,991004042299702656","Catalog Record")</f>
        <v>Catalog Record</v>
      </c>
      <c r="AT918" s="6" t="str">
        <f>HYPERLINK("http://www.worldcat.org/oclc/2189280","WorldCat Record")</f>
        <v>WorldCat Record</v>
      </c>
      <c r="AU918" s="3" t="s">
        <v>11949</v>
      </c>
      <c r="AV918" s="3" t="s">
        <v>11950</v>
      </c>
      <c r="AW918" s="3" t="s">
        <v>11951</v>
      </c>
      <c r="AX918" s="3" t="s">
        <v>11951</v>
      </c>
      <c r="AY918" s="3" t="s">
        <v>11952</v>
      </c>
      <c r="AZ918" s="3" t="s">
        <v>74</v>
      </c>
      <c r="BB918" s="3" t="s">
        <v>11953</v>
      </c>
      <c r="BC918" s="3" t="s">
        <v>11954</v>
      </c>
      <c r="BD918" s="3" t="s">
        <v>11955</v>
      </c>
    </row>
    <row r="919" spans="1:56" ht="42.75" customHeight="1" x14ac:dyDescent="0.25">
      <c r="A919" s="7" t="s">
        <v>58</v>
      </c>
      <c r="B919" s="2" t="s">
        <v>11956</v>
      </c>
      <c r="C919" s="2" t="s">
        <v>11957</v>
      </c>
      <c r="D919" s="2" t="s">
        <v>11958</v>
      </c>
      <c r="F919" s="3" t="s">
        <v>58</v>
      </c>
      <c r="G919" s="3" t="s">
        <v>59</v>
      </c>
      <c r="H919" s="3" t="s">
        <v>58</v>
      </c>
      <c r="I919" s="3" t="s">
        <v>58</v>
      </c>
      <c r="J919" s="3" t="s">
        <v>60</v>
      </c>
      <c r="K919" s="2" t="s">
        <v>11959</v>
      </c>
      <c r="L919" s="2" t="s">
        <v>11960</v>
      </c>
      <c r="M919" s="3" t="s">
        <v>329</v>
      </c>
      <c r="O919" s="3" t="s">
        <v>64</v>
      </c>
      <c r="P919" s="3" t="s">
        <v>115</v>
      </c>
      <c r="R919" s="3" t="s">
        <v>67</v>
      </c>
      <c r="S919" s="4">
        <v>24</v>
      </c>
      <c r="T919" s="4">
        <v>24</v>
      </c>
      <c r="U919" s="5" t="s">
        <v>11961</v>
      </c>
      <c r="V919" s="5" t="s">
        <v>11961</v>
      </c>
      <c r="W919" s="5" t="s">
        <v>2542</v>
      </c>
      <c r="X919" s="5" t="s">
        <v>2542</v>
      </c>
      <c r="Y919" s="4">
        <v>568</v>
      </c>
      <c r="Z919" s="4">
        <v>461</v>
      </c>
      <c r="AA919" s="4">
        <v>465</v>
      </c>
      <c r="AB919" s="4">
        <v>6</v>
      </c>
      <c r="AC919" s="4">
        <v>6</v>
      </c>
      <c r="AD919" s="4">
        <v>24</v>
      </c>
      <c r="AE919" s="4">
        <v>24</v>
      </c>
      <c r="AF919" s="4">
        <v>8</v>
      </c>
      <c r="AG919" s="4">
        <v>8</v>
      </c>
      <c r="AH919" s="4">
        <v>3</v>
      </c>
      <c r="AI919" s="4">
        <v>3</v>
      </c>
      <c r="AJ919" s="4">
        <v>13</v>
      </c>
      <c r="AK919" s="4">
        <v>13</v>
      </c>
      <c r="AL919" s="4">
        <v>5</v>
      </c>
      <c r="AM919" s="4">
        <v>5</v>
      </c>
      <c r="AN919" s="4">
        <v>0</v>
      </c>
      <c r="AO919" s="4">
        <v>0</v>
      </c>
      <c r="AP919" s="3" t="s">
        <v>58</v>
      </c>
      <c r="AQ919" s="3" t="s">
        <v>86</v>
      </c>
      <c r="AR919" s="6" t="str">
        <f>HYPERLINK("http://catalog.hathitrust.org/Record/000002610","HathiTrust Record")</f>
        <v>HathiTrust Record</v>
      </c>
      <c r="AS919" s="6" t="str">
        <f>HYPERLINK("https://creighton-primo.hosted.exlibrisgroup.com/primo-explore/search?tab=default_tab&amp;search_scope=EVERYTHING&amp;vid=01CRU&amp;lang=en_US&amp;offset=0&amp;query=any,contains,991001022049702656","Catalog Record")</f>
        <v>Catalog Record</v>
      </c>
      <c r="AT919" s="6" t="str">
        <f>HYPERLINK("http://www.worldcat.org/oclc/173982","WorldCat Record")</f>
        <v>WorldCat Record</v>
      </c>
      <c r="AU919" s="3" t="s">
        <v>11962</v>
      </c>
      <c r="AV919" s="3" t="s">
        <v>11963</v>
      </c>
      <c r="AW919" s="3" t="s">
        <v>11964</v>
      </c>
      <c r="AX919" s="3" t="s">
        <v>11964</v>
      </c>
      <c r="AY919" s="3" t="s">
        <v>11965</v>
      </c>
      <c r="AZ919" s="3" t="s">
        <v>74</v>
      </c>
      <c r="BC919" s="3" t="s">
        <v>11966</v>
      </c>
      <c r="BD919" s="3" t="s">
        <v>11967</v>
      </c>
    </row>
    <row r="920" spans="1:56" ht="42.75" customHeight="1" x14ac:dyDescent="0.25">
      <c r="A920" s="7" t="s">
        <v>58</v>
      </c>
      <c r="B920" s="2" t="s">
        <v>11968</v>
      </c>
      <c r="C920" s="2" t="s">
        <v>11969</v>
      </c>
      <c r="D920" s="2" t="s">
        <v>11970</v>
      </c>
      <c r="F920" s="3" t="s">
        <v>58</v>
      </c>
      <c r="G920" s="3" t="s">
        <v>59</v>
      </c>
      <c r="H920" s="3" t="s">
        <v>58</v>
      </c>
      <c r="I920" s="3" t="s">
        <v>58</v>
      </c>
      <c r="J920" s="3" t="s">
        <v>60</v>
      </c>
      <c r="L920" s="2" t="s">
        <v>11971</v>
      </c>
      <c r="M920" s="3" t="s">
        <v>695</v>
      </c>
      <c r="N920" s="2" t="s">
        <v>1736</v>
      </c>
      <c r="O920" s="3" t="s">
        <v>64</v>
      </c>
      <c r="P920" s="3" t="s">
        <v>145</v>
      </c>
      <c r="R920" s="3" t="s">
        <v>67</v>
      </c>
      <c r="S920" s="4">
        <v>26</v>
      </c>
      <c r="T920" s="4">
        <v>26</v>
      </c>
      <c r="U920" s="5" t="s">
        <v>11295</v>
      </c>
      <c r="V920" s="5" t="s">
        <v>11295</v>
      </c>
      <c r="W920" s="5" t="s">
        <v>11972</v>
      </c>
      <c r="X920" s="5" t="s">
        <v>11972</v>
      </c>
      <c r="Y920" s="4">
        <v>261</v>
      </c>
      <c r="Z920" s="4">
        <v>224</v>
      </c>
      <c r="AA920" s="4">
        <v>433</v>
      </c>
      <c r="AB920" s="4">
        <v>2</v>
      </c>
      <c r="AC920" s="4">
        <v>3</v>
      </c>
      <c r="AD920" s="4">
        <v>12</v>
      </c>
      <c r="AE920" s="4">
        <v>22</v>
      </c>
      <c r="AF920" s="4">
        <v>5</v>
      </c>
      <c r="AG920" s="4">
        <v>9</v>
      </c>
      <c r="AH920" s="4">
        <v>4</v>
      </c>
      <c r="AI920" s="4">
        <v>4</v>
      </c>
      <c r="AJ920" s="4">
        <v>7</v>
      </c>
      <c r="AK920" s="4">
        <v>13</v>
      </c>
      <c r="AL920" s="4">
        <v>1</v>
      </c>
      <c r="AM920" s="4">
        <v>2</v>
      </c>
      <c r="AN920" s="4">
        <v>0</v>
      </c>
      <c r="AO920" s="4">
        <v>0</v>
      </c>
      <c r="AP920" s="3" t="s">
        <v>58</v>
      </c>
      <c r="AQ920" s="3" t="s">
        <v>58</v>
      </c>
      <c r="AS920" s="6" t="str">
        <f>HYPERLINK("https://creighton-primo.hosted.exlibrisgroup.com/primo-explore/search?tab=default_tab&amp;search_scope=EVERYTHING&amp;vid=01CRU&amp;lang=en_US&amp;offset=0&amp;query=any,contains,991002152709702656","Catalog Record")</f>
        <v>Catalog Record</v>
      </c>
      <c r="AT920" s="6" t="str">
        <f>HYPERLINK("http://www.worldcat.org/oclc/27728598","WorldCat Record")</f>
        <v>WorldCat Record</v>
      </c>
      <c r="AU920" s="3" t="s">
        <v>11973</v>
      </c>
      <c r="AV920" s="3" t="s">
        <v>11974</v>
      </c>
      <c r="AW920" s="3" t="s">
        <v>11975</v>
      </c>
      <c r="AX920" s="3" t="s">
        <v>11975</v>
      </c>
      <c r="AY920" s="3" t="s">
        <v>11976</v>
      </c>
      <c r="AZ920" s="3" t="s">
        <v>74</v>
      </c>
      <c r="BB920" s="3" t="s">
        <v>11977</v>
      </c>
      <c r="BC920" s="3" t="s">
        <v>11978</v>
      </c>
      <c r="BD920" s="3" t="s">
        <v>11979</v>
      </c>
    </row>
    <row r="921" spans="1:56" ht="42.75" customHeight="1" x14ac:dyDescent="0.25">
      <c r="A921" s="7" t="s">
        <v>58</v>
      </c>
      <c r="B921" s="2" t="s">
        <v>11980</v>
      </c>
      <c r="C921" s="2" t="s">
        <v>11981</v>
      </c>
      <c r="D921" s="2" t="s">
        <v>11982</v>
      </c>
      <c r="F921" s="3" t="s">
        <v>58</v>
      </c>
      <c r="G921" s="3" t="s">
        <v>59</v>
      </c>
      <c r="H921" s="3" t="s">
        <v>58</v>
      </c>
      <c r="I921" s="3" t="s">
        <v>58</v>
      </c>
      <c r="J921" s="3" t="s">
        <v>60</v>
      </c>
      <c r="K921" s="2" t="s">
        <v>11983</v>
      </c>
      <c r="L921" s="2" t="s">
        <v>11984</v>
      </c>
      <c r="M921" s="3" t="s">
        <v>371</v>
      </c>
      <c r="N921" s="2" t="s">
        <v>1736</v>
      </c>
      <c r="O921" s="3" t="s">
        <v>64</v>
      </c>
      <c r="P921" s="3" t="s">
        <v>115</v>
      </c>
      <c r="R921" s="3" t="s">
        <v>67</v>
      </c>
      <c r="S921" s="4">
        <v>23</v>
      </c>
      <c r="T921" s="4">
        <v>23</v>
      </c>
      <c r="U921" s="5" t="s">
        <v>7315</v>
      </c>
      <c r="V921" s="5" t="s">
        <v>7315</v>
      </c>
      <c r="W921" s="5" t="s">
        <v>415</v>
      </c>
      <c r="X921" s="5" t="s">
        <v>415</v>
      </c>
      <c r="Y921" s="4">
        <v>642</v>
      </c>
      <c r="Z921" s="4">
        <v>558</v>
      </c>
      <c r="AA921" s="4">
        <v>733</v>
      </c>
      <c r="AB921" s="4">
        <v>5</v>
      </c>
      <c r="AC921" s="4">
        <v>7</v>
      </c>
      <c r="AD921" s="4">
        <v>18</v>
      </c>
      <c r="AE921" s="4">
        <v>28</v>
      </c>
      <c r="AF921" s="4">
        <v>7</v>
      </c>
      <c r="AG921" s="4">
        <v>14</v>
      </c>
      <c r="AH921" s="4">
        <v>4</v>
      </c>
      <c r="AI921" s="4">
        <v>5</v>
      </c>
      <c r="AJ921" s="4">
        <v>9</v>
      </c>
      <c r="AK921" s="4">
        <v>12</v>
      </c>
      <c r="AL921" s="4">
        <v>3</v>
      </c>
      <c r="AM921" s="4">
        <v>4</v>
      </c>
      <c r="AN921" s="4">
        <v>0</v>
      </c>
      <c r="AO921" s="4">
        <v>0</v>
      </c>
      <c r="AP921" s="3" t="s">
        <v>58</v>
      </c>
      <c r="AQ921" s="3" t="s">
        <v>58</v>
      </c>
      <c r="AS921" s="6" t="str">
        <f>HYPERLINK("https://creighton-primo.hosted.exlibrisgroup.com/primo-explore/search?tab=default_tab&amp;search_scope=EVERYTHING&amp;vid=01CRU&amp;lang=en_US&amp;offset=0&amp;query=any,contains,991000853789702656","Catalog Record")</f>
        <v>Catalog Record</v>
      </c>
      <c r="AT921" s="6" t="str">
        <f>HYPERLINK("http://www.worldcat.org/oclc/13642607","WorldCat Record")</f>
        <v>WorldCat Record</v>
      </c>
      <c r="AU921" s="3" t="s">
        <v>11985</v>
      </c>
      <c r="AV921" s="3" t="s">
        <v>11986</v>
      </c>
      <c r="AW921" s="3" t="s">
        <v>11987</v>
      </c>
      <c r="AX921" s="3" t="s">
        <v>11987</v>
      </c>
      <c r="AY921" s="3" t="s">
        <v>11988</v>
      </c>
      <c r="AZ921" s="3" t="s">
        <v>74</v>
      </c>
      <c r="BB921" s="3" t="s">
        <v>11989</v>
      </c>
      <c r="BC921" s="3" t="s">
        <v>11990</v>
      </c>
      <c r="BD921" s="3" t="s">
        <v>11991</v>
      </c>
    </row>
    <row r="922" spans="1:56" ht="42.75" customHeight="1" x14ac:dyDescent="0.25">
      <c r="A922" s="7" t="s">
        <v>58</v>
      </c>
      <c r="B922" s="2" t="s">
        <v>11992</v>
      </c>
      <c r="C922" s="2" t="s">
        <v>11993</v>
      </c>
      <c r="D922" s="2" t="s">
        <v>11994</v>
      </c>
      <c r="F922" s="3" t="s">
        <v>58</v>
      </c>
      <c r="G922" s="3" t="s">
        <v>59</v>
      </c>
      <c r="H922" s="3" t="s">
        <v>58</v>
      </c>
      <c r="I922" s="3" t="s">
        <v>58</v>
      </c>
      <c r="J922" s="3" t="s">
        <v>60</v>
      </c>
      <c r="K922" s="2" t="s">
        <v>11995</v>
      </c>
      <c r="L922" s="2" t="s">
        <v>11996</v>
      </c>
      <c r="M922" s="3" t="s">
        <v>695</v>
      </c>
      <c r="O922" s="3" t="s">
        <v>64</v>
      </c>
      <c r="P922" s="3" t="s">
        <v>2331</v>
      </c>
      <c r="R922" s="3" t="s">
        <v>67</v>
      </c>
      <c r="S922" s="4">
        <v>7</v>
      </c>
      <c r="T922" s="4">
        <v>7</v>
      </c>
      <c r="U922" s="5" t="s">
        <v>7262</v>
      </c>
      <c r="V922" s="5" t="s">
        <v>7262</v>
      </c>
      <c r="W922" s="5" t="s">
        <v>9601</v>
      </c>
      <c r="X922" s="5" t="s">
        <v>9601</v>
      </c>
      <c r="Y922" s="4">
        <v>308</v>
      </c>
      <c r="Z922" s="4">
        <v>220</v>
      </c>
      <c r="AA922" s="4">
        <v>221</v>
      </c>
      <c r="AB922" s="4">
        <v>2</v>
      </c>
      <c r="AC922" s="4">
        <v>2</v>
      </c>
      <c r="AD922" s="4">
        <v>10</v>
      </c>
      <c r="AE922" s="4">
        <v>10</v>
      </c>
      <c r="AF922" s="4">
        <v>3</v>
      </c>
      <c r="AG922" s="4">
        <v>3</v>
      </c>
      <c r="AH922" s="4">
        <v>2</v>
      </c>
      <c r="AI922" s="4">
        <v>2</v>
      </c>
      <c r="AJ922" s="4">
        <v>7</v>
      </c>
      <c r="AK922" s="4">
        <v>7</v>
      </c>
      <c r="AL922" s="4">
        <v>1</v>
      </c>
      <c r="AM922" s="4">
        <v>1</v>
      </c>
      <c r="AN922" s="4">
        <v>0</v>
      </c>
      <c r="AO922" s="4">
        <v>0</v>
      </c>
      <c r="AP922" s="3" t="s">
        <v>58</v>
      </c>
      <c r="AQ922" s="3" t="s">
        <v>58</v>
      </c>
      <c r="AS922" s="6" t="str">
        <f>HYPERLINK("https://creighton-primo.hosted.exlibrisgroup.com/primo-explore/search?tab=default_tab&amp;search_scope=EVERYTHING&amp;vid=01CRU&amp;lang=en_US&amp;offset=0&amp;query=any,contains,991002174099702656","Catalog Record")</f>
        <v>Catalog Record</v>
      </c>
      <c r="AT922" s="6" t="str">
        <f>HYPERLINK("http://www.worldcat.org/oclc/27975956","WorldCat Record")</f>
        <v>WorldCat Record</v>
      </c>
      <c r="AU922" s="3" t="s">
        <v>11997</v>
      </c>
      <c r="AV922" s="3" t="s">
        <v>11998</v>
      </c>
      <c r="AW922" s="3" t="s">
        <v>11999</v>
      </c>
      <c r="AX922" s="3" t="s">
        <v>11999</v>
      </c>
      <c r="AY922" s="3" t="s">
        <v>12000</v>
      </c>
      <c r="AZ922" s="3" t="s">
        <v>74</v>
      </c>
      <c r="BB922" s="3" t="s">
        <v>12001</v>
      </c>
      <c r="BC922" s="3" t="s">
        <v>12002</v>
      </c>
      <c r="BD922" s="3" t="s">
        <v>12003</v>
      </c>
    </row>
    <row r="923" spans="1:56" ht="42.75" customHeight="1" x14ac:dyDescent="0.25">
      <c r="A923" s="7" t="s">
        <v>58</v>
      </c>
      <c r="B923" s="2" t="s">
        <v>12004</v>
      </c>
      <c r="C923" s="2" t="s">
        <v>12005</v>
      </c>
      <c r="D923" s="2" t="s">
        <v>12006</v>
      </c>
      <c r="F923" s="3" t="s">
        <v>58</v>
      </c>
      <c r="G923" s="3" t="s">
        <v>59</v>
      </c>
      <c r="H923" s="3" t="s">
        <v>58</v>
      </c>
      <c r="I923" s="3" t="s">
        <v>58</v>
      </c>
      <c r="J923" s="3" t="s">
        <v>60</v>
      </c>
      <c r="K923" s="2" t="s">
        <v>12007</v>
      </c>
      <c r="L923" s="2" t="s">
        <v>12008</v>
      </c>
      <c r="M923" s="3" t="s">
        <v>4296</v>
      </c>
      <c r="O923" s="3" t="s">
        <v>64</v>
      </c>
      <c r="P923" s="3" t="s">
        <v>99</v>
      </c>
      <c r="R923" s="3" t="s">
        <v>67</v>
      </c>
      <c r="S923" s="4">
        <v>13</v>
      </c>
      <c r="T923" s="4">
        <v>13</v>
      </c>
      <c r="U923" s="5" t="s">
        <v>11295</v>
      </c>
      <c r="V923" s="5" t="s">
        <v>11295</v>
      </c>
      <c r="W923" s="5" t="s">
        <v>9086</v>
      </c>
      <c r="X923" s="5" t="s">
        <v>9086</v>
      </c>
      <c r="Y923" s="4">
        <v>568</v>
      </c>
      <c r="Z923" s="4">
        <v>474</v>
      </c>
      <c r="AA923" s="4">
        <v>704</v>
      </c>
      <c r="AB923" s="4">
        <v>4</v>
      </c>
      <c r="AC923" s="4">
        <v>6</v>
      </c>
      <c r="AD923" s="4">
        <v>19</v>
      </c>
      <c r="AE923" s="4">
        <v>28</v>
      </c>
      <c r="AF923" s="4">
        <v>5</v>
      </c>
      <c r="AG923" s="4">
        <v>9</v>
      </c>
      <c r="AH923" s="4">
        <v>6</v>
      </c>
      <c r="AI923" s="4">
        <v>6</v>
      </c>
      <c r="AJ923" s="4">
        <v>9</v>
      </c>
      <c r="AK923" s="4">
        <v>15</v>
      </c>
      <c r="AL923" s="4">
        <v>3</v>
      </c>
      <c r="AM923" s="4">
        <v>5</v>
      </c>
      <c r="AN923" s="4">
        <v>0</v>
      </c>
      <c r="AO923" s="4">
        <v>0</v>
      </c>
      <c r="AP923" s="3" t="s">
        <v>58</v>
      </c>
      <c r="AQ923" s="3" t="s">
        <v>86</v>
      </c>
      <c r="AR923" s="6" t="str">
        <f>HYPERLINK("http://catalog.hathitrust.org/Record/000264341","HathiTrust Record")</f>
        <v>HathiTrust Record</v>
      </c>
      <c r="AS923" s="6" t="str">
        <f>HYPERLINK("https://creighton-primo.hosted.exlibrisgroup.com/primo-explore/search?tab=default_tab&amp;search_scope=EVERYTHING&amp;vid=01CRU&amp;lang=en_US&amp;offset=0&amp;query=any,contains,991003801429702656","Catalog Record")</f>
        <v>Catalog Record</v>
      </c>
      <c r="AT923" s="6" t="str">
        <f>HYPERLINK("http://www.worldcat.org/oclc/1527608","WorldCat Record")</f>
        <v>WorldCat Record</v>
      </c>
      <c r="AU923" s="3" t="s">
        <v>12009</v>
      </c>
      <c r="AV923" s="3" t="s">
        <v>12010</v>
      </c>
      <c r="AW923" s="3" t="s">
        <v>12011</v>
      </c>
      <c r="AX923" s="3" t="s">
        <v>12011</v>
      </c>
      <c r="AY923" s="3" t="s">
        <v>12012</v>
      </c>
      <c r="AZ923" s="3" t="s">
        <v>74</v>
      </c>
      <c r="BB923" s="3" t="s">
        <v>12013</v>
      </c>
      <c r="BC923" s="3" t="s">
        <v>12014</v>
      </c>
      <c r="BD923" s="3" t="s">
        <v>12015</v>
      </c>
    </row>
    <row r="924" spans="1:56" ht="42.75" customHeight="1" x14ac:dyDescent="0.25">
      <c r="A924" s="7" t="s">
        <v>58</v>
      </c>
      <c r="B924" s="2" t="s">
        <v>12016</v>
      </c>
      <c r="C924" s="2" t="s">
        <v>12017</v>
      </c>
      <c r="D924" s="2" t="s">
        <v>12018</v>
      </c>
      <c r="F924" s="3" t="s">
        <v>58</v>
      </c>
      <c r="G924" s="3" t="s">
        <v>59</v>
      </c>
      <c r="H924" s="3" t="s">
        <v>58</v>
      </c>
      <c r="I924" s="3" t="s">
        <v>58</v>
      </c>
      <c r="J924" s="3" t="s">
        <v>60</v>
      </c>
      <c r="K924" s="2" t="s">
        <v>12019</v>
      </c>
      <c r="L924" s="2" t="s">
        <v>12020</v>
      </c>
      <c r="M924" s="3" t="s">
        <v>534</v>
      </c>
      <c r="O924" s="3" t="s">
        <v>64</v>
      </c>
      <c r="P924" s="3" t="s">
        <v>115</v>
      </c>
      <c r="R924" s="3" t="s">
        <v>67</v>
      </c>
      <c r="S924" s="4">
        <v>1</v>
      </c>
      <c r="T924" s="4">
        <v>1</v>
      </c>
      <c r="U924" s="5" t="s">
        <v>12021</v>
      </c>
      <c r="V924" s="5" t="s">
        <v>12021</v>
      </c>
      <c r="W924" s="5" t="s">
        <v>12022</v>
      </c>
      <c r="X924" s="5" t="s">
        <v>12022</v>
      </c>
      <c r="Y924" s="4">
        <v>150</v>
      </c>
      <c r="Z924" s="4">
        <v>116</v>
      </c>
      <c r="AA924" s="4">
        <v>116</v>
      </c>
      <c r="AB924" s="4">
        <v>1</v>
      </c>
      <c r="AC924" s="4">
        <v>1</v>
      </c>
      <c r="AD924" s="4">
        <v>9</v>
      </c>
      <c r="AE924" s="4">
        <v>9</v>
      </c>
      <c r="AF924" s="4">
        <v>3</v>
      </c>
      <c r="AG924" s="4">
        <v>3</v>
      </c>
      <c r="AH924" s="4">
        <v>2</v>
      </c>
      <c r="AI924" s="4">
        <v>2</v>
      </c>
      <c r="AJ924" s="4">
        <v>6</v>
      </c>
      <c r="AK924" s="4">
        <v>6</v>
      </c>
      <c r="AL924" s="4">
        <v>0</v>
      </c>
      <c r="AM924" s="4">
        <v>0</v>
      </c>
      <c r="AN924" s="4">
        <v>0</v>
      </c>
      <c r="AO924" s="4">
        <v>0</v>
      </c>
      <c r="AP924" s="3" t="s">
        <v>58</v>
      </c>
      <c r="AQ924" s="3" t="s">
        <v>58</v>
      </c>
      <c r="AS924" s="6" t="str">
        <f>HYPERLINK("https://creighton-primo.hosted.exlibrisgroup.com/primo-explore/search?tab=default_tab&amp;search_scope=EVERYTHING&amp;vid=01CRU&amp;lang=en_US&amp;offset=0&amp;query=any,contains,991001768359702656","Catalog Record")</f>
        <v>Catalog Record</v>
      </c>
      <c r="AT924" s="6" t="str">
        <f>HYPERLINK("http://www.worldcat.org/oclc/22345117","WorldCat Record")</f>
        <v>WorldCat Record</v>
      </c>
      <c r="AU924" s="3" t="s">
        <v>12023</v>
      </c>
      <c r="AV924" s="3" t="s">
        <v>12024</v>
      </c>
      <c r="AW924" s="3" t="s">
        <v>12025</v>
      </c>
      <c r="AX924" s="3" t="s">
        <v>12025</v>
      </c>
      <c r="AY924" s="3" t="s">
        <v>12026</v>
      </c>
      <c r="AZ924" s="3" t="s">
        <v>74</v>
      </c>
      <c r="BB924" s="3" t="s">
        <v>12027</v>
      </c>
      <c r="BC924" s="3" t="s">
        <v>12028</v>
      </c>
      <c r="BD924" s="3" t="s">
        <v>12029</v>
      </c>
    </row>
    <row r="925" spans="1:56" ht="42.75" customHeight="1" x14ac:dyDescent="0.25">
      <c r="A925" s="7" t="s">
        <v>58</v>
      </c>
      <c r="B925" s="2" t="s">
        <v>12030</v>
      </c>
      <c r="C925" s="2" t="s">
        <v>12031</v>
      </c>
      <c r="D925" s="2" t="s">
        <v>12032</v>
      </c>
      <c r="F925" s="3" t="s">
        <v>58</v>
      </c>
      <c r="G925" s="3" t="s">
        <v>59</v>
      </c>
      <c r="H925" s="3" t="s">
        <v>58</v>
      </c>
      <c r="I925" s="3" t="s">
        <v>58</v>
      </c>
      <c r="J925" s="3" t="s">
        <v>60</v>
      </c>
      <c r="K925" s="2" t="s">
        <v>12033</v>
      </c>
      <c r="L925" s="2" t="s">
        <v>12034</v>
      </c>
      <c r="M925" s="3" t="s">
        <v>534</v>
      </c>
      <c r="N925" s="2" t="s">
        <v>1736</v>
      </c>
      <c r="O925" s="3" t="s">
        <v>64</v>
      </c>
      <c r="P925" s="3" t="s">
        <v>115</v>
      </c>
      <c r="R925" s="3" t="s">
        <v>67</v>
      </c>
      <c r="S925" s="4">
        <v>2</v>
      </c>
      <c r="T925" s="4">
        <v>2</v>
      </c>
      <c r="U925" s="5" t="s">
        <v>12035</v>
      </c>
      <c r="V925" s="5" t="s">
        <v>12035</v>
      </c>
      <c r="W925" s="5" t="s">
        <v>11757</v>
      </c>
      <c r="X925" s="5" t="s">
        <v>11757</v>
      </c>
      <c r="Y925" s="4">
        <v>931</v>
      </c>
      <c r="Z925" s="4">
        <v>860</v>
      </c>
      <c r="AA925" s="4">
        <v>947</v>
      </c>
      <c r="AB925" s="4">
        <v>5</v>
      </c>
      <c r="AC925" s="4">
        <v>5</v>
      </c>
      <c r="AD925" s="4">
        <v>30</v>
      </c>
      <c r="AE925" s="4">
        <v>34</v>
      </c>
      <c r="AF925" s="4">
        <v>11</v>
      </c>
      <c r="AG925" s="4">
        <v>12</v>
      </c>
      <c r="AH925" s="4">
        <v>9</v>
      </c>
      <c r="AI925" s="4">
        <v>10</v>
      </c>
      <c r="AJ925" s="4">
        <v>15</v>
      </c>
      <c r="AK925" s="4">
        <v>18</v>
      </c>
      <c r="AL925" s="4">
        <v>3</v>
      </c>
      <c r="AM925" s="4">
        <v>3</v>
      </c>
      <c r="AN925" s="4">
        <v>0</v>
      </c>
      <c r="AO925" s="4">
        <v>0</v>
      </c>
      <c r="AP925" s="3" t="s">
        <v>58</v>
      </c>
      <c r="AQ925" s="3" t="s">
        <v>86</v>
      </c>
      <c r="AR925" s="6" t="str">
        <f>HYPERLINK("http://catalog.hathitrust.org/Record/001832840","HathiTrust Record")</f>
        <v>HathiTrust Record</v>
      </c>
      <c r="AS925" s="6" t="str">
        <f>HYPERLINK("https://creighton-primo.hosted.exlibrisgroup.com/primo-explore/search?tab=default_tab&amp;search_scope=EVERYTHING&amp;vid=01CRU&amp;lang=en_US&amp;offset=0&amp;query=any,contains,991001491659702656","Catalog Record")</f>
        <v>Catalog Record</v>
      </c>
      <c r="AT925" s="6" t="str">
        <f>HYPERLINK("http://www.worldcat.org/oclc/19723975","WorldCat Record")</f>
        <v>WorldCat Record</v>
      </c>
      <c r="AU925" s="3" t="s">
        <v>12036</v>
      </c>
      <c r="AV925" s="3" t="s">
        <v>12037</v>
      </c>
      <c r="AW925" s="3" t="s">
        <v>12038</v>
      </c>
      <c r="AX925" s="3" t="s">
        <v>12038</v>
      </c>
      <c r="AY925" s="3" t="s">
        <v>12039</v>
      </c>
      <c r="AZ925" s="3" t="s">
        <v>74</v>
      </c>
      <c r="BB925" s="3" t="s">
        <v>12040</v>
      </c>
      <c r="BC925" s="3" t="s">
        <v>12041</v>
      </c>
      <c r="BD925" s="3" t="s">
        <v>12042</v>
      </c>
    </row>
    <row r="926" spans="1:56" ht="42.75" customHeight="1" x14ac:dyDescent="0.25">
      <c r="A926" s="7" t="s">
        <v>58</v>
      </c>
      <c r="B926" s="2" t="s">
        <v>12043</v>
      </c>
      <c r="C926" s="2" t="s">
        <v>12044</v>
      </c>
      <c r="D926" s="2" t="s">
        <v>12045</v>
      </c>
      <c r="F926" s="3" t="s">
        <v>58</v>
      </c>
      <c r="G926" s="3" t="s">
        <v>59</v>
      </c>
      <c r="H926" s="3" t="s">
        <v>58</v>
      </c>
      <c r="I926" s="3" t="s">
        <v>58</v>
      </c>
      <c r="J926" s="3" t="s">
        <v>60</v>
      </c>
      <c r="K926" s="2" t="s">
        <v>12046</v>
      </c>
      <c r="L926" s="2" t="s">
        <v>12047</v>
      </c>
      <c r="M926" s="3" t="s">
        <v>177</v>
      </c>
      <c r="N926" s="2" t="s">
        <v>3823</v>
      </c>
      <c r="O926" s="3" t="s">
        <v>64</v>
      </c>
      <c r="P926" s="3" t="s">
        <v>115</v>
      </c>
      <c r="R926" s="3" t="s">
        <v>67</v>
      </c>
      <c r="S926" s="4">
        <v>7</v>
      </c>
      <c r="T926" s="4">
        <v>7</v>
      </c>
      <c r="U926" s="5" t="s">
        <v>12048</v>
      </c>
      <c r="V926" s="5" t="s">
        <v>12048</v>
      </c>
      <c r="W926" s="5" t="s">
        <v>3324</v>
      </c>
      <c r="X926" s="5" t="s">
        <v>3324</v>
      </c>
      <c r="Y926" s="4">
        <v>845</v>
      </c>
      <c r="Z926" s="4">
        <v>732</v>
      </c>
      <c r="AA926" s="4">
        <v>741</v>
      </c>
      <c r="AB926" s="4">
        <v>6</v>
      </c>
      <c r="AC926" s="4">
        <v>6</v>
      </c>
      <c r="AD926" s="4">
        <v>23</v>
      </c>
      <c r="AE926" s="4">
        <v>23</v>
      </c>
      <c r="AF926" s="4">
        <v>9</v>
      </c>
      <c r="AG926" s="4">
        <v>9</v>
      </c>
      <c r="AH926" s="4">
        <v>5</v>
      </c>
      <c r="AI926" s="4">
        <v>5</v>
      </c>
      <c r="AJ926" s="4">
        <v>10</v>
      </c>
      <c r="AK926" s="4">
        <v>10</v>
      </c>
      <c r="AL926" s="4">
        <v>5</v>
      </c>
      <c r="AM926" s="4">
        <v>5</v>
      </c>
      <c r="AN926" s="4">
        <v>0</v>
      </c>
      <c r="AO926" s="4">
        <v>0</v>
      </c>
      <c r="AP926" s="3" t="s">
        <v>58</v>
      </c>
      <c r="AQ926" s="3" t="s">
        <v>86</v>
      </c>
      <c r="AR926" s="6" t="str">
        <f>HYPERLINK("http://catalog.hathitrust.org/Record/001564835","HathiTrust Record")</f>
        <v>HathiTrust Record</v>
      </c>
      <c r="AS926" s="6" t="str">
        <f>HYPERLINK("https://creighton-primo.hosted.exlibrisgroup.com/primo-explore/search?tab=default_tab&amp;search_scope=EVERYTHING&amp;vid=01CRU&amp;lang=en_US&amp;offset=0&amp;query=any,contains,991003005799702656","Catalog Record")</f>
        <v>Catalog Record</v>
      </c>
      <c r="AT926" s="6" t="str">
        <f>HYPERLINK("http://www.worldcat.org/oclc/572875","WorldCat Record")</f>
        <v>WorldCat Record</v>
      </c>
      <c r="AU926" s="3" t="s">
        <v>12049</v>
      </c>
      <c r="AV926" s="3" t="s">
        <v>12050</v>
      </c>
      <c r="AW926" s="3" t="s">
        <v>12051</v>
      </c>
      <c r="AX926" s="3" t="s">
        <v>12051</v>
      </c>
      <c r="AY926" s="3" t="s">
        <v>12052</v>
      </c>
      <c r="AZ926" s="3" t="s">
        <v>74</v>
      </c>
      <c r="BB926" s="3" t="s">
        <v>12053</v>
      </c>
      <c r="BC926" s="3" t="s">
        <v>12054</v>
      </c>
      <c r="BD926" s="3" t="s">
        <v>12055</v>
      </c>
    </row>
    <row r="927" spans="1:56" ht="42.75" customHeight="1" x14ac:dyDescent="0.25">
      <c r="A927" s="7" t="s">
        <v>58</v>
      </c>
      <c r="B927" s="2" t="s">
        <v>12056</v>
      </c>
      <c r="C927" s="2" t="s">
        <v>12057</v>
      </c>
      <c r="D927" s="2" t="s">
        <v>12058</v>
      </c>
      <c r="F927" s="3" t="s">
        <v>58</v>
      </c>
      <c r="G927" s="3" t="s">
        <v>59</v>
      </c>
      <c r="H927" s="3" t="s">
        <v>58</v>
      </c>
      <c r="I927" s="3" t="s">
        <v>58</v>
      </c>
      <c r="J927" s="3" t="s">
        <v>60</v>
      </c>
      <c r="K927" s="2" t="s">
        <v>12059</v>
      </c>
      <c r="L927" s="2" t="s">
        <v>12060</v>
      </c>
      <c r="M927" s="3" t="s">
        <v>695</v>
      </c>
      <c r="N927" s="2" t="s">
        <v>9332</v>
      </c>
      <c r="O927" s="3" t="s">
        <v>64</v>
      </c>
      <c r="P927" s="3" t="s">
        <v>1898</v>
      </c>
      <c r="R927" s="3" t="s">
        <v>67</v>
      </c>
      <c r="S927" s="4">
        <v>3</v>
      </c>
      <c r="T927" s="4">
        <v>3</v>
      </c>
      <c r="U927" s="5" t="s">
        <v>102</v>
      </c>
      <c r="V927" s="5" t="s">
        <v>102</v>
      </c>
      <c r="W927" s="5" t="s">
        <v>7614</v>
      </c>
      <c r="X927" s="5" t="s">
        <v>7614</v>
      </c>
      <c r="Y927" s="4">
        <v>80</v>
      </c>
      <c r="Z927" s="4">
        <v>66</v>
      </c>
      <c r="AA927" s="4">
        <v>199</v>
      </c>
      <c r="AB927" s="4">
        <v>2</v>
      </c>
      <c r="AC927" s="4">
        <v>3</v>
      </c>
      <c r="AD927" s="4">
        <v>5</v>
      </c>
      <c r="AE927" s="4">
        <v>11</v>
      </c>
      <c r="AF927" s="4">
        <v>1</v>
      </c>
      <c r="AG927" s="4">
        <v>4</v>
      </c>
      <c r="AH927" s="4">
        <v>2</v>
      </c>
      <c r="AI927" s="4">
        <v>2</v>
      </c>
      <c r="AJ927" s="4">
        <v>2</v>
      </c>
      <c r="AK927" s="4">
        <v>5</v>
      </c>
      <c r="AL927" s="4">
        <v>1</v>
      </c>
      <c r="AM927" s="4">
        <v>2</v>
      </c>
      <c r="AN927" s="4">
        <v>0</v>
      </c>
      <c r="AO927" s="4">
        <v>0</v>
      </c>
      <c r="AP927" s="3" t="s">
        <v>58</v>
      </c>
      <c r="AQ927" s="3" t="s">
        <v>58</v>
      </c>
      <c r="AS927" s="6" t="str">
        <f>HYPERLINK("https://creighton-primo.hosted.exlibrisgroup.com/primo-explore/search?tab=default_tab&amp;search_scope=EVERYTHING&amp;vid=01CRU&amp;lang=en_US&amp;offset=0&amp;query=any,contains,991002235219702656","Catalog Record")</f>
        <v>Catalog Record</v>
      </c>
      <c r="AT927" s="6" t="str">
        <f>HYPERLINK("http://www.worldcat.org/oclc/28801802","WorldCat Record")</f>
        <v>WorldCat Record</v>
      </c>
      <c r="AU927" s="3" t="s">
        <v>12061</v>
      </c>
      <c r="AV927" s="3" t="s">
        <v>12062</v>
      </c>
      <c r="AW927" s="3" t="s">
        <v>12063</v>
      </c>
      <c r="AX927" s="3" t="s">
        <v>12063</v>
      </c>
      <c r="AY927" s="3" t="s">
        <v>12064</v>
      </c>
      <c r="AZ927" s="3" t="s">
        <v>74</v>
      </c>
      <c r="BB927" s="3" t="s">
        <v>12065</v>
      </c>
      <c r="BC927" s="3" t="s">
        <v>12066</v>
      </c>
      <c r="BD927" s="3" t="s">
        <v>12067</v>
      </c>
    </row>
    <row r="928" spans="1:56" ht="42.75" customHeight="1" x14ac:dyDescent="0.25">
      <c r="A928" s="7" t="s">
        <v>58</v>
      </c>
      <c r="B928" s="2" t="s">
        <v>12068</v>
      </c>
      <c r="C928" s="2" t="s">
        <v>12069</v>
      </c>
      <c r="D928" s="2" t="s">
        <v>12070</v>
      </c>
      <c r="E928" s="3" t="s">
        <v>12071</v>
      </c>
      <c r="F928" s="3" t="s">
        <v>58</v>
      </c>
      <c r="G928" s="3" t="s">
        <v>59</v>
      </c>
      <c r="H928" s="3" t="s">
        <v>58</v>
      </c>
      <c r="I928" s="3" t="s">
        <v>58</v>
      </c>
      <c r="J928" s="3" t="s">
        <v>60</v>
      </c>
      <c r="K928" s="2" t="s">
        <v>12072</v>
      </c>
      <c r="L928" s="2" t="s">
        <v>12073</v>
      </c>
      <c r="M928" s="3" t="s">
        <v>329</v>
      </c>
      <c r="O928" s="3" t="s">
        <v>64</v>
      </c>
      <c r="P928" s="3" t="s">
        <v>115</v>
      </c>
      <c r="R928" s="3" t="s">
        <v>67</v>
      </c>
      <c r="S928" s="4">
        <v>3</v>
      </c>
      <c r="T928" s="4">
        <v>3</v>
      </c>
      <c r="U928" s="5" t="s">
        <v>12074</v>
      </c>
      <c r="V928" s="5" t="s">
        <v>12074</v>
      </c>
      <c r="W928" s="5" t="s">
        <v>4730</v>
      </c>
      <c r="X928" s="5" t="s">
        <v>4730</v>
      </c>
      <c r="Y928" s="4">
        <v>466</v>
      </c>
      <c r="Z928" s="4">
        <v>434</v>
      </c>
      <c r="AA928" s="4">
        <v>471</v>
      </c>
      <c r="AB928" s="4">
        <v>4</v>
      </c>
      <c r="AC928" s="4">
        <v>4</v>
      </c>
      <c r="AD928" s="4">
        <v>15</v>
      </c>
      <c r="AE928" s="4">
        <v>17</v>
      </c>
      <c r="AF928" s="4">
        <v>3</v>
      </c>
      <c r="AG928" s="4">
        <v>3</v>
      </c>
      <c r="AH928" s="4">
        <v>2</v>
      </c>
      <c r="AI928" s="4">
        <v>3</v>
      </c>
      <c r="AJ928" s="4">
        <v>9</v>
      </c>
      <c r="AK928" s="4">
        <v>10</v>
      </c>
      <c r="AL928" s="4">
        <v>3</v>
      </c>
      <c r="AM928" s="4">
        <v>3</v>
      </c>
      <c r="AN928" s="4">
        <v>0</v>
      </c>
      <c r="AO928" s="4">
        <v>0</v>
      </c>
      <c r="AP928" s="3" t="s">
        <v>58</v>
      </c>
      <c r="AQ928" s="3" t="s">
        <v>86</v>
      </c>
      <c r="AR928" s="6" t="str">
        <f>HYPERLINK("http://catalog.hathitrust.org/Record/000737678","HathiTrust Record")</f>
        <v>HathiTrust Record</v>
      </c>
      <c r="AS928" s="6" t="str">
        <f>HYPERLINK("https://creighton-primo.hosted.exlibrisgroup.com/primo-explore/search?tab=default_tab&amp;search_scope=EVERYTHING&amp;vid=01CRU&amp;lang=en_US&amp;offset=0&amp;query=any,contains,991000961169702656","Catalog Record")</f>
        <v>Catalog Record</v>
      </c>
      <c r="AT928" s="6" t="str">
        <f>HYPERLINK("http://www.worldcat.org/oclc/169313","WorldCat Record")</f>
        <v>WorldCat Record</v>
      </c>
      <c r="AU928" s="3" t="s">
        <v>12075</v>
      </c>
      <c r="AV928" s="3" t="s">
        <v>12076</v>
      </c>
      <c r="AW928" s="3" t="s">
        <v>12077</v>
      </c>
      <c r="AX928" s="3" t="s">
        <v>12077</v>
      </c>
      <c r="AY928" s="3" t="s">
        <v>12078</v>
      </c>
      <c r="AZ928" s="3" t="s">
        <v>74</v>
      </c>
      <c r="BC928" s="3" t="s">
        <v>12079</v>
      </c>
      <c r="BD928" s="3" t="s">
        <v>12080</v>
      </c>
    </row>
    <row r="929" spans="1:56" ht="42.75" customHeight="1" x14ac:dyDescent="0.25">
      <c r="A929" s="7" t="s">
        <v>58</v>
      </c>
      <c r="B929" s="2" t="s">
        <v>12081</v>
      </c>
      <c r="C929" s="2" t="s">
        <v>12082</v>
      </c>
      <c r="D929" s="2" t="s">
        <v>12083</v>
      </c>
      <c r="F929" s="3" t="s">
        <v>58</v>
      </c>
      <c r="G929" s="3" t="s">
        <v>59</v>
      </c>
      <c r="H929" s="3" t="s">
        <v>58</v>
      </c>
      <c r="I929" s="3" t="s">
        <v>58</v>
      </c>
      <c r="J929" s="3" t="s">
        <v>60</v>
      </c>
      <c r="K929" s="2" t="s">
        <v>12084</v>
      </c>
      <c r="L929" s="2" t="s">
        <v>7455</v>
      </c>
      <c r="M929" s="3" t="s">
        <v>642</v>
      </c>
      <c r="O929" s="3" t="s">
        <v>64</v>
      </c>
      <c r="P929" s="3" t="s">
        <v>115</v>
      </c>
      <c r="Q929" s="2" t="s">
        <v>10689</v>
      </c>
      <c r="R929" s="3" t="s">
        <v>67</v>
      </c>
      <c r="S929" s="4">
        <v>17</v>
      </c>
      <c r="T929" s="4">
        <v>17</v>
      </c>
      <c r="U929" s="5" t="s">
        <v>12085</v>
      </c>
      <c r="V929" s="5" t="s">
        <v>12085</v>
      </c>
      <c r="W929" s="5" t="s">
        <v>12086</v>
      </c>
      <c r="X929" s="5" t="s">
        <v>12086</v>
      </c>
      <c r="Y929" s="4">
        <v>237</v>
      </c>
      <c r="Z929" s="4">
        <v>178</v>
      </c>
      <c r="AA929" s="4">
        <v>195</v>
      </c>
      <c r="AB929" s="4">
        <v>3</v>
      </c>
      <c r="AC929" s="4">
        <v>3</v>
      </c>
      <c r="AD929" s="4">
        <v>7</v>
      </c>
      <c r="AE929" s="4">
        <v>7</v>
      </c>
      <c r="AF929" s="4">
        <v>1</v>
      </c>
      <c r="AG929" s="4">
        <v>1</v>
      </c>
      <c r="AH929" s="4">
        <v>2</v>
      </c>
      <c r="AI929" s="4">
        <v>2</v>
      </c>
      <c r="AJ929" s="4">
        <v>4</v>
      </c>
      <c r="AK929" s="4">
        <v>4</v>
      </c>
      <c r="AL929" s="4">
        <v>2</v>
      </c>
      <c r="AM929" s="4">
        <v>2</v>
      </c>
      <c r="AN929" s="4">
        <v>0</v>
      </c>
      <c r="AO929" s="4">
        <v>0</v>
      </c>
      <c r="AP929" s="3" t="s">
        <v>58</v>
      </c>
      <c r="AQ929" s="3" t="s">
        <v>58</v>
      </c>
      <c r="AS929" s="6" t="str">
        <f>HYPERLINK("https://creighton-primo.hosted.exlibrisgroup.com/primo-explore/search?tab=default_tab&amp;search_scope=EVERYTHING&amp;vid=01CRU&amp;lang=en_US&amp;offset=0&amp;query=any,contains,991002051169702656","Catalog Record")</f>
        <v>Catalog Record</v>
      </c>
      <c r="AT929" s="6" t="str">
        <f>HYPERLINK("http://www.worldcat.org/oclc/26163655","WorldCat Record")</f>
        <v>WorldCat Record</v>
      </c>
      <c r="AU929" s="3" t="s">
        <v>12087</v>
      </c>
      <c r="AV929" s="3" t="s">
        <v>12088</v>
      </c>
      <c r="AW929" s="3" t="s">
        <v>12089</v>
      </c>
      <c r="AX929" s="3" t="s">
        <v>12089</v>
      </c>
      <c r="AY929" s="3" t="s">
        <v>12090</v>
      </c>
      <c r="AZ929" s="3" t="s">
        <v>74</v>
      </c>
      <c r="BB929" s="3" t="s">
        <v>12091</v>
      </c>
      <c r="BC929" s="3" t="s">
        <v>12092</v>
      </c>
      <c r="BD929" s="3" t="s">
        <v>12093</v>
      </c>
    </row>
    <row r="930" spans="1:56" ht="42.75" customHeight="1" x14ac:dyDescent="0.25">
      <c r="A930" s="7" t="s">
        <v>58</v>
      </c>
      <c r="B930" s="2" t="s">
        <v>12094</v>
      </c>
      <c r="C930" s="2" t="s">
        <v>12095</v>
      </c>
      <c r="D930" s="2" t="s">
        <v>12096</v>
      </c>
      <c r="F930" s="3" t="s">
        <v>58</v>
      </c>
      <c r="G930" s="3" t="s">
        <v>59</v>
      </c>
      <c r="H930" s="3" t="s">
        <v>58</v>
      </c>
      <c r="I930" s="3" t="s">
        <v>58</v>
      </c>
      <c r="J930" s="3" t="s">
        <v>60</v>
      </c>
      <c r="K930" s="2" t="s">
        <v>12097</v>
      </c>
      <c r="L930" s="2" t="s">
        <v>12098</v>
      </c>
      <c r="M930" s="3" t="s">
        <v>223</v>
      </c>
      <c r="O930" s="3" t="s">
        <v>64</v>
      </c>
      <c r="P930" s="3" t="s">
        <v>5239</v>
      </c>
      <c r="R930" s="3" t="s">
        <v>67</v>
      </c>
      <c r="S930" s="4">
        <v>7</v>
      </c>
      <c r="T930" s="4">
        <v>7</v>
      </c>
      <c r="U930" s="5" t="s">
        <v>12099</v>
      </c>
      <c r="V930" s="5" t="s">
        <v>12099</v>
      </c>
      <c r="W930" s="5" t="s">
        <v>4730</v>
      </c>
      <c r="X930" s="5" t="s">
        <v>4730</v>
      </c>
      <c r="Y930" s="4">
        <v>116</v>
      </c>
      <c r="Z930" s="4">
        <v>106</v>
      </c>
      <c r="AA930" s="4">
        <v>106</v>
      </c>
      <c r="AB930" s="4">
        <v>2</v>
      </c>
      <c r="AC930" s="4">
        <v>2</v>
      </c>
      <c r="AD930" s="4">
        <v>2</v>
      </c>
      <c r="AE930" s="4">
        <v>2</v>
      </c>
      <c r="AF930" s="4">
        <v>0</v>
      </c>
      <c r="AG930" s="4">
        <v>0</v>
      </c>
      <c r="AH930" s="4">
        <v>0</v>
      </c>
      <c r="AI930" s="4">
        <v>0</v>
      </c>
      <c r="AJ930" s="4">
        <v>1</v>
      </c>
      <c r="AK930" s="4">
        <v>1</v>
      </c>
      <c r="AL930" s="4">
        <v>1</v>
      </c>
      <c r="AM930" s="4">
        <v>1</v>
      </c>
      <c r="AN930" s="4">
        <v>0</v>
      </c>
      <c r="AO930" s="4">
        <v>0</v>
      </c>
      <c r="AP930" s="3" t="s">
        <v>58</v>
      </c>
      <c r="AQ930" s="3" t="s">
        <v>58</v>
      </c>
      <c r="AS930" s="6" t="str">
        <f>HYPERLINK("https://creighton-primo.hosted.exlibrisgroup.com/primo-explore/search?tab=default_tab&amp;search_scope=EVERYTHING&amp;vid=01CRU&amp;lang=en_US&amp;offset=0&amp;query=any,contains,991004561769702656","Catalog Record")</f>
        <v>Catalog Record</v>
      </c>
      <c r="AT930" s="6" t="str">
        <f>HYPERLINK("http://www.worldcat.org/oclc/4003442","WorldCat Record")</f>
        <v>WorldCat Record</v>
      </c>
      <c r="AU930" s="3" t="s">
        <v>12100</v>
      </c>
      <c r="AV930" s="3" t="s">
        <v>12101</v>
      </c>
      <c r="AW930" s="3" t="s">
        <v>12102</v>
      </c>
      <c r="AX930" s="3" t="s">
        <v>12102</v>
      </c>
      <c r="AY930" s="3" t="s">
        <v>12103</v>
      </c>
      <c r="AZ930" s="3" t="s">
        <v>74</v>
      </c>
      <c r="BB930" s="3" t="s">
        <v>12104</v>
      </c>
      <c r="BC930" s="3" t="s">
        <v>12105</v>
      </c>
      <c r="BD930" s="3" t="s">
        <v>12106</v>
      </c>
    </row>
    <row r="931" spans="1:56" ht="42.75" customHeight="1" x14ac:dyDescent="0.25">
      <c r="A931" s="7" t="s">
        <v>58</v>
      </c>
      <c r="B931" s="2" t="s">
        <v>12107</v>
      </c>
      <c r="C931" s="2" t="s">
        <v>12108</v>
      </c>
      <c r="D931" s="2" t="s">
        <v>12109</v>
      </c>
      <c r="F931" s="3" t="s">
        <v>58</v>
      </c>
      <c r="G931" s="3" t="s">
        <v>59</v>
      </c>
      <c r="H931" s="3" t="s">
        <v>58</v>
      </c>
      <c r="I931" s="3" t="s">
        <v>86</v>
      </c>
      <c r="J931" s="3" t="s">
        <v>60</v>
      </c>
      <c r="K931" s="2" t="s">
        <v>12110</v>
      </c>
      <c r="L931" s="2" t="s">
        <v>12111</v>
      </c>
      <c r="M931" s="3" t="s">
        <v>2386</v>
      </c>
      <c r="O931" s="3" t="s">
        <v>64</v>
      </c>
      <c r="P931" s="3" t="s">
        <v>1898</v>
      </c>
      <c r="Q931" s="2" t="s">
        <v>12112</v>
      </c>
      <c r="R931" s="3" t="s">
        <v>67</v>
      </c>
      <c r="S931" s="4">
        <v>3</v>
      </c>
      <c r="T931" s="4">
        <v>3</v>
      </c>
      <c r="U931" s="5" t="s">
        <v>12113</v>
      </c>
      <c r="V931" s="5" t="s">
        <v>12113</v>
      </c>
      <c r="W931" s="5" t="s">
        <v>165</v>
      </c>
      <c r="X931" s="5" t="s">
        <v>165</v>
      </c>
      <c r="Y931" s="4">
        <v>1328</v>
      </c>
      <c r="Z931" s="4">
        <v>1211</v>
      </c>
      <c r="AA931" s="4">
        <v>1336</v>
      </c>
      <c r="AB931" s="4">
        <v>8</v>
      </c>
      <c r="AC931" s="4">
        <v>9</v>
      </c>
      <c r="AD931" s="4">
        <v>41</v>
      </c>
      <c r="AE931" s="4">
        <v>44</v>
      </c>
      <c r="AF931" s="4">
        <v>18</v>
      </c>
      <c r="AG931" s="4">
        <v>18</v>
      </c>
      <c r="AH931" s="4">
        <v>9</v>
      </c>
      <c r="AI931" s="4">
        <v>10</v>
      </c>
      <c r="AJ931" s="4">
        <v>19</v>
      </c>
      <c r="AK931" s="4">
        <v>20</v>
      </c>
      <c r="AL931" s="4">
        <v>5</v>
      </c>
      <c r="AM931" s="4">
        <v>6</v>
      </c>
      <c r="AN931" s="4">
        <v>0</v>
      </c>
      <c r="AO931" s="4">
        <v>0</v>
      </c>
      <c r="AP931" s="3" t="s">
        <v>58</v>
      </c>
      <c r="AQ931" s="3" t="s">
        <v>58</v>
      </c>
      <c r="AS931" s="6" t="str">
        <f>HYPERLINK("https://creighton-primo.hosted.exlibrisgroup.com/primo-explore/search?tab=default_tab&amp;search_scope=EVERYTHING&amp;vid=01CRU&amp;lang=en_US&amp;offset=0&amp;query=any,contains,991003190109702656","Catalog Record")</f>
        <v>Catalog Record</v>
      </c>
      <c r="AT931" s="6" t="str">
        <f>HYPERLINK("http://www.worldcat.org/oclc/715417","WorldCat Record")</f>
        <v>WorldCat Record</v>
      </c>
      <c r="AU931" s="3" t="s">
        <v>12114</v>
      </c>
      <c r="AV931" s="3" t="s">
        <v>12115</v>
      </c>
      <c r="AW931" s="3" t="s">
        <v>12116</v>
      </c>
      <c r="AX931" s="3" t="s">
        <v>12116</v>
      </c>
      <c r="AY931" s="3" t="s">
        <v>12117</v>
      </c>
      <c r="AZ931" s="3" t="s">
        <v>74</v>
      </c>
      <c r="BB931" s="3" t="s">
        <v>12118</v>
      </c>
      <c r="BC931" s="3" t="s">
        <v>12119</v>
      </c>
      <c r="BD931" s="3" t="s">
        <v>12120</v>
      </c>
    </row>
    <row r="932" spans="1:56" ht="42.75" customHeight="1" x14ac:dyDescent="0.25">
      <c r="A932" s="7" t="s">
        <v>58</v>
      </c>
      <c r="B932" s="2" t="s">
        <v>12121</v>
      </c>
      <c r="C932" s="2" t="s">
        <v>12122</v>
      </c>
      <c r="D932" s="2" t="s">
        <v>12123</v>
      </c>
      <c r="F932" s="3" t="s">
        <v>58</v>
      </c>
      <c r="G932" s="3" t="s">
        <v>59</v>
      </c>
      <c r="H932" s="3" t="s">
        <v>58</v>
      </c>
      <c r="I932" s="3" t="s">
        <v>58</v>
      </c>
      <c r="J932" s="3" t="s">
        <v>60</v>
      </c>
      <c r="K932" s="2" t="s">
        <v>12124</v>
      </c>
      <c r="L932" s="2" t="s">
        <v>12125</v>
      </c>
      <c r="M932" s="3" t="s">
        <v>2770</v>
      </c>
      <c r="O932" s="3" t="s">
        <v>64</v>
      </c>
      <c r="P932" s="3" t="s">
        <v>115</v>
      </c>
      <c r="R932" s="3" t="s">
        <v>67</v>
      </c>
      <c r="S932" s="4">
        <v>2</v>
      </c>
      <c r="T932" s="4">
        <v>2</v>
      </c>
      <c r="U932" s="5" t="s">
        <v>12126</v>
      </c>
      <c r="V932" s="5" t="s">
        <v>12126</v>
      </c>
      <c r="W932" s="5" t="s">
        <v>4730</v>
      </c>
      <c r="X932" s="5" t="s">
        <v>4730</v>
      </c>
      <c r="Y932" s="4">
        <v>241</v>
      </c>
      <c r="Z932" s="4">
        <v>214</v>
      </c>
      <c r="AA932" s="4">
        <v>244</v>
      </c>
      <c r="AB932" s="4">
        <v>2</v>
      </c>
      <c r="AC932" s="4">
        <v>2</v>
      </c>
      <c r="AD932" s="4">
        <v>5</v>
      </c>
      <c r="AE932" s="4">
        <v>6</v>
      </c>
      <c r="AF932" s="4">
        <v>0</v>
      </c>
      <c r="AG932" s="4">
        <v>0</v>
      </c>
      <c r="AH932" s="4">
        <v>1</v>
      </c>
      <c r="AI932" s="4">
        <v>2</v>
      </c>
      <c r="AJ932" s="4">
        <v>3</v>
      </c>
      <c r="AK932" s="4">
        <v>4</v>
      </c>
      <c r="AL932" s="4">
        <v>1</v>
      </c>
      <c r="AM932" s="4">
        <v>1</v>
      </c>
      <c r="AN932" s="4">
        <v>0</v>
      </c>
      <c r="AO932" s="4">
        <v>0</v>
      </c>
      <c r="AP932" s="3" t="s">
        <v>58</v>
      </c>
      <c r="AQ932" s="3" t="s">
        <v>86</v>
      </c>
      <c r="AR932" s="6" t="str">
        <f>HYPERLINK("http://catalog.hathitrust.org/Record/002190693","HathiTrust Record")</f>
        <v>HathiTrust Record</v>
      </c>
      <c r="AS932" s="6" t="str">
        <f>HYPERLINK("https://creighton-primo.hosted.exlibrisgroup.com/primo-explore/search?tab=default_tab&amp;search_scope=EVERYTHING&amp;vid=01CRU&amp;lang=en_US&amp;offset=0&amp;query=any,contains,991004388339702656","Catalog Record")</f>
        <v>Catalog Record</v>
      </c>
      <c r="AT932" s="6" t="str">
        <f>HYPERLINK("http://www.worldcat.org/oclc/3252103","WorldCat Record")</f>
        <v>WorldCat Record</v>
      </c>
      <c r="AU932" s="3" t="s">
        <v>12127</v>
      </c>
      <c r="AV932" s="3" t="s">
        <v>12128</v>
      </c>
      <c r="AW932" s="3" t="s">
        <v>12129</v>
      </c>
      <c r="AX932" s="3" t="s">
        <v>12129</v>
      </c>
      <c r="AY932" s="3" t="s">
        <v>12130</v>
      </c>
      <c r="AZ932" s="3" t="s">
        <v>74</v>
      </c>
      <c r="BB932" s="3" t="s">
        <v>12131</v>
      </c>
      <c r="BC932" s="3" t="s">
        <v>12132</v>
      </c>
      <c r="BD932" s="3" t="s">
        <v>12133</v>
      </c>
    </row>
    <row r="933" spans="1:56" ht="42.75" customHeight="1" x14ac:dyDescent="0.25">
      <c r="A933" s="7" t="s">
        <v>58</v>
      </c>
      <c r="B933" s="2" t="s">
        <v>12134</v>
      </c>
      <c r="C933" s="2" t="s">
        <v>12135</v>
      </c>
      <c r="D933" s="2" t="s">
        <v>12136</v>
      </c>
      <c r="F933" s="3" t="s">
        <v>58</v>
      </c>
      <c r="G933" s="3" t="s">
        <v>59</v>
      </c>
      <c r="H933" s="3" t="s">
        <v>58</v>
      </c>
      <c r="I933" s="3" t="s">
        <v>58</v>
      </c>
      <c r="J933" s="3" t="s">
        <v>60</v>
      </c>
      <c r="L933" s="2" t="s">
        <v>12137</v>
      </c>
      <c r="M933" s="3" t="s">
        <v>642</v>
      </c>
      <c r="O933" s="3" t="s">
        <v>64</v>
      </c>
      <c r="P933" s="3" t="s">
        <v>145</v>
      </c>
      <c r="R933" s="3" t="s">
        <v>67</v>
      </c>
      <c r="S933" s="4">
        <v>4</v>
      </c>
      <c r="T933" s="4">
        <v>4</v>
      </c>
      <c r="U933" s="5" t="s">
        <v>12138</v>
      </c>
      <c r="V933" s="5" t="s">
        <v>12138</v>
      </c>
      <c r="W933" s="5" t="s">
        <v>683</v>
      </c>
      <c r="X933" s="5" t="s">
        <v>683</v>
      </c>
      <c r="Y933" s="4">
        <v>298</v>
      </c>
      <c r="Z933" s="4">
        <v>225</v>
      </c>
      <c r="AA933" s="4">
        <v>297</v>
      </c>
      <c r="AB933" s="4">
        <v>1</v>
      </c>
      <c r="AC933" s="4">
        <v>2</v>
      </c>
      <c r="AD933" s="4">
        <v>9</v>
      </c>
      <c r="AE933" s="4">
        <v>14</v>
      </c>
      <c r="AF933" s="4">
        <v>4</v>
      </c>
      <c r="AG933" s="4">
        <v>6</v>
      </c>
      <c r="AH933" s="4">
        <v>2</v>
      </c>
      <c r="AI933" s="4">
        <v>2</v>
      </c>
      <c r="AJ933" s="4">
        <v>6</v>
      </c>
      <c r="AK933" s="4">
        <v>8</v>
      </c>
      <c r="AL933" s="4">
        <v>0</v>
      </c>
      <c r="AM933" s="4">
        <v>1</v>
      </c>
      <c r="AN933" s="4">
        <v>0</v>
      </c>
      <c r="AO933" s="4">
        <v>0</v>
      </c>
      <c r="AP933" s="3" t="s">
        <v>58</v>
      </c>
      <c r="AQ933" s="3" t="s">
        <v>58</v>
      </c>
      <c r="AS933" s="6" t="str">
        <f>HYPERLINK("https://creighton-primo.hosted.exlibrisgroup.com/primo-explore/search?tab=default_tab&amp;search_scope=EVERYTHING&amp;vid=01CRU&amp;lang=en_US&amp;offset=0&amp;query=any,contains,991002013569702656","Catalog Record")</f>
        <v>Catalog Record</v>
      </c>
      <c r="AT933" s="6" t="str">
        <f>HYPERLINK("http://www.worldcat.org/oclc/25593453","WorldCat Record")</f>
        <v>WorldCat Record</v>
      </c>
      <c r="AU933" s="3" t="s">
        <v>12139</v>
      </c>
      <c r="AV933" s="3" t="s">
        <v>12140</v>
      </c>
      <c r="AW933" s="3" t="s">
        <v>12141</v>
      </c>
      <c r="AX933" s="3" t="s">
        <v>12141</v>
      </c>
      <c r="AY933" s="3" t="s">
        <v>12142</v>
      </c>
      <c r="AZ933" s="3" t="s">
        <v>74</v>
      </c>
      <c r="BB933" s="3" t="s">
        <v>12143</v>
      </c>
      <c r="BC933" s="3" t="s">
        <v>12144</v>
      </c>
      <c r="BD933" s="3" t="s">
        <v>12145</v>
      </c>
    </row>
    <row r="934" spans="1:56" ht="42.75" customHeight="1" x14ac:dyDescent="0.25">
      <c r="A934" s="7" t="s">
        <v>58</v>
      </c>
      <c r="B934" s="2" t="s">
        <v>12146</v>
      </c>
      <c r="C934" s="2" t="s">
        <v>12147</v>
      </c>
      <c r="D934" s="2" t="s">
        <v>12148</v>
      </c>
      <c r="F934" s="3" t="s">
        <v>58</v>
      </c>
      <c r="G934" s="3" t="s">
        <v>59</v>
      </c>
      <c r="H934" s="3" t="s">
        <v>58</v>
      </c>
      <c r="I934" s="3" t="s">
        <v>58</v>
      </c>
      <c r="J934" s="3" t="s">
        <v>60</v>
      </c>
      <c r="K934" s="2" t="s">
        <v>12149</v>
      </c>
      <c r="L934" s="2" t="s">
        <v>12150</v>
      </c>
      <c r="M934" s="3" t="s">
        <v>299</v>
      </c>
      <c r="O934" s="3" t="s">
        <v>64</v>
      </c>
      <c r="P934" s="3" t="s">
        <v>115</v>
      </c>
      <c r="R934" s="3" t="s">
        <v>67</v>
      </c>
      <c r="S934" s="4">
        <v>2</v>
      </c>
      <c r="T934" s="4">
        <v>2</v>
      </c>
      <c r="U934" s="5" t="s">
        <v>12151</v>
      </c>
      <c r="V934" s="5" t="s">
        <v>12151</v>
      </c>
      <c r="W934" s="5" t="s">
        <v>12152</v>
      </c>
      <c r="X934" s="5" t="s">
        <v>12152</v>
      </c>
      <c r="Y934" s="4">
        <v>468</v>
      </c>
      <c r="Z934" s="4">
        <v>413</v>
      </c>
      <c r="AA934" s="4">
        <v>458</v>
      </c>
      <c r="AB934" s="4">
        <v>5</v>
      </c>
      <c r="AC934" s="4">
        <v>6</v>
      </c>
      <c r="AD934" s="4">
        <v>18</v>
      </c>
      <c r="AE934" s="4">
        <v>22</v>
      </c>
      <c r="AF934" s="4">
        <v>4</v>
      </c>
      <c r="AG934" s="4">
        <v>5</v>
      </c>
      <c r="AH934" s="4">
        <v>5</v>
      </c>
      <c r="AI934" s="4">
        <v>6</v>
      </c>
      <c r="AJ934" s="4">
        <v>10</v>
      </c>
      <c r="AK934" s="4">
        <v>12</v>
      </c>
      <c r="AL934" s="4">
        <v>3</v>
      </c>
      <c r="AM934" s="4">
        <v>4</v>
      </c>
      <c r="AN934" s="4">
        <v>0</v>
      </c>
      <c r="AO934" s="4">
        <v>0</v>
      </c>
      <c r="AP934" s="3" t="s">
        <v>58</v>
      </c>
      <c r="AQ934" s="3" t="s">
        <v>58</v>
      </c>
      <c r="AR934" s="6" t="str">
        <f>HYPERLINK("http://catalog.hathitrust.org/Record/001564900","HathiTrust Record")</f>
        <v>HathiTrust Record</v>
      </c>
      <c r="AS934" s="6" t="str">
        <f>HYPERLINK("https://creighton-primo.hosted.exlibrisgroup.com/primo-explore/search?tab=default_tab&amp;search_scope=EVERYTHING&amp;vid=01CRU&amp;lang=en_US&amp;offset=0&amp;query=any,contains,991001814959702656","Catalog Record")</f>
        <v>Catalog Record</v>
      </c>
      <c r="AT934" s="6" t="str">
        <f>HYPERLINK("http://www.worldcat.org/oclc/22808538","WorldCat Record")</f>
        <v>WorldCat Record</v>
      </c>
      <c r="AU934" s="3" t="s">
        <v>12153</v>
      </c>
      <c r="AV934" s="3" t="s">
        <v>12154</v>
      </c>
      <c r="AW934" s="3" t="s">
        <v>12155</v>
      </c>
      <c r="AX934" s="3" t="s">
        <v>12155</v>
      </c>
      <c r="AY934" s="3" t="s">
        <v>12156</v>
      </c>
      <c r="AZ934" s="3" t="s">
        <v>74</v>
      </c>
      <c r="BC934" s="3" t="s">
        <v>12157</v>
      </c>
      <c r="BD934" s="3" t="s">
        <v>12158</v>
      </c>
    </row>
    <row r="935" spans="1:56" ht="42.75" customHeight="1" x14ac:dyDescent="0.25">
      <c r="A935" s="7" t="s">
        <v>58</v>
      </c>
      <c r="B935" s="2" t="s">
        <v>12159</v>
      </c>
      <c r="C935" s="2" t="s">
        <v>12160</v>
      </c>
      <c r="D935" s="2" t="s">
        <v>12161</v>
      </c>
      <c r="F935" s="3" t="s">
        <v>58</v>
      </c>
      <c r="G935" s="3" t="s">
        <v>59</v>
      </c>
      <c r="H935" s="3" t="s">
        <v>58</v>
      </c>
      <c r="I935" s="3" t="s">
        <v>58</v>
      </c>
      <c r="J935" s="3" t="s">
        <v>60</v>
      </c>
      <c r="L935" s="2" t="s">
        <v>12162</v>
      </c>
      <c r="M935" s="3" t="s">
        <v>223</v>
      </c>
      <c r="O935" s="3" t="s">
        <v>64</v>
      </c>
      <c r="P935" s="3" t="s">
        <v>115</v>
      </c>
      <c r="R935" s="3" t="s">
        <v>67</v>
      </c>
      <c r="S935" s="4">
        <v>6</v>
      </c>
      <c r="T935" s="4">
        <v>6</v>
      </c>
      <c r="U935" s="5" t="s">
        <v>12163</v>
      </c>
      <c r="V935" s="5" t="s">
        <v>12163</v>
      </c>
      <c r="W935" s="5" t="s">
        <v>4730</v>
      </c>
      <c r="X935" s="5" t="s">
        <v>4730</v>
      </c>
      <c r="Y935" s="4">
        <v>520</v>
      </c>
      <c r="Z935" s="4">
        <v>409</v>
      </c>
      <c r="AA935" s="4">
        <v>414</v>
      </c>
      <c r="AB935" s="4">
        <v>5</v>
      </c>
      <c r="AC935" s="4">
        <v>5</v>
      </c>
      <c r="AD935" s="4">
        <v>23</v>
      </c>
      <c r="AE935" s="4">
        <v>23</v>
      </c>
      <c r="AF935" s="4">
        <v>8</v>
      </c>
      <c r="AG935" s="4">
        <v>8</v>
      </c>
      <c r="AH935" s="4">
        <v>6</v>
      </c>
      <c r="AI935" s="4">
        <v>6</v>
      </c>
      <c r="AJ935" s="4">
        <v>10</v>
      </c>
      <c r="AK935" s="4">
        <v>10</v>
      </c>
      <c r="AL935" s="4">
        <v>4</v>
      </c>
      <c r="AM935" s="4">
        <v>4</v>
      </c>
      <c r="AN935" s="4">
        <v>0</v>
      </c>
      <c r="AO935" s="4">
        <v>0</v>
      </c>
      <c r="AP935" s="3" t="s">
        <v>58</v>
      </c>
      <c r="AQ935" s="3" t="s">
        <v>58</v>
      </c>
      <c r="AS935" s="6" t="str">
        <f>HYPERLINK("https://creighton-primo.hosted.exlibrisgroup.com/primo-explore/search?tab=default_tab&amp;search_scope=EVERYTHING&amp;vid=01CRU&amp;lang=en_US&amp;offset=0&amp;query=any,contains,991004453269702656","Catalog Record")</f>
        <v>Catalog Record</v>
      </c>
      <c r="AT935" s="6" t="str">
        <f>HYPERLINK("http://www.worldcat.org/oclc/3516696","WorldCat Record")</f>
        <v>WorldCat Record</v>
      </c>
      <c r="AU935" s="3" t="s">
        <v>12164</v>
      </c>
      <c r="AV935" s="3" t="s">
        <v>12165</v>
      </c>
      <c r="AW935" s="3" t="s">
        <v>12166</v>
      </c>
      <c r="AX935" s="3" t="s">
        <v>12166</v>
      </c>
      <c r="AY935" s="3" t="s">
        <v>12167</v>
      </c>
      <c r="AZ935" s="3" t="s">
        <v>74</v>
      </c>
      <c r="BB935" s="3" t="s">
        <v>12168</v>
      </c>
      <c r="BC935" s="3" t="s">
        <v>12169</v>
      </c>
      <c r="BD935" s="3" t="s">
        <v>12170</v>
      </c>
    </row>
    <row r="936" spans="1:56" ht="42.75" customHeight="1" x14ac:dyDescent="0.25">
      <c r="A936" s="7" t="s">
        <v>58</v>
      </c>
      <c r="B936" s="2" t="s">
        <v>12171</v>
      </c>
      <c r="C936" s="2" t="s">
        <v>12172</v>
      </c>
      <c r="D936" s="2" t="s">
        <v>12173</v>
      </c>
      <c r="F936" s="3" t="s">
        <v>58</v>
      </c>
      <c r="G936" s="3" t="s">
        <v>59</v>
      </c>
      <c r="H936" s="3" t="s">
        <v>58</v>
      </c>
      <c r="I936" s="3" t="s">
        <v>58</v>
      </c>
      <c r="J936" s="3" t="s">
        <v>60</v>
      </c>
      <c r="L936" s="2" t="s">
        <v>12174</v>
      </c>
      <c r="M936" s="3" t="s">
        <v>223</v>
      </c>
      <c r="O936" s="3" t="s">
        <v>64</v>
      </c>
      <c r="P936" s="3" t="s">
        <v>115</v>
      </c>
      <c r="R936" s="3" t="s">
        <v>67</v>
      </c>
      <c r="S936" s="4">
        <v>5</v>
      </c>
      <c r="T936" s="4">
        <v>5</v>
      </c>
      <c r="U936" s="5" t="s">
        <v>8351</v>
      </c>
      <c r="V936" s="5" t="s">
        <v>8351</v>
      </c>
      <c r="W936" s="5" t="s">
        <v>4730</v>
      </c>
      <c r="X936" s="5" t="s">
        <v>4730</v>
      </c>
      <c r="Y936" s="4">
        <v>371</v>
      </c>
      <c r="Z936" s="4">
        <v>314</v>
      </c>
      <c r="AA936" s="4">
        <v>321</v>
      </c>
      <c r="AB936" s="4">
        <v>3</v>
      </c>
      <c r="AC936" s="4">
        <v>3</v>
      </c>
      <c r="AD936" s="4">
        <v>11</v>
      </c>
      <c r="AE936" s="4">
        <v>11</v>
      </c>
      <c r="AF936" s="4">
        <v>3</v>
      </c>
      <c r="AG936" s="4">
        <v>3</v>
      </c>
      <c r="AH936" s="4">
        <v>3</v>
      </c>
      <c r="AI936" s="4">
        <v>3</v>
      </c>
      <c r="AJ936" s="4">
        <v>6</v>
      </c>
      <c r="AK936" s="4">
        <v>6</v>
      </c>
      <c r="AL936" s="4">
        <v>1</v>
      </c>
      <c r="AM936" s="4">
        <v>1</v>
      </c>
      <c r="AN936" s="4">
        <v>0</v>
      </c>
      <c r="AO936" s="4">
        <v>0</v>
      </c>
      <c r="AP936" s="3" t="s">
        <v>58</v>
      </c>
      <c r="AQ936" s="3" t="s">
        <v>86</v>
      </c>
      <c r="AR936" s="6" t="str">
        <f>HYPERLINK("http://catalog.hathitrust.org/Record/000136466","HathiTrust Record")</f>
        <v>HathiTrust Record</v>
      </c>
      <c r="AS936" s="6" t="str">
        <f>HYPERLINK("https://creighton-primo.hosted.exlibrisgroup.com/primo-explore/search?tab=default_tab&amp;search_scope=EVERYTHING&amp;vid=01CRU&amp;lang=en_US&amp;offset=0&amp;query=any,contains,991005265829702656","Catalog Record")</f>
        <v>Catalog Record</v>
      </c>
      <c r="AT936" s="6" t="str">
        <f>HYPERLINK("http://www.worldcat.org/oclc/3869061","WorldCat Record")</f>
        <v>WorldCat Record</v>
      </c>
      <c r="AU936" s="3" t="s">
        <v>12175</v>
      </c>
      <c r="AV936" s="3" t="s">
        <v>12176</v>
      </c>
      <c r="AW936" s="3" t="s">
        <v>12177</v>
      </c>
      <c r="AX936" s="3" t="s">
        <v>12177</v>
      </c>
      <c r="AY936" s="3" t="s">
        <v>12178</v>
      </c>
      <c r="AZ936" s="3" t="s">
        <v>74</v>
      </c>
      <c r="BB936" s="3" t="s">
        <v>12179</v>
      </c>
      <c r="BC936" s="3" t="s">
        <v>12180</v>
      </c>
      <c r="BD936" s="3" t="s">
        <v>12181</v>
      </c>
    </row>
    <row r="937" spans="1:56" ht="42.75" customHeight="1" x14ac:dyDescent="0.25">
      <c r="A937" s="7" t="s">
        <v>58</v>
      </c>
      <c r="B937" s="2" t="s">
        <v>12182</v>
      </c>
      <c r="C937" s="2" t="s">
        <v>12183</v>
      </c>
      <c r="D937" s="2" t="s">
        <v>12184</v>
      </c>
      <c r="F937" s="3" t="s">
        <v>58</v>
      </c>
      <c r="G937" s="3" t="s">
        <v>59</v>
      </c>
      <c r="H937" s="3" t="s">
        <v>58</v>
      </c>
      <c r="I937" s="3" t="s">
        <v>58</v>
      </c>
      <c r="J937" s="3" t="s">
        <v>60</v>
      </c>
      <c r="K937" s="2" t="s">
        <v>12185</v>
      </c>
      <c r="L937" s="2" t="s">
        <v>12186</v>
      </c>
      <c r="M937" s="3" t="s">
        <v>2770</v>
      </c>
      <c r="O937" s="3" t="s">
        <v>64</v>
      </c>
      <c r="P937" s="3" t="s">
        <v>115</v>
      </c>
      <c r="R937" s="3" t="s">
        <v>67</v>
      </c>
      <c r="S937" s="4">
        <v>3</v>
      </c>
      <c r="T937" s="4">
        <v>3</v>
      </c>
      <c r="U937" s="5" t="s">
        <v>12187</v>
      </c>
      <c r="V937" s="5" t="s">
        <v>12187</v>
      </c>
      <c r="W937" s="5" t="s">
        <v>4730</v>
      </c>
      <c r="X937" s="5" t="s">
        <v>4730</v>
      </c>
      <c r="Y937" s="4">
        <v>410</v>
      </c>
      <c r="Z937" s="4">
        <v>346</v>
      </c>
      <c r="AA937" s="4">
        <v>355</v>
      </c>
      <c r="AB937" s="4">
        <v>3</v>
      </c>
      <c r="AC937" s="4">
        <v>3</v>
      </c>
      <c r="AD937" s="4">
        <v>10</v>
      </c>
      <c r="AE937" s="4">
        <v>10</v>
      </c>
      <c r="AF937" s="4">
        <v>2</v>
      </c>
      <c r="AG937" s="4">
        <v>2</v>
      </c>
      <c r="AH937" s="4">
        <v>3</v>
      </c>
      <c r="AI937" s="4">
        <v>3</v>
      </c>
      <c r="AJ937" s="4">
        <v>7</v>
      </c>
      <c r="AK937" s="4">
        <v>7</v>
      </c>
      <c r="AL937" s="4">
        <v>1</v>
      </c>
      <c r="AM937" s="4">
        <v>1</v>
      </c>
      <c r="AN937" s="4">
        <v>0</v>
      </c>
      <c r="AO937" s="4">
        <v>0</v>
      </c>
      <c r="AP937" s="3" t="s">
        <v>58</v>
      </c>
      <c r="AQ937" s="3" t="s">
        <v>86</v>
      </c>
      <c r="AR937" s="6" t="str">
        <f>HYPERLINK("http://catalog.hathitrust.org/Record/007406428","HathiTrust Record")</f>
        <v>HathiTrust Record</v>
      </c>
      <c r="AS937" s="6" t="str">
        <f>HYPERLINK("https://creighton-primo.hosted.exlibrisgroup.com/primo-explore/search?tab=default_tab&amp;search_scope=EVERYTHING&amp;vid=01CRU&amp;lang=en_US&amp;offset=0&amp;query=any,contains,991004279659702656","Catalog Record")</f>
        <v>Catalog Record</v>
      </c>
      <c r="AT937" s="6" t="str">
        <f>HYPERLINK("http://www.worldcat.org/oclc/2905703","WorldCat Record")</f>
        <v>WorldCat Record</v>
      </c>
      <c r="AU937" s="3" t="s">
        <v>12188</v>
      </c>
      <c r="AV937" s="3" t="s">
        <v>12189</v>
      </c>
      <c r="AW937" s="3" t="s">
        <v>12190</v>
      </c>
      <c r="AX937" s="3" t="s">
        <v>12190</v>
      </c>
      <c r="AY937" s="3" t="s">
        <v>12191</v>
      </c>
      <c r="AZ937" s="3" t="s">
        <v>74</v>
      </c>
      <c r="BB937" s="3" t="s">
        <v>12192</v>
      </c>
      <c r="BC937" s="3" t="s">
        <v>12193</v>
      </c>
      <c r="BD937" s="3" t="s">
        <v>12194</v>
      </c>
    </row>
    <row r="938" spans="1:56" ht="42.75" customHeight="1" x14ac:dyDescent="0.25">
      <c r="A938" s="7" t="s">
        <v>58</v>
      </c>
      <c r="B938" s="2" t="s">
        <v>12195</v>
      </c>
      <c r="C938" s="2" t="s">
        <v>12196</v>
      </c>
      <c r="D938" s="2" t="s">
        <v>12197</v>
      </c>
      <c r="F938" s="3" t="s">
        <v>58</v>
      </c>
      <c r="G938" s="3" t="s">
        <v>59</v>
      </c>
      <c r="H938" s="3" t="s">
        <v>58</v>
      </c>
      <c r="I938" s="3" t="s">
        <v>58</v>
      </c>
      <c r="J938" s="3" t="s">
        <v>60</v>
      </c>
      <c r="K938" s="2" t="s">
        <v>12072</v>
      </c>
      <c r="L938" s="2" t="s">
        <v>12174</v>
      </c>
      <c r="M938" s="3" t="s">
        <v>223</v>
      </c>
      <c r="O938" s="3" t="s">
        <v>64</v>
      </c>
      <c r="P938" s="3" t="s">
        <v>115</v>
      </c>
      <c r="R938" s="3" t="s">
        <v>67</v>
      </c>
      <c r="S938" s="4">
        <v>2</v>
      </c>
      <c r="T938" s="4">
        <v>2</v>
      </c>
      <c r="U938" s="5" t="s">
        <v>12198</v>
      </c>
      <c r="V938" s="5" t="s">
        <v>12198</v>
      </c>
      <c r="W938" s="5" t="s">
        <v>4730</v>
      </c>
      <c r="X938" s="5" t="s">
        <v>4730</v>
      </c>
      <c r="Y938" s="4">
        <v>269</v>
      </c>
      <c r="Z938" s="4">
        <v>235</v>
      </c>
      <c r="AA938" s="4">
        <v>242</v>
      </c>
      <c r="AB938" s="4">
        <v>2</v>
      </c>
      <c r="AC938" s="4">
        <v>2</v>
      </c>
      <c r="AD938" s="4">
        <v>12</v>
      </c>
      <c r="AE938" s="4">
        <v>12</v>
      </c>
      <c r="AF938" s="4">
        <v>3</v>
      </c>
      <c r="AG938" s="4">
        <v>3</v>
      </c>
      <c r="AH938" s="4">
        <v>4</v>
      </c>
      <c r="AI938" s="4">
        <v>4</v>
      </c>
      <c r="AJ938" s="4">
        <v>8</v>
      </c>
      <c r="AK938" s="4">
        <v>8</v>
      </c>
      <c r="AL938" s="4">
        <v>1</v>
      </c>
      <c r="AM938" s="4">
        <v>1</v>
      </c>
      <c r="AN938" s="4">
        <v>0</v>
      </c>
      <c r="AO938" s="4">
        <v>0</v>
      </c>
      <c r="AP938" s="3" t="s">
        <v>58</v>
      </c>
      <c r="AQ938" s="3" t="s">
        <v>86</v>
      </c>
      <c r="AR938" s="6" t="str">
        <f>HYPERLINK("http://catalog.hathitrust.org/Record/000093019","HathiTrust Record")</f>
        <v>HathiTrust Record</v>
      </c>
      <c r="AS938" s="6" t="str">
        <f>HYPERLINK("https://creighton-primo.hosted.exlibrisgroup.com/primo-explore/search?tab=default_tab&amp;search_scope=EVERYTHING&amp;vid=01CRU&amp;lang=en_US&amp;offset=0&amp;query=any,contains,991004488919702656","Catalog Record")</f>
        <v>Catalog Record</v>
      </c>
      <c r="AT938" s="6" t="str">
        <f>HYPERLINK("http://www.worldcat.org/oclc/3650694","WorldCat Record")</f>
        <v>WorldCat Record</v>
      </c>
      <c r="AU938" s="3" t="s">
        <v>12199</v>
      </c>
      <c r="AV938" s="3" t="s">
        <v>12200</v>
      </c>
      <c r="AW938" s="3" t="s">
        <v>12201</v>
      </c>
      <c r="AX938" s="3" t="s">
        <v>12201</v>
      </c>
      <c r="AY938" s="3" t="s">
        <v>12202</v>
      </c>
      <c r="AZ938" s="3" t="s">
        <v>74</v>
      </c>
      <c r="BB938" s="3" t="s">
        <v>12203</v>
      </c>
      <c r="BC938" s="3" t="s">
        <v>12204</v>
      </c>
      <c r="BD938" s="3" t="s">
        <v>12205</v>
      </c>
    </row>
    <row r="939" spans="1:56" ht="42.75" customHeight="1" x14ac:dyDescent="0.25">
      <c r="A939" s="7" t="s">
        <v>58</v>
      </c>
      <c r="B939" s="2" t="s">
        <v>12206</v>
      </c>
      <c r="C939" s="2" t="s">
        <v>12207</v>
      </c>
      <c r="D939" s="2" t="s">
        <v>12208</v>
      </c>
      <c r="F939" s="3" t="s">
        <v>58</v>
      </c>
      <c r="G939" s="3" t="s">
        <v>59</v>
      </c>
      <c r="H939" s="3" t="s">
        <v>58</v>
      </c>
      <c r="I939" s="3" t="s">
        <v>58</v>
      </c>
      <c r="J939" s="3" t="s">
        <v>60</v>
      </c>
      <c r="L939" s="2" t="s">
        <v>12209</v>
      </c>
      <c r="M939" s="3" t="s">
        <v>2227</v>
      </c>
      <c r="O939" s="3" t="s">
        <v>64</v>
      </c>
      <c r="P939" s="3" t="s">
        <v>115</v>
      </c>
      <c r="Q939" s="2" t="s">
        <v>12210</v>
      </c>
      <c r="R939" s="3" t="s">
        <v>67</v>
      </c>
      <c r="S939" s="4">
        <v>2</v>
      </c>
      <c r="T939" s="4">
        <v>2</v>
      </c>
      <c r="U939" s="5" t="s">
        <v>12074</v>
      </c>
      <c r="V939" s="5" t="s">
        <v>12074</v>
      </c>
      <c r="W939" s="5" t="s">
        <v>4730</v>
      </c>
      <c r="X939" s="5" t="s">
        <v>4730</v>
      </c>
      <c r="Y939" s="4">
        <v>552</v>
      </c>
      <c r="Z939" s="4">
        <v>466</v>
      </c>
      <c r="AA939" s="4">
        <v>556</v>
      </c>
      <c r="AB939" s="4">
        <v>3</v>
      </c>
      <c r="AC939" s="4">
        <v>3</v>
      </c>
      <c r="AD939" s="4">
        <v>24</v>
      </c>
      <c r="AE939" s="4">
        <v>29</v>
      </c>
      <c r="AF939" s="4">
        <v>7</v>
      </c>
      <c r="AG939" s="4">
        <v>9</v>
      </c>
      <c r="AH939" s="4">
        <v>9</v>
      </c>
      <c r="AI939" s="4">
        <v>10</v>
      </c>
      <c r="AJ939" s="4">
        <v>15</v>
      </c>
      <c r="AK939" s="4">
        <v>17</v>
      </c>
      <c r="AL939" s="4">
        <v>2</v>
      </c>
      <c r="AM939" s="4">
        <v>2</v>
      </c>
      <c r="AN939" s="4">
        <v>0</v>
      </c>
      <c r="AO939" s="4">
        <v>1</v>
      </c>
      <c r="AP939" s="3" t="s">
        <v>58</v>
      </c>
      <c r="AQ939" s="3" t="s">
        <v>58</v>
      </c>
      <c r="AS939" s="6" t="str">
        <f>HYPERLINK("https://creighton-primo.hosted.exlibrisgroup.com/primo-explore/search?tab=default_tab&amp;search_scope=EVERYTHING&amp;vid=01CRU&amp;lang=en_US&amp;offset=0&amp;query=any,contains,991000498359702656","Catalog Record")</f>
        <v>Catalog Record</v>
      </c>
      <c r="AT939" s="6" t="str">
        <f>HYPERLINK("http://www.worldcat.org/oclc/11158895","WorldCat Record")</f>
        <v>WorldCat Record</v>
      </c>
      <c r="AU939" s="3" t="s">
        <v>12211</v>
      </c>
      <c r="AV939" s="3" t="s">
        <v>12212</v>
      </c>
      <c r="AW939" s="3" t="s">
        <v>12213</v>
      </c>
      <c r="AX939" s="3" t="s">
        <v>12213</v>
      </c>
      <c r="AY939" s="3" t="s">
        <v>12214</v>
      </c>
      <c r="AZ939" s="3" t="s">
        <v>74</v>
      </c>
      <c r="BB939" s="3" t="s">
        <v>12215</v>
      </c>
      <c r="BC939" s="3" t="s">
        <v>12216</v>
      </c>
      <c r="BD939" s="3" t="s">
        <v>12217</v>
      </c>
    </row>
    <row r="940" spans="1:56" ht="42.75" customHeight="1" x14ac:dyDescent="0.25">
      <c r="A940" s="7" t="s">
        <v>58</v>
      </c>
      <c r="B940" s="2" t="s">
        <v>12218</v>
      </c>
      <c r="C940" s="2" t="s">
        <v>12219</v>
      </c>
      <c r="D940" s="2" t="s">
        <v>12220</v>
      </c>
      <c r="F940" s="3" t="s">
        <v>58</v>
      </c>
      <c r="G940" s="3" t="s">
        <v>59</v>
      </c>
      <c r="H940" s="3" t="s">
        <v>58</v>
      </c>
      <c r="I940" s="3" t="s">
        <v>58</v>
      </c>
      <c r="J940" s="3" t="s">
        <v>60</v>
      </c>
      <c r="K940" s="2" t="s">
        <v>12221</v>
      </c>
      <c r="L940" s="2" t="s">
        <v>10112</v>
      </c>
      <c r="M940" s="3" t="s">
        <v>805</v>
      </c>
      <c r="O940" s="3" t="s">
        <v>64</v>
      </c>
      <c r="P940" s="3" t="s">
        <v>115</v>
      </c>
      <c r="R940" s="3" t="s">
        <v>67</v>
      </c>
      <c r="S940" s="4">
        <v>3</v>
      </c>
      <c r="T940" s="4">
        <v>3</v>
      </c>
      <c r="U940" s="5" t="s">
        <v>12222</v>
      </c>
      <c r="V940" s="5" t="s">
        <v>12222</v>
      </c>
      <c r="W940" s="5" t="s">
        <v>10972</v>
      </c>
      <c r="X940" s="5" t="s">
        <v>10972</v>
      </c>
      <c r="Y940" s="4">
        <v>197</v>
      </c>
      <c r="Z940" s="4">
        <v>169</v>
      </c>
      <c r="AA940" s="4">
        <v>169</v>
      </c>
      <c r="AB940" s="4">
        <v>1</v>
      </c>
      <c r="AC940" s="4">
        <v>1</v>
      </c>
      <c r="AD940" s="4">
        <v>12</v>
      </c>
      <c r="AE940" s="4">
        <v>12</v>
      </c>
      <c r="AF940" s="4">
        <v>4</v>
      </c>
      <c r="AG940" s="4">
        <v>4</v>
      </c>
      <c r="AH940" s="4">
        <v>1</v>
      </c>
      <c r="AI940" s="4">
        <v>1</v>
      </c>
      <c r="AJ940" s="4">
        <v>10</v>
      </c>
      <c r="AK940" s="4">
        <v>10</v>
      </c>
      <c r="AL940" s="4">
        <v>0</v>
      </c>
      <c r="AM940" s="4">
        <v>0</v>
      </c>
      <c r="AN940" s="4">
        <v>0</v>
      </c>
      <c r="AO940" s="4">
        <v>0</v>
      </c>
      <c r="AP940" s="3" t="s">
        <v>58</v>
      </c>
      <c r="AQ940" s="3" t="s">
        <v>58</v>
      </c>
      <c r="AS940" s="6" t="str">
        <f>HYPERLINK("https://creighton-primo.hosted.exlibrisgroup.com/primo-explore/search?tab=default_tab&amp;search_scope=EVERYTHING&amp;vid=01CRU&amp;lang=en_US&amp;offset=0&amp;query=any,contains,991002627489702656","Catalog Record")</f>
        <v>Catalog Record</v>
      </c>
      <c r="AT940" s="6" t="str">
        <f>HYPERLINK("http://www.worldcat.org/oclc/34470960","WorldCat Record")</f>
        <v>WorldCat Record</v>
      </c>
      <c r="AU940" s="3" t="s">
        <v>12223</v>
      </c>
      <c r="AV940" s="3" t="s">
        <v>12224</v>
      </c>
      <c r="AW940" s="3" t="s">
        <v>12225</v>
      </c>
      <c r="AX940" s="3" t="s">
        <v>12225</v>
      </c>
      <c r="AY940" s="3" t="s">
        <v>12226</v>
      </c>
      <c r="AZ940" s="3" t="s">
        <v>74</v>
      </c>
      <c r="BB940" s="3" t="s">
        <v>12227</v>
      </c>
      <c r="BC940" s="3" t="s">
        <v>12228</v>
      </c>
      <c r="BD940" s="3" t="s">
        <v>12229</v>
      </c>
    </row>
    <row r="941" spans="1:56" ht="42.75" customHeight="1" x14ac:dyDescent="0.25">
      <c r="A941" s="7" t="s">
        <v>58</v>
      </c>
      <c r="B941" s="2" t="s">
        <v>12230</v>
      </c>
      <c r="C941" s="2" t="s">
        <v>12231</v>
      </c>
      <c r="D941" s="2" t="s">
        <v>12232</v>
      </c>
      <c r="F941" s="3" t="s">
        <v>58</v>
      </c>
      <c r="G941" s="3" t="s">
        <v>59</v>
      </c>
      <c r="H941" s="3" t="s">
        <v>58</v>
      </c>
      <c r="I941" s="3" t="s">
        <v>58</v>
      </c>
      <c r="J941" s="3" t="s">
        <v>60</v>
      </c>
      <c r="L941" s="2" t="s">
        <v>12233</v>
      </c>
      <c r="M941" s="3" t="s">
        <v>695</v>
      </c>
      <c r="O941" s="3" t="s">
        <v>64</v>
      </c>
      <c r="P941" s="3" t="s">
        <v>65</v>
      </c>
      <c r="Q941" s="2" t="s">
        <v>12234</v>
      </c>
      <c r="R941" s="3" t="s">
        <v>67</v>
      </c>
      <c r="S941" s="4">
        <v>3</v>
      </c>
      <c r="T941" s="4">
        <v>3</v>
      </c>
      <c r="U941" s="5" t="s">
        <v>8222</v>
      </c>
      <c r="V941" s="5" t="s">
        <v>8222</v>
      </c>
      <c r="W941" s="5" t="s">
        <v>12235</v>
      </c>
      <c r="X941" s="5" t="s">
        <v>12235</v>
      </c>
      <c r="Y941" s="4">
        <v>105</v>
      </c>
      <c r="Z941" s="4">
        <v>46</v>
      </c>
      <c r="AA941" s="4">
        <v>63</v>
      </c>
      <c r="AB941" s="4">
        <v>1</v>
      </c>
      <c r="AC941" s="4">
        <v>1</v>
      </c>
      <c r="AD941" s="4">
        <v>1</v>
      </c>
      <c r="AE941" s="4">
        <v>3</v>
      </c>
      <c r="AF941" s="4">
        <v>1</v>
      </c>
      <c r="AG941" s="4">
        <v>3</v>
      </c>
      <c r="AH941" s="4">
        <v>0</v>
      </c>
      <c r="AI941" s="4">
        <v>1</v>
      </c>
      <c r="AJ941" s="4">
        <v>1</v>
      </c>
      <c r="AK941" s="4">
        <v>2</v>
      </c>
      <c r="AL941" s="4">
        <v>0</v>
      </c>
      <c r="AM941" s="4">
        <v>0</v>
      </c>
      <c r="AN941" s="4">
        <v>0</v>
      </c>
      <c r="AO941" s="4">
        <v>0</v>
      </c>
      <c r="AP941" s="3" t="s">
        <v>58</v>
      </c>
      <c r="AQ941" s="3" t="s">
        <v>58</v>
      </c>
      <c r="AS941" s="6" t="str">
        <f>HYPERLINK("https://creighton-primo.hosted.exlibrisgroup.com/primo-explore/search?tab=default_tab&amp;search_scope=EVERYTHING&amp;vid=01CRU&amp;lang=en_US&amp;offset=0&amp;query=any,contains,991002131109702656","Catalog Record")</f>
        <v>Catalog Record</v>
      </c>
      <c r="AT941" s="6" t="str">
        <f>HYPERLINK("http://www.worldcat.org/oclc/27311153","WorldCat Record")</f>
        <v>WorldCat Record</v>
      </c>
      <c r="AU941" s="3" t="s">
        <v>12236</v>
      </c>
      <c r="AV941" s="3" t="s">
        <v>12237</v>
      </c>
      <c r="AW941" s="3" t="s">
        <v>12238</v>
      </c>
      <c r="AX941" s="3" t="s">
        <v>12238</v>
      </c>
      <c r="AY941" s="3" t="s">
        <v>12239</v>
      </c>
      <c r="AZ941" s="3" t="s">
        <v>74</v>
      </c>
      <c r="BB941" s="3" t="s">
        <v>12240</v>
      </c>
      <c r="BC941" s="3" t="s">
        <v>12241</v>
      </c>
      <c r="BD941" s="3" t="s">
        <v>12242</v>
      </c>
    </row>
    <row r="942" spans="1:56" ht="42.75" customHeight="1" x14ac:dyDescent="0.25">
      <c r="A942" s="7" t="s">
        <v>58</v>
      </c>
      <c r="B942" s="2" t="s">
        <v>12243</v>
      </c>
      <c r="C942" s="2" t="s">
        <v>12244</v>
      </c>
      <c r="D942" s="2" t="s">
        <v>12245</v>
      </c>
      <c r="F942" s="3" t="s">
        <v>58</v>
      </c>
      <c r="G942" s="3" t="s">
        <v>59</v>
      </c>
      <c r="H942" s="3" t="s">
        <v>58</v>
      </c>
      <c r="I942" s="3" t="s">
        <v>58</v>
      </c>
      <c r="J942" s="3" t="s">
        <v>60</v>
      </c>
      <c r="K942" s="2" t="s">
        <v>12246</v>
      </c>
      <c r="L942" s="2" t="s">
        <v>7011</v>
      </c>
      <c r="M942" s="3" t="s">
        <v>238</v>
      </c>
      <c r="N942" s="2" t="s">
        <v>4027</v>
      </c>
      <c r="O942" s="3" t="s">
        <v>64</v>
      </c>
      <c r="P942" s="3" t="s">
        <v>99</v>
      </c>
      <c r="R942" s="3" t="s">
        <v>67</v>
      </c>
      <c r="S942" s="4">
        <v>5</v>
      </c>
      <c r="T942" s="4">
        <v>5</v>
      </c>
      <c r="U942" s="5" t="s">
        <v>12247</v>
      </c>
      <c r="V942" s="5" t="s">
        <v>12247</v>
      </c>
      <c r="W942" s="5" t="s">
        <v>4730</v>
      </c>
      <c r="X942" s="5" t="s">
        <v>4730</v>
      </c>
      <c r="Y942" s="4">
        <v>162</v>
      </c>
      <c r="Z942" s="4">
        <v>125</v>
      </c>
      <c r="AA942" s="4">
        <v>280</v>
      </c>
      <c r="AB942" s="4">
        <v>3</v>
      </c>
      <c r="AC942" s="4">
        <v>4</v>
      </c>
      <c r="AD942" s="4">
        <v>5</v>
      </c>
      <c r="AE942" s="4">
        <v>12</v>
      </c>
      <c r="AF942" s="4">
        <v>1</v>
      </c>
      <c r="AG942" s="4">
        <v>2</v>
      </c>
      <c r="AH942" s="4">
        <v>1</v>
      </c>
      <c r="AI942" s="4">
        <v>4</v>
      </c>
      <c r="AJ942" s="4">
        <v>1</v>
      </c>
      <c r="AK942" s="4">
        <v>5</v>
      </c>
      <c r="AL942" s="4">
        <v>2</v>
      </c>
      <c r="AM942" s="4">
        <v>3</v>
      </c>
      <c r="AN942" s="4">
        <v>0</v>
      </c>
      <c r="AO942" s="4">
        <v>0</v>
      </c>
      <c r="AP942" s="3" t="s">
        <v>58</v>
      </c>
      <c r="AQ942" s="3" t="s">
        <v>58</v>
      </c>
      <c r="AS942" s="6" t="str">
        <f>HYPERLINK("https://creighton-primo.hosted.exlibrisgroup.com/primo-explore/search?tab=default_tab&amp;search_scope=EVERYTHING&amp;vid=01CRU&amp;lang=en_US&amp;offset=0&amp;query=any,contains,991004573079702656","Catalog Record")</f>
        <v>Catalog Record</v>
      </c>
      <c r="AT942" s="6" t="str">
        <f>HYPERLINK("http://www.worldcat.org/oclc/4036616","WorldCat Record")</f>
        <v>WorldCat Record</v>
      </c>
      <c r="AU942" s="3" t="s">
        <v>12248</v>
      </c>
      <c r="AV942" s="3" t="s">
        <v>12249</v>
      </c>
      <c r="AW942" s="3" t="s">
        <v>12250</v>
      </c>
      <c r="AX942" s="3" t="s">
        <v>12250</v>
      </c>
      <c r="AY942" s="3" t="s">
        <v>12251</v>
      </c>
      <c r="AZ942" s="3" t="s">
        <v>74</v>
      </c>
      <c r="BB942" s="3" t="s">
        <v>12252</v>
      </c>
      <c r="BC942" s="3" t="s">
        <v>12253</v>
      </c>
      <c r="BD942" s="3" t="s">
        <v>12254</v>
      </c>
    </row>
    <row r="943" spans="1:56" ht="42.75" customHeight="1" x14ac:dyDescent="0.25">
      <c r="A943" s="7" t="s">
        <v>58</v>
      </c>
      <c r="B943" s="2" t="s">
        <v>12255</v>
      </c>
      <c r="C943" s="2" t="s">
        <v>12256</v>
      </c>
      <c r="D943" s="2" t="s">
        <v>12257</v>
      </c>
      <c r="F943" s="3" t="s">
        <v>58</v>
      </c>
      <c r="G943" s="3" t="s">
        <v>59</v>
      </c>
      <c r="H943" s="3" t="s">
        <v>58</v>
      </c>
      <c r="I943" s="3" t="s">
        <v>58</v>
      </c>
      <c r="J943" s="3" t="s">
        <v>60</v>
      </c>
      <c r="K943" s="2" t="s">
        <v>12258</v>
      </c>
      <c r="L943" s="2" t="s">
        <v>12259</v>
      </c>
      <c r="M943" s="3" t="s">
        <v>3914</v>
      </c>
      <c r="O943" s="3" t="s">
        <v>64</v>
      </c>
      <c r="P943" s="3" t="s">
        <v>115</v>
      </c>
      <c r="R943" s="3" t="s">
        <v>67</v>
      </c>
      <c r="S943" s="4">
        <v>4</v>
      </c>
      <c r="T943" s="4">
        <v>4</v>
      </c>
      <c r="U943" s="5" t="s">
        <v>12260</v>
      </c>
      <c r="V943" s="5" t="s">
        <v>12260</v>
      </c>
      <c r="W943" s="5" t="s">
        <v>12261</v>
      </c>
      <c r="X943" s="5" t="s">
        <v>12261</v>
      </c>
      <c r="Y943" s="4">
        <v>614</v>
      </c>
      <c r="Z943" s="4">
        <v>557</v>
      </c>
      <c r="AA943" s="4">
        <v>611</v>
      </c>
      <c r="AB943" s="4">
        <v>9</v>
      </c>
      <c r="AC943" s="4">
        <v>10</v>
      </c>
      <c r="AD943" s="4">
        <v>22</v>
      </c>
      <c r="AE943" s="4">
        <v>23</v>
      </c>
      <c r="AF943" s="4">
        <v>7</v>
      </c>
      <c r="AG943" s="4">
        <v>7</v>
      </c>
      <c r="AH943" s="4">
        <v>6</v>
      </c>
      <c r="AI943" s="4">
        <v>6</v>
      </c>
      <c r="AJ943" s="4">
        <v>8</v>
      </c>
      <c r="AK943" s="4">
        <v>8</v>
      </c>
      <c r="AL943" s="4">
        <v>5</v>
      </c>
      <c r="AM943" s="4">
        <v>6</v>
      </c>
      <c r="AN943" s="4">
        <v>0</v>
      </c>
      <c r="AO943" s="4">
        <v>0</v>
      </c>
      <c r="AP943" s="3" t="s">
        <v>58</v>
      </c>
      <c r="AQ943" s="3" t="s">
        <v>86</v>
      </c>
      <c r="AR943" s="6" t="str">
        <f>HYPERLINK("http://catalog.hathitrust.org/Record/000033873","HathiTrust Record")</f>
        <v>HathiTrust Record</v>
      </c>
      <c r="AS943" s="6" t="str">
        <f>HYPERLINK("https://creighton-primo.hosted.exlibrisgroup.com/primo-explore/search?tab=default_tab&amp;search_scope=EVERYTHING&amp;vid=01CRU&amp;lang=en_US&amp;offset=0&amp;query=any,contains,991003829129702656","Catalog Record")</f>
        <v>Catalog Record</v>
      </c>
      <c r="AT943" s="6" t="str">
        <f>HYPERLINK("http://www.worldcat.org/oclc/1582777","WorldCat Record")</f>
        <v>WorldCat Record</v>
      </c>
      <c r="AU943" s="3" t="s">
        <v>12262</v>
      </c>
      <c r="AV943" s="3" t="s">
        <v>12263</v>
      </c>
      <c r="AW943" s="3" t="s">
        <v>12264</v>
      </c>
      <c r="AX943" s="3" t="s">
        <v>12264</v>
      </c>
      <c r="AY943" s="3" t="s">
        <v>12265</v>
      </c>
      <c r="AZ943" s="3" t="s">
        <v>74</v>
      </c>
      <c r="BB943" s="3" t="s">
        <v>12266</v>
      </c>
      <c r="BC943" s="3" t="s">
        <v>12267</v>
      </c>
      <c r="BD943" s="3" t="s">
        <v>12268</v>
      </c>
    </row>
    <row r="944" spans="1:56" ht="42.75" customHeight="1" x14ac:dyDescent="0.25">
      <c r="A944" s="7" t="s">
        <v>58</v>
      </c>
      <c r="B944" s="2" t="s">
        <v>12269</v>
      </c>
      <c r="C944" s="2" t="s">
        <v>12270</v>
      </c>
      <c r="D944" s="2" t="s">
        <v>12271</v>
      </c>
      <c r="F944" s="3" t="s">
        <v>58</v>
      </c>
      <c r="G944" s="3" t="s">
        <v>59</v>
      </c>
      <c r="H944" s="3" t="s">
        <v>86</v>
      </c>
      <c r="I944" s="3" t="s">
        <v>58</v>
      </c>
      <c r="J944" s="3" t="s">
        <v>60</v>
      </c>
      <c r="L944" s="2" t="s">
        <v>12272</v>
      </c>
      <c r="M944" s="3" t="s">
        <v>371</v>
      </c>
      <c r="O944" s="3" t="s">
        <v>64</v>
      </c>
      <c r="P944" s="3" t="s">
        <v>115</v>
      </c>
      <c r="Q944" s="2" t="s">
        <v>12273</v>
      </c>
      <c r="R944" s="3" t="s">
        <v>67</v>
      </c>
      <c r="S944" s="4">
        <v>13</v>
      </c>
      <c r="T944" s="4">
        <v>13</v>
      </c>
      <c r="U944" s="5" t="s">
        <v>12274</v>
      </c>
      <c r="V944" s="5" t="s">
        <v>12274</v>
      </c>
      <c r="W944" s="5" t="s">
        <v>3457</v>
      </c>
      <c r="X944" s="5" t="s">
        <v>3457</v>
      </c>
      <c r="Y944" s="4">
        <v>105</v>
      </c>
      <c r="Z944" s="4">
        <v>87</v>
      </c>
      <c r="AA944" s="4">
        <v>87</v>
      </c>
      <c r="AB944" s="4">
        <v>2</v>
      </c>
      <c r="AC944" s="4">
        <v>2</v>
      </c>
      <c r="AD944" s="4">
        <v>2</v>
      </c>
      <c r="AE944" s="4">
        <v>2</v>
      </c>
      <c r="AF944" s="4">
        <v>0</v>
      </c>
      <c r="AG944" s="4">
        <v>0</v>
      </c>
      <c r="AH944" s="4">
        <v>0</v>
      </c>
      <c r="AI944" s="4">
        <v>0</v>
      </c>
      <c r="AJ944" s="4">
        <v>2</v>
      </c>
      <c r="AK944" s="4">
        <v>2</v>
      </c>
      <c r="AL944" s="4">
        <v>0</v>
      </c>
      <c r="AM944" s="4">
        <v>0</v>
      </c>
      <c r="AN944" s="4">
        <v>0</v>
      </c>
      <c r="AO944" s="4">
        <v>0</v>
      </c>
      <c r="AP944" s="3" t="s">
        <v>58</v>
      </c>
      <c r="AQ944" s="3" t="s">
        <v>58</v>
      </c>
      <c r="AS944" s="6" t="str">
        <f>HYPERLINK("https://creighton-primo.hosted.exlibrisgroup.com/primo-explore/search?tab=default_tab&amp;search_scope=EVERYTHING&amp;vid=01CRU&amp;lang=en_US&amp;offset=0&amp;query=any,contains,991000857089702656","Catalog Record")</f>
        <v>Catalog Record</v>
      </c>
      <c r="AT944" s="6" t="str">
        <f>HYPERLINK("http://www.worldcat.org/oclc/13665558","WorldCat Record")</f>
        <v>WorldCat Record</v>
      </c>
      <c r="AU944" s="3" t="s">
        <v>12275</v>
      </c>
      <c r="AV944" s="3" t="s">
        <v>12276</v>
      </c>
      <c r="AW944" s="3" t="s">
        <v>12277</v>
      </c>
      <c r="AX944" s="3" t="s">
        <v>12277</v>
      </c>
      <c r="AY944" s="3" t="s">
        <v>12278</v>
      </c>
      <c r="AZ944" s="3" t="s">
        <v>74</v>
      </c>
      <c r="BB944" s="3" t="s">
        <v>12279</v>
      </c>
      <c r="BC944" s="3" t="s">
        <v>12280</v>
      </c>
      <c r="BD944" s="3" t="s">
        <v>12281</v>
      </c>
    </row>
    <row r="945" spans="1:56" ht="42.75" customHeight="1" x14ac:dyDescent="0.25">
      <c r="A945" s="7" t="s">
        <v>58</v>
      </c>
      <c r="B945" s="2" t="s">
        <v>12282</v>
      </c>
      <c r="C945" s="2" t="s">
        <v>12283</v>
      </c>
      <c r="D945" s="2" t="s">
        <v>12284</v>
      </c>
      <c r="F945" s="3" t="s">
        <v>58</v>
      </c>
      <c r="G945" s="3" t="s">
        <v>59</v>
      </c>
      <c r="H945" s="3" t="s">
        <v>58</v>
      </c>
      <c r="I945" s="3" t="s">
        <v>58</v>
      </c>
      <c r="J945" s="3" t="s">
        <v>60</v>
      </c>
      <c r="L945" s="2" t="s">
        <v>11731</v>
      </c>
      <c r="M945" s="3" t="s">
        <v>223</v>
      </c>
      <c r="O945" s="3" t="s">
        <v>64</v>
      </c>
      <c r="P945" s="3" t="s">
        <v>115</v>
      </c>
      <c r="Q945" s="2" t="s">
        <v>12285</v>
      </c>
      <c r="R945" s="3" t="s">
        <v>67</v>
      </c>
      <c r="S945" s="4">
        <v>6</v>
      </c>
      <c r="T945" s="4">
        <v>6</v>
      </c>
      <c r="U945" s="5" t="s">
        <v>12286</v>
      </c>
      <c r="V945" s="5" t="s">
        <v>12286</v>
      </c>
      <c r="W945" s="5" t="s">
        <v>12287</v>
      </c>
      <c r="X945" s="5" t="s">
        <v>12287</v>
      </c>
      <c r="Y945" s="4">
        <v>187</v>
      </c>
      <c r="Z945" s="4">
        <v>155</v>
      </c>
      <c r="AA945" s="4">
        <v>156</v>
      </c>
      <c r="AB945" s="4">
        <v>1</v>
      </c>
      <c r="AC945" s="4">
        <v>1</v>
      </c>
      <c r="AD945" s="4">
        <v>3</v>
      </c>
      <c r="AE945" s="4">
        <v>3</v>
      </c>
      <c r="AF945" s="4">
        <v>0</v>
      </c>
      <c r="AG945" s="4">
        <v>0</v>
      </c>
      <c r="AH945" s="4">
        <v>1</v>
      </c>
      <c r="AI945" s="4">
        <v>1</v>
      </c>
      <c r="AJ945" s="4">
        <v>2</v>
      </c>
      <c r="AK945" s="4">
        <v>2</v>
      </c>
      <c r="AL945" s="4">
        <v>0</v>
      </c>
      <c r="AM945" s="4">
        <v>0</v>
      </c>
      <c r="AN945" s="4">
        <v>0</v>
      </c>
      <c r="AO945" s="4">
        <v>0</v>
      </c>
      <c r="AP945" s="3" t="s">
        <v>58</v>
      </c>
      <c r="AQ945" s="3" t="s">
        <v>86</v>
      </c>
      <c r="AR945" s="6" t="str">
        <f>HYPERLINK("http://catalog.hathitrust.org/Record/000302167","HathiTrust Record")</f>
        <v>HathiTrust Record</v>
      </c>
      <c r="AS945" s="6" t="str">
        <f>HYPERLINK("https://creighton-primo.hosted.exlibrisgroup.com/primo-explore/search?tab=default_tab&amp;search_scope=EVERYTHING&amp;vid=01CRU&amp;lang=en_US&amp;offset=0&amp;query=any,contains,991004764259702656","Catalog Record")</f>
        <v>Catalog Record</v>
      </c>
      <c r="AT945" s="6" t="str">
        <f>HYPERLINK("http://www.worldcat.org/oclc/5023423","WorldCat Record")</f>
        <v>WorldCat Record</v>
      </c>
      <c r="AU945" s="3" t="s">
        <v>12288</v>
      </c>
      <c r="AV945" s="3" t="s">
        <v>12289</v>
      </c>
      <c r="AW945" s="3" t="s">
        <v>12290</v>
      </c>
      <c r="AX945" s="3" t="s">
        <v>12290</v>
      </c>
      <c r="AY945" s="3" t="s">
        <v>12291</v>
      </c>
      <c r="AZ945" s="3" t="s">
        <v>74</v>
      </c>
      <c r="BB945" s="3" t="s">
        <v>12292</v>
      </c>
      <c r="BC945" s="3" t="s">
        <v>12293</v>
      </c>
      <c r="BD945" s="3" t="s">
        <v>12294</v>
      </c>
    </row>
    <row r="946" spans="1:56" ht="42.75" customHeight="1" x14ac:dyDescent="0.25">
      <c r="A946" s="7" t="s">
        <v>58</v>
      </c>
      <c r="B946" s="2" t="s">
        <v>12295</v>
      </c>
      <c r="C946" s="2" t="s">
        <v>12296</v>
      </c>
      <c r="D946" s="2" t="s">
        <v>12297</v>
      </c>
      <c r="F946" s="3" t="s">
        <v>58</v>
      </c>
      <c r="G946" s="3" t="s">
        <v>59</v>
      </c>
      <c r="H946" s="3" t="s">
        <v>58</v>
      </c>
      <c r="I946" s="3" t="s">
        <v>58</v>
      </c>
      <c r="J946" s="3" t="s">
        <v>60</v>
      </c>
      <c r="K946" s="2" t="s">
        <v>12298</v>
      </c>
      <c r="L946" s="2" t="s">
        <v>12299</v>
      </c>
      <c r="M946" s="3" t="s">
        <v>223</v>
      </c>
      <c r="O946" s="3" t="s">
        <v>64</v>
      </c>
      <c r="P946" s="3" t="s">
        <v>316</v>
      </c>
      <c r="Q946" s="2" t="s">
        <v>12300</v>
      </c>
      <c r="R946" s="3" t="s">
        <v>67</v>
      </c>
      <c r="S946" s="4">
        <v>33</v>
      </c>
      <c r="T946" s="4">
        <v>33</v>
      </c>
      <c r="U946" s="5" t="s">
        <v>12301</v>
      </c>
      <c r="V946" s="5" t="s">
        <v>12301</v>
      </c>
      <c r="W946" s="5" t="s">
        <v>1641</v>
      </c>
      <c r="X946" s="5" t="s">
        <v>1641</v>
      </c>
      <c r="Y946" s="4">
        <v>304</v>
      </c>
      <c r="Z946" s="4">
        <v>258</v>
      </c>
      <c r="AA946" s="4">
        <v>265</v>
      </c>
      <c r="AB946" s="4">
        <v>2</v>
      </c>
      <c r="AC946" s="4">
        <v>2</v>
      </c>
      <c r="AD946" s="4">
        <v>22</v>
      </c>
      <c r="AE946" s="4">
        <v>22</v>
      </c>
      <c r="AF946" s="4">
        <v>6</v>
      </c>
      <c r="AG946" s="4">
        <v>6</v>
      </c>
      <c r="AH946" s="4">
        <v>7</v>
      </c>
      <c r="AI946" s="4">
        <v>7</v>
      </c>
      <c r="AJ946" s="4">
        <v>15</v>
      </c>
      <c r="AK946" s="4">
        <v>15</v>
      </c>
      <c r="AL946" s="4">
        <v>1</v>
      </c>
      <c r="AM946" s="4">
        <v>1</v>
      </c>
      <c r="AN946" s="4">
        <v>0</v>
      </c>
      <c r="AO946" s="4">
        <v>0</v>
      </c>
      <c r="AP946" s="3" t="s">
        <v>58</v>
      </c>
      <c r="AQ946" s="3" t="s">
        <v>58</v>
      </c>
      <c r="AS946" s="6" t="str">
        <f>HYPERLINK("https://creighton-primo.hosted.exlibrisgroup.com/primo-explore/search?tab=default_tab&amp;search_scope=EVERYTHING&amp;vid=01CRU&amp;lang=en_US&amp;offset=0&amp;query=any,contains,991004394009702656","Catalog Record")</f>
        <v>Catalog Record</v>
      </c>
      <c r="AT946" s="6" t="str">
        <f>HYPERLINK("http://www.worldcat.org/oclc/3274093","WorldCat Record")</f>
        <v>WorldCat Record</v>
      </c>
      <c r="AU946" s="3" t="s">
        <v>12302</v>
      </c>
      <c r="AV946" s="3" t="s">
        <v>12303</v>
      </c>
      <c r="AW946" s="3" t="s">
        <v>12304</v>
      </c>
      <c r="AX946" s="3" t="s">
        <v>12304</v>
      </c>
      <c r="AY946" s="3" t="s">
        <v>12305</v>
      </c>
      <c r="AZ946" s="3" t="s">
        <v>74</v>
      </c>
      <c r="BB946" s="3" t="s">
        <v>12306</v>
      </c>
      <c r="BC946" s="3" t="s">
        <v>12307</v>
      </c>
      <c r="BD946" s="3" t="s">
        <v>12308</v>
      </c>
    </row>
    <row r="947" spans="1:56" ht="42.75" customHeight="1" x14ac:dyDescent="0.25">
      <c r="A947" s="7" t="s">
        <v>58</v>
      </c>
      <c r="B947" s="2" t="s">
        <v>12309</v>
      </c>
      <c r="C947" s="2" t="s">
        <v>12310</v>
      </c>
      <c r="D947" s="2" t="s">
        <v>12311</v>
      </c>
      <c r="F947" s="3" t="s">
        <v>58</v>
      </c>
      <c r="G947" s="3" t="s">
        <v>59</v>
      </c>
      <c r="H947" s="3" t="s">
        <v>58</v>
      </c>
      <c r="I947" s="3" t="s">
        <v>58</v>
      </c>
      <c r="J947" s="3" t="s">
        <v>60</v>
      </c>
      <c r="K947" s="2" t="s">
        <v>6744</v>
      </c>
      <c r="L947" s="2" t="s">
        <v>12312</v>
      </c>
      <c r="M947" s="3" t="s">
        <v>3215</v>
      </c>
      <c r="O947" s="3" t="s">
        <v>64</v>
      </c>
      <c r="P947" s="3" t="s">
        <v>115</v>
      </c>
      <c r="R947" s="3" t="s">
        <v>67</v>
      </c>
      <c r="S947" s="4">
        <v>6</v>
      </c>
      <c r="T947" s="4">
        <v>6</v>
      </c>
      <c r="U947" s="5" t="s">
        <v>12313</v>
      </c>
      <c r="V947" s="5" t="s">
        <v>12313</v>
      </c>
      <c r="W947" s="5" t="s">
        <v>5704</v>
      </c>
      <c r="X947" s="5" t="s">
        <v>5704</v>
      </c>
      <c r="Y947" s="4">
        <v>231</v>
      </c>
      <c r="Z947" s="4">
        <v>193</v>
      </c>
      <c r="AA947" s="4">
        <v>205</v>
      </c>
      <c r="AB947" s="4">
        <v>2</v>
      </c>
      <c r="AC947" s="4">
        <v>2</v>
      </c>
      <c r="AD947" s="4">
        <v>12</v>
      </c>
      <c r="AE947" s="4">
        <v>12</v>
      </c>
      <c r="AF947" s="4">
        <v>2</v>
      </c>
      <c r="AG947" s="4">
        <v>2</v>
      </c>
      <c r="AH947" s="4">
        <v>3</v>
      </c>
      <c r="AI947" s="4">
        <v>3</v>
      </c>
      <c r="AJ947" s="4">
        <v>9</v>
      </c>
      <c r="AK947" s="4">
        <v>9</v>
      </c>
      <c r="AL947" s="4">
        <v>1</v>
      </c>
      <c r="AM947" s="4">
        <v>1</v>
      </c>
      <c r="AN947" s="4">
        <v>0</v>
      </c>
      <c r="AO947" s="4">
        <v>0</v>
      </c>
      <c r="AP947" s="3" t="s">
        <v>58</v>
      </c>
      <c r="AQ947" s="3" t="s">
        <v>86</v>
      </c>
      <c r="AR947" s="6" t="str">
        <f>HYPERLINK("http://catalog.hathitrust.org/Record/001564954","HathiTrust Record")</f>
        <v>HathiTrust Record</v>
      </c>
      <c r="AS947" s="6" t="str">
        <f>HYPERLINK("https://creighton-primo.hosted.exlibrisgroup.com/primo-explore/search?tab=default_tab&amp;search_scope=EVERYTHING&amp;vid=01CRU&amp;lang=en_US&amp;offset=0&amp;query=any,contains,991003469529702656","Catalog Record")</f>
        <v>Catalog Record</v>
      </c>
      <c r="AT947" s="6" t="str">
        <f>HYPERLINK("http://www.worldcat.org/oclc/14491452","WorldCat Record")</f>
        <v>WorldCat Record</v>
      </c>
      <c r="AU947" s="3" t="s">
        <v>12314</v>
      </c>
      <c r="AV947" s="3" t="s">
        <v>12315</v>
      </c>
      <c r="AW947" s="3" t="s">
        <v>12316</v>
      </c>
      <c r="AX947" s="3" t="s">
        <v>12316</v>
      </c>
      <c r="AY947" s="3" t="s">
        <v>12317</v>
      </c>
      <c r="AZ947" s="3" t="s">
        <v>74</v>
      </c>
      <c r="BC947" s="3" t="s">
        <v>12318</v>
      </c>
      <c r="BD947" s="3" t="s">
        <v>12319</v>
      </c>
    </row>
    <row r="948" spans="1:56" ht="42.75" customHeight="1" x14ac:dyDescent="0.25">
      <c r="A948" s="7" t="s">
        <v>58</v>
      </c>
      <c r="B948" s="2" t="s">
        <v>12320</v>
      </c>
      <c r="C948" s="2" t="s">
        <v>12321</v>
      </c>
      <c r="D948" s="2" t="s">
        <v>12322</v>
      </c>
      <c r="F948" s="3" t="s">
        <v>58</v>
      </c>
      <c r="G948" s="3" t="s">
        <v>59</v>
      </c>
      <c r="H948" s="3" t="s">
        <v>58</v>
      </c>
      <c r="I948" s="3" t="s">
        <v>58</v>
      </c>
      <c r="J948" s="3" t="s">
        <v>60</v>
      </c>
      <c r="K948" s="2" t="s">
        <v>12323</v>
      </c>
      <c r="L948" s="2" t="s">
        <v>12324</v>
      </c>
      <c r="M948" s="3" t="s">
        <v>2227</v>
      </c>
      <c r="O948" s="3" t="s">
        <v>64</v>
      </c>
      <c r="P948" s="3" t="s">
        <v>115</v>
      </c>
      <c r="R948" s="3" t="s">
        <v>67</v>
      </c>
      <c r="S948" s="4">
        <v>16</v>
      </c>
      <c r="T948" s="4">
        <v>16</v>
      </c>
      <c r="U948" s="5" t="s">
        <v>12325</v>
      </c>
      <c r="V948" s="5" t="s">
        <v>12325</v>
      </c>
      <c r="W948" s="5" t="s">
        <v>5879</v>
      </c>
      <c r="X948" s="5" t="s">
        <v>5879</v>
      </c>
      <c r="Y948" s="4">
        <v>257</v>
      </c>
      <c r="Z948" s="4">
        <v>216</v>
      </c>
      <c r="AA948" s="4">
        <v>216</v>
      </c>
      <c r="AB948" s="4">
        <v>2</v>
      </c>
      <c r="AC948" s="4">
        <v>2</v>
      </c>
      <c r="AD948" s="4">
        <v>7</v>
      </c>
      <c r="AE948" s="4">
        <v>7</v>
      </c>
      <c r="AF948" s="4">
        <v>1</v>
      </c>
      <c r="AG948" s="4">
        <v>1</v>
      </c>
      <c r="AH948" s="4">
        <v>3</v>
      </c>
      <c r="AI948" s="4">
        <v>3</v>
      </c>
      <c r="AJ948" s="4">
        <v>4</v>
      </c>
      <c r="AK948" s="4">
        <v>4</v>
      </c>
      <c r="AL948" s="4">
        <v>1</v>
      </c>
      <c r="AM948" s="4">
        <v>1</v>
      </c>
      <c r="AN948" s="4">
        <v>0</v>
      </c>
      <c r="AO948" s="4">
        <v>0</v>
      </c>
      <c r="AP948" s="3" t="s">
        <v>58</v>
      </c>
      <c r="AQ948" s="3" t="s">
        <v>58</v>
      </c>
      <c r="AS948" s="6" t="str">
        <f>HYPERLINK("https://creighton-primo.hosted.exlibrisgroup.com/primo-explore/search?tab=default_tab&amp;search_scope=EVERYTHING&amp;vid=01CRU&amp;lang=en_US&amp;offset=0&amp;query=any,contains,991000542609702656","Catalog Record")</f>
        <v>Catalog Record</v>
      </c>
      <c r="AT948" s="6" t="str">
        <f>HYPERLINK("http://www.worldcat.org/oclc/11496832","WorldCat Record")</f>
        <v>WorldCat Record</v>
      </c>
      <c r="AU948" s="3" t="s">
        <v>12326</v>
      </c>
      <c r="AV948" s="3" t="s">
        <v>12327</v>
      </c>
      <c r="AW948" s="3" t="s">
        <v>12328</v>
      </c>
      <c r="AX948" s="3" t="s">
        <v>12328</v>
      </c>
      <c r="AY948" s="3" t="s">
        <v>12329</v>
      </c>
      <c r="AZ948" s="3" t="s">
        <v>74</v>
      </c>
      <c r="BB948" s="3" t="s">
        <v>12330</v>
      </c>
      <c r="BC948" s="3" t="s">
        <v>12331</v>
      </c>
      <c r="BD948" s="3" t="s">
        <v>12332</v>
      </c>
    </row>
    <row r="949" spans="1:56" ht="42.75" customHeight="1" x14ac:dyDescent="0.25">
      <c r="A949" s="7" t="s">
        <v>58</v>
      </c>
      <c r="B949" s="2" t="s">
        <v>12333</v>
      </c>
      <c r="C949" s="2" t="s">
        <v>12334</v>
      </c>
      <c r="D949" s="2" t="s">
        <v>12335</v>
      </c>
      <c r="F949" s="3" t="s">
        <v>58</v>
      </c>
      <c r="G949" s="3" t="s">
        <v>59</v>
      </c>
      <c r="H949" s="3" t="s">
        <v>58</v>
      </c>
      <c r="I949" s="3" t="s">
        <v>86</v>
      </c>
      <c r="J949" s="3" t="s">
        <v>60</v>
      </c>
      <c r="K949" s="2" t="s">
        <v>7809</v>
      </c>
      <c r="L949" s="2" t="s">
        <v>12336</v>
      </c>
      <c r="M949" s="3" t="s">
        <v>2386</v>
      </c>
      <c r="N949" s="2" t="s">
        <v>12337</v>
      </c>
      <c r="O949" s="3" t="s">
        <v>64</v>
      </c>
      <c r="P949" s="3" t="s">
        <v>115</v>
      </c>
      <c r="R949" s="3" t="s">
        <v>67</v>
      </c>
      <c r="S949" s="4">
        <v>9</v>
      </c>
      <c r="T949" s="4">
        <v>9</v>
      </c>
      <c r="U949" s="5" t="s">
        <v>12313</v>
      </c>
      <c r="V949" s="5" t="s">
        <v>12313</v>
      </c>
      <c r="W949" s="5" t="s">
        <v>6500</v>
      </c>
      <c r="X949" s="5" t="s">
        <v>6500</v>
      </c>
      <c r="Y949" s="4">
        <v>887</v>
      </c>
      <c r="Z949" s="4">
        <v>785</v>
      </c>
      <c r="AA949" s="4">
        <v>1055</v>
      </c>
      <c r="AB949" s="4">
        <v>7</v>
      </c>
      <c r="AC949" s="4">
        <v>8</v>
      </c>
      <c r="AD949" s="4">
        <v>34</v>
      </c>
      <c r="AE949" s="4">
        <v>45</v>
      </c>
      <c r="AF949" s="4">
        <v>15</v>
      </c>
      <c r="AG949" s="4">
        <v>19</v>
      </c>
      <c r="AH949" s="4">
        <v>7</v>
      </c>
      <c r="AI949" s="4">
        <v>9</v>
      </c>
      <c r="AJ949" s="4">
        <v>14</v>
      </c>
      <c r="AK949" s="4">
        <v>20</v>
      </c>
      <c r="AL949" s="4">
        <v>5</v>
      </c>
      <c r="AM949" s="4">
        <v>6</v>
      </c>
      <c r="AN949" s="4">
        <v>0</v>
      </c>
      <c r="AO949" s="4">
        <v>1</v>
      </c>
      <c r="AP949" s="3" t="s">
        <v>58</v>
      </c>
      <c r="AQ949" s="3" t="s">
        <v>86</v>
      </c>
      <c r="AR949" s="6" t="str">
        <f>HYPERLINK("http://catalog.hathitrust.org/Record/000016919","HathiTrust Record")</f>
        <v>HathiTrust Record</v>
      </c>
      <c r="AS949" s="6" t="str">
        <f>HYPERLINK("https://creighton-primo.hosted.exlibrisgroup.com/primo-explore/search?tab=default_tab&amp;search_scope=EVERYTHING&amp;vid=01CRU&amp;lang=en_US&amp;offset=0&amp;query=any,contains,991005243339702656","Catalog Record")</f>
        <v>Catalog Record</v>
      </c>
      <c r="AT949" s="6" t="str">
        <f>HYPERLINK("http://www.worldcat.org/oclc/1029523","WorldCat Record")</f>
        <v>WorldCat Record</v>
      </c>
      <c r="AU949" s="3" t="s">
        <v>12338</v>
      </c>
      <c r="AV949" s="3" t="s">
        <v>12339</v>
      </c>
      <c r="AW949" s="3" t="s">
        <v>12340</v>
      </c>
      <c r="AX949" s="3" t="s">
        <v>12340</v>
      </c>
      <c r="AY949" s="3" t="s">
        <v>12341</v>
      </c>
      <c r="AZ949" s="3" t="s">
        <v>74</v>
      </c>
      <c r="BB949" s="3" t="s">
        <v>12342</v>
      </c>
      <c r="BC949" s="3" t="s">
        <v>12343</v>
      </c>
      <c r="BD949" s="3" t="s">
        <v>12344</v>
      </c>
    </row>
    <row r="950" spans="1:56" ht="42.75" customHeight="1" x14ac:dyDescent="0.25">
      <c r="A950" s="7" t="s">
        <v>58</v>
      </c>
      <c r="B950" s="2" t="s">
        <v>12345</v>
      </c>
      <c r="C950" s="2" t="s">
        <v>12346</v>
      </c>
      <c r="D950" s="2" t="s">
        <v>12347</v>
      </c>
      <c r="F950" s="3" t="s">
        <v>58</v>
      </c>
      <c r="G950" s="3" t="s">
        <v>59</v>
      </c>
      <c r="H950" s="3" t="s">
        <v>58</v>
      </c>
      <c r="I950" s="3" t="s">
        <v>58</v>
      </c>
      <c r="J950" s="3" t="s">
        <v>60</v>
      </c>
      <c r="K950" s="2" t="s">
        <v>12348</v>
      </c>
      <c r="L950" s="2" t="s">
        <v>12349</v>
      </c>
      <c r="M950" s="3" t="s">
        <v>765</v>
      </c>
      <c r="O950" s="3" t="s">
        <v>64</v>
      </c>
      <c r="P950" s="3" t="s">
        <v>65</v>
      </c>
      <c r="R950" s="3" t="s">
        <v>67</v>
      </c>
      <c r="S950" s="4">
        <v>16</v>
      </c>
      <c r="T950" s="4">
        <v>16</v>
      </c>
      <c r="U950" s="5" t="s">
        <v>3875</v>
      </c>
      <c r="V950" s="5" t="s">
        <v>3875</v>
      </c>
      <c r="W950" s="5" t="s">
        <v>12350</v>
      </c>
      <c r="X950" s="5" t="s">
        <v>12350</v>
      </c>
      <c r="Y950" s="4">
        <v>212</v>
      </c>
      <c r="Z950" s="4">
        <v>129</v>
      </c>
      <c r="AA950" s="4">
        <v>131</v>
      </c>
      <c r="AB950" s="4">
        <v>2</v>
      </c>
      <c r="AC950" s="4">
        <v>2</v>
      </c>
      <c r="AD950" s="4">
        <v>7</v>
      </c>
      <c r="AE950" s="4">
        <v>7</v>
      </c>
      <c r="AF950" s="4">
        <v>3</v>
      </c>
      <c r="AG950" s="4">
        <v>3</v>
      </c>
      <c r="AH950" s="4">
        <v>0</v>
      </c>
      <c r="AI950" s="4">
        <v>0</v>
      </c>
      <c r="AJ950" s="4">
        <v>6</v>
      </c>
      <c r="AK950" s="4">
        <v>6</v>
      </c>
      <c r="AL950" s="4">
        <v>1</v>
      </c>
      <c r="AM950" s="4">
        <v>1</v>
      </c>
      <c r="AN950" s="4">
        <v>0</v>
      </c>
      <c r="AO950" s="4">
        <v>0</v>
      </c>
      <c r="AP950" s="3" t="s">
        <v>58</v>
      </c>
      <c r="AQ950" s="3" t="s">
        <v>86</v>
      </c>
      <c r="AR950" s="6" t="str">
        <f>HYPERLINK("http://catalog.hathitrust.org/Record/002974386","HathiTrust Record")</f>
        <v>HathiTrust Record</v>
      </c>
      <c r="AS950" s="6" t="str">
        <f>HYPERLINK("https://creighton-primo.hosted.exlibrisgroup.com/primo-explore/search?tab=default_tab&amp;search_scope=EVERYTHING&amp;vid=01CRU&amp;lang=en_US&amp;offset=0&amp;query=any,contains,991002398579702656","Catalog Record")</f>
        <v>Catalog Record</v>
      </c>
      <c r="AT950" s="6" t="str">
        <f>HYPERLINK("http://www.worldcat.org/oclc/31170457","WorldCat Record")</f>
        <v>WorldCat Record</v>
      </c>
      <c r="AU950" s="3" t="s">
        <v>12351</v>
      </c>
      <c r="AV950" s="3" t="s">
        <v>12352</v>
      </c>
      <c r="AW950" s="3" t="s">
        <v>12353</v>
      </c>
      <c r="AX950" s="3" t="s">
        <v>12353</v>
      </c>
      <c r="AY950" s="3" t="s">
        <v>12354</v>
      </c>
      <c r="AZ950" s="3" t="s">
        <v>74</v>
      </c>
      <c r="BB950" s="3" t="s">
        <v>12355</v>
      </c>
      <c r="BC950" s="3" t="s">
        <v>12356</v>
      </c>
      <c r="BD950" s="3" t="s">
        <v>12357</v>
      </c>
    </row>
    <row r="951" spans="1:56" ht="42.75" customHeight="1" x14ac:dyDescent="0.25">
      <c r="A951" s="7" t="s">
        <v>58</v>
      </c>
      <c r="B951" s="2" t="s">
        <v>12358</v>
      </c>
      <c r="C951" s="2" t="s">
        <v>12359</v>
      </c>
      <c r="D951" s="2" t="s">
        <v>12360</v>
      </c>
      <c r="F951" s="3" t="s">
        <v>58</v>
      </c>
      <c r="G951" s="3" t="s">
        <v>59</v>
      </c>
      <c r="H951" s="3" t="s">
        <v>58</v>
      </c>
      <c r="I951" s="3" t="s">
        <v>58</v>
      </c>
      <c r="J951" s="3" t="s">
        <v>60</v>
      </c>
      <c r="K951" s="2" t="s">
        <v>12361</v>
      </c>
      <c r="L951" s="2" t="s">
        <v>12362</v>
      </c>
      <c r="M951" s="3" t="s">
        <v>737</v>
      </c>
      <c r="O951" s="3" t="s">
        <v>64</v>
      </c>
      <c r="P951" s="3" t="s">
        <v>115</v>
      </c>
      <c r="R951" s="3" t="s">
        <v>67</v>
      </c>
      <c r="S951" s="4">
        <v>13</v>
      </c>
      <c r="T951" s="4">
        <v>13</v>
      </c>
      <c r="U951" s="5" t="s">
        <v>3875</v>
      </c>
      <c r="V951" s="5" t="s">
        <v>3875</v>
      </c>
      <c r="W951" s="5" t="s">
        <v>3014</v>
      </c>
      <c r="X951" s="5" t="s">
        <v>3014</v>
      </c>
      <c r="Y951" s="4">
        <v>223</v>
      </c>
      <c r="Z951" s="4">
        <v>205</v>
      </c>
      <c r="AA951" s="4">
        <v>280</v>
      </c>
      <c r="AB951" s="4">
        <v>1</v>
      </c>
      <c r="AC951" s="4">
        <v>2</v>
      </c>
      <c r="AD951" s="4">
        <v>2</v>
      </c>
      <c r="AE951" s="4">
        <v>3</v>
      </c>
      <c r="AF951" s="4">
        <v>1</v>
      </c>
      <c r="AG951" s="4">
        <v>1</v>
      </c>
      <c r="AH951" s="4">
        <v>1</v>
      </c>
      <c r="AI951" s="4">
        <v>1</v>
      </c>
      <c r="AJ951" s="4">
        <v>1</v>
      </c>
      <c r="AK951" s="4">
        <v>1</v>
      </c>
      <c r="AL951" s="4">
        <v>0</v>
      </c>
      <c r="AM951" s="4">
        <v>1</v>
      </c>
      <c r="AN951" s="4">
        <v>0</v>
      </c>
      <c r="AO951" s="4">
        <v>0</v>
      </c>
      <c r="AP951" s="3" t="s">
        <v>58</v>
      </c>
      <c r="AQ951" s="3" t="s">
        <v>86</v>
      </c>
      <c r="AR951" s="6" t="str">
        <f>HYPERLINK("http://catalog.hathitrust.org/Record/008513970","HathiTrust Record")</f>
        <v>HathiTrust Record</v>
      </c>
      <c r="AS951" s="6" t="str">
        <f>HYPERLINK("https://creighton-primo.hosted.exlibrisgroup.com/primo-explore/search?tab=default_tab&amp;search_scope=EVERYTHING&amp;vid=01CRU&amp;lang=en_US&amp;offset=0&amp;query=any,contains,991002157459702656","Catalog Record")</f>
        <v>Catalog Record</v>
      </c>
      <c r="AT951" s="6" t="str">
        <f>HYPERLINK("http://www.worldcat.org/oclc/27810551","WorldCat Record")</f>
        <v>WorldCat Record</v>
      </c>
      <c r="AU951" s="3" t="s">
        <v>12363</v>
      </c>
      <c r="AV951" s="3" t="s">
        <v>12364</v>
      </c>
      <c r="AW951" s="3" t="s">
        <v>12365</v>
      </c>
      <c r="AX951" s="3" t="s">
        <v>12365</v>
      </c>
      <c r="AY951" s="3" t="s">
        <v>12366</v>
      </c>
      <c r="AZ951" s="3" t="s">
        <v>74</v>
      </c>
      <c r="BB951" s="3" t="s">
        <v>12367</v>
      </c>
      <c r="BC951" s="3" t="s">
        <v>12368</v>
      </c>
      <c r="BD951" s="3" t="s">
        <v>12369</v>
      </c>
    </row>
    <row r="952" spans="1:56" ht="42.75" customHeight="1" x14ac:dyDescent="0.25">
      <c r="A952" s="7" t="s">
        <v>58</v>
      </c>
      <c r="B952" s="2" t="s">
        <v>12370</v>
      </c>
      <c r="C952" s="2" t="s">
        <v>12371</v>
      </c>
      <c r="D952" s="2" t="s">
        <v>12372</v>
      </c>
      <c r="F952" s="3" t="s">
        <v>58</v>
      </c>
      <c r="G952" s="3" t="s">
        <v>59</v>
      </c>
      <c r="H952" s="3" t="s">
        <v>58</v>
      </c>
      <c r="I952" s="3" t="s">
        <v>58</v>
      </c>
      <c r="J952" s="3" t="s">
        <v>60</v>
      </c>
      <c r="K952" s="2" t="s">
        <v>12373</v>
      </c>
      <c r="L952" s="2" t="s">
        <v>12374</v>
      </c>
      <c r="M952" s="3" t="s">
        <v>269</v>
      </c>
      <c r="O952" s="3" t="s">
        <v>64</v>
      </c>
      <c r="P952" s="3" t="s">
        <v>115</v>
      </c>
      <c r="R952" s="3" t="s">
        <v>67</v>
      </c>
      <c r="S952" s="4">
        <v>3</v>
      </c>
      <c r="T952" s="4">
        <v>3</v>
      </c>
      <c r="U952" s="5" t="s">
        <v>6172</v>
      </c>
      <c r="V952" s="5" t="s">
        <v>6172</v>
      </c>
      <c r="W952" s="5" t="s">
        <v>165</v>
      </c>
      <c r="X952" s="5" t="s">
        <v>165</v>
      </c>
      <c r="Y952" s="4">
        <v>359</v>
      </c>
      <c r="Z952" s="4">
        <v>276</v>
      </c>
      <c r="AA952" s="4">
        <v>280</v>
      </c>
      <c r="AB952" s="4">
        <v>1</v>
      </c>
      <c r="AC952" s="4">
        <v>1</v>
      </c>
      <c r="AD952" s="4">
        <v>17</v>
      </c>
      <c r="AE952" s="4">
        <v>17</v>
      </c>
      <c r="AF952" s="4">
        <v>5</v>
      </c>
      <c r="AG952" s="4">
        <v>5</v>
      </c>
      <c r="AH952" s="4">
        <v>6</v>
      </c>
      <c r="AI952" s="4">
        <v>6</v>
      </c>
      <c r="AJ952" s="4">
        <v>10</v>
      </c>
      <c r="AK952" s="4">
        <v>10</v>
      </c>
      <c r="AL952" s="4">
        <v>0</v>
      </c>
      <c r="AM952" s="4">
        <v>0</v>
      </c>
      <c r="AN952" s="4">
        <v>0</v>
      </c>
      <c r="AO952" s="4">
        <v>0</v>
      </c>
      <c r="AP952" s="3" t="s">
        <v>58</v>
      </c>
      <c r="AQ952" s="3" t="s">
        <v>86</v>
      </c>
      <c r="AR952" s="6" t="str">
        <f>HYPERLINK("http://catalog.hathitrust.org/Record/001564960","HathiTrust Record")</f>
        <v>HathiTrust Record</v>
      </c>
      <c r="AS952" s="6" t="str">
        <f>HYPERLINK("https://creighton-primo.hosted.exlibrisgroup.com/primo-explore/search?tab=default_tab&amp;search_scope=EVERYTHING&amp;vid=01CRU&amp;lang=en_US&amp;offset=0&amp;query=any,contains,991000039239702656","Catalog Record")</f>
        <v>Catalog Record</v>
      </c>
      <c r="AT952" s="6" t="str">
        <f>HYPERLINK("http://www.worldcat.org/oclc/21444","WorldCat Record")</f>
        <v>WorldCat Record</v>
      </c>
      <c r="AU952" s="3" t="s">
        <v>12375</v>
      </c>
      <c r="AV952" s="3" t="s">
        <v>12376</v>
      </c>
      <c r="AW952" s="3" t="s">
        <v>12377</v>
      </c>
      <c r="AX952" s="3" t="s">
        <v>12377</v>
      </c>
      <c r="AY952" s="3" t="s">
        <v>12378</v>
      </c>
      <c r="AZ952" s="3" t="s">
        <v>74</v>
      </c>
      <c r="BC952" s="3" t="s">
        <v>12379</v>
      </c>
      <c r="BD952" s="3" t="s">
        <v>12380</v>
      </c>
    </row>
    <row r="953" spans="1:56" ht="42.75" customHeight="1" x14ac:dyDescent="0.25">
      <c r="A953" s="7" t="s">
        <v>58</v>
      </c>
      <c r="B953" s="2" t="s">
        <v>12381</v>
      </c>
      <c r="C953" s="2" t="s">
        <v>12382</v>
      </c>
      <c r="D953" s="2" t="s">
        <v>12383</v>
      </c>
      <c r="F953" s="3" t="s">
        <v>58</v>
      </c>
      <c r="G953" s="3" t="s">
        <v>59</v>
      </c>
      <c r="H953" s="3" t="s">
        <v>58</v>
      </c>
      <c r="I953" s="3" t="s">
        <v>58</v>
      </c>
      <c r="J953" s="3" t="s">
        <v>60</v>
      </c>
      <c r="K953" s="2" t="s">
        <v>12384</v>
      </c>
      <c r="L953" s="2" t="s">
        <v>12385</v>
      </c>
      <c r="M953" s="3" t="s">
        <v>238</v>
      </c>
      <c r="N953" s="2" t="s">
        <v>1736</v>
      </c>
      <c r="O953" s="3" t="s">
        <v>64</v>
      </c>
      <c r="P953" s="3" t="s">
        <v>115</v>
      </c>
      <c r="R953" s="3" t="s">
        <v>67</v>
      </c>
      <c r="S953" s="4">
        <v>62</v>
      </c>
      <c r="T953" s="4">
        <v>62</v>
      </c>
      <c r="U953" s="5" t="s">
        <v>3875</v>
      </c>
      <c r="V953" s="5" t="s">
        <v>3875</v>
      </c>
      <c r="W953" s="5" t="s">
        <v>12386</v>
      </c>
      <c r="X953" s="5" t="s">
        <v>12386</v>
      </c>
      <c r="Y953" s="4">
        <v>754</v>
      </c>
      <c r="Z953" s="4">
        <v>658</v>
      </c>
      <c r="AA953" s="4">
        <v>662</v>
      </c>
      <c r="AB953" s="4">
        <v>6</v>
      </c>
      <c r="AC953" s="4">
        <v>6</v>
      </c>
      <c r="AD953" s="4">
        <v>21</v>
      </c>
      <c r="AE953" s="4">
        <v>21</v>
      </c>
      <c r="AF953" s="4">
        <v>8</v>
      </c>
      <c r="AG953" s="4">
        <v>8</v>
      </c>
      <c r="AH953" s="4">
        <v>4</v>
      </c>
      <c r="AI953" s="4">
        <v>4</v>
      </c>
      <c r="AJ953" s="4">
        <v>11</v>
      </c>
      <c r="AK953" s="4">
        <v>11</v>
      </c>
      <c r="AL953" s="4">
        <v>3</v>
      </c>
      <c r="AM953" s="4">
        <v>3</v>
      </c>
      <c r="AN953" s="4">
        <v>0</v>
      </c>
      <c r="AO953" s="4">
        <v>0</v>
      </c>
      <c r="AP953" s="3" t="s">
        <v>58</v>
      </c>
      <c r="AQ953" s="3" t="s">
        <v>58</v>
      </c>
      <c r="AS953" s="6" t="str">
        <f>HYPERLINK("https://creighton-primo.hosted.exlibrisgroup.com/primo-explore/search?tab=default_tab&amp;search_scope=EVERYTHING&amp;vid=01CRU&amp;lang=en_US&amp;offset=0&amp;query=any,contains,991004605659702656","Catalog Record")</f>
        <v>Catalog Record</v>
      </c>
      <c r="AT953" s="6" t="str">
        <f>HYPERLINK("http://www.worldcat.org/oclc/4194393","WorldCat Record")</f>
        <v>WorldCat Record</v>
      </c>
      <c r="AU953" s="3" t="s">
        <v>12387</v>
      </c>
      <c r="AV953" s="3" t="s">
        <v>12388</v>
      </c>
      <c r="AW953" s="3" t="s">
        <v>12389</v>
      </c>
      <c r="AX953" s="3" t="s">
        <v>12389</v>
      </c>
      <c r="AY953" s="3" t="s">
        <v>12390</v>
      </c>
      <c r="AZ953" s="3" t="s">
        <v>74</v>
      </c>
      <c r="BB953" s="3" t="s">
        <v>12391</v>
      </c>
      <c r="BC953" s="3" t="s">
        <v>12392</v>
      </c>
      <c r="BD953" s="3" t="s">
        <v>12393</v>
      </c>
    </row>
    <row r="954" spans="1:56" ht="42.75" customHeight="1" x14ac:dyDescent="0.25">
      <c r="A954" s="7" t="s">
        <v>58</v>
      </c>
      <c r="B954" s="2" t="s">
        <v>12394</v>
      </c>
      <c r="C954" s="2" t="s">
        <v>12395</v>
      </c>
      <c r="D954" s="2" t="s">
        <v>12396</v>
      </c>
      <c r="F954" s="3" t="s">
        <v>58</v>
      </c>
      <c r="G954" s="3" t="s">
        <v>59</v>
      </c>
      <c r="H954" s="3" t="s">
        <v>58</v>
      </c>
      <c r="I954" s="3" t="s">
        <v>58</v>
      </c>
      <c r="J954" s="3" t="s">
        <v>60</v>
      </c>
      <c r="L954" s="2" t="s">
        <v>7810</v>
      </c>
      <c r="M954" s="3" t="s">
        <v>223</v>
      </c>
      <c r="O954" s="3" t="s">
        <v>64</v>
      </c>
      <c r="P954" s="3" t="s">
        <v>115</v>
      </c>
      <c r="R954" s="3" t="s">
        <v>67</v>
      </c>
      <c r="S954" s="4">
        <v>2</v>
      </c>
      <c r="T954" s="4">
        <v>2</v>
      </c>
      <c r="U954" s="5" t="s">
        <v>2478</v>
      </c>
      <c r="V954" s="5" t="s">
        <v>2478</v>
      </c>
      <c r="W954" s="5" t="s">
        <v>4730</v>
      </c>
      <c r="X954" s="5" t="s">
        <v>4730</v>
      </c>
      <c r="Y954" s="4">
        <v>453</v>
      </c>
      <c r="Z954" s="4">
        <v>369</v>
      </c>
      <c r="AA954" s="4">
        <v>385</v>
      </c>
      <c r="AB954" s="4">
        <v>2</v>
      </c>
      <c r="AC954" s="4">
        <v>2</v>
      </c>
      <c r="AD954" s="4">
        <v>14</v>
      </c>
      <c r="AE954" s="4">
        <v>16</v>
      </c>
      <c r="AF954" s="4">
        <v>4</v>
      </c>
      <c r="AG954" s="4">
        <v>5</v>
      </c>
      <c r="AH954" s="4">
        <v>3</v>
      </c>
      <c r="AI954" s="4">
        <v>4</v>
      </c>
      <c r="AJ954" s="4">
        <v>9</v>
      </c>
      <c r="AK954" s="4">
        <v>9</v>
      </c>
      <c r="AL954" s="4">
        <v>1</v>
      </c>
      <c r="AM954" s="4">
        <v>1</v>
      </c>
      <c r="AN954" s="4">
        <v>0</v>
      </c>
      <c r="AO954" s="4">
        <v>0</v>
      </c>
      <c r="AP954" s="3" t="s">
        <v>58</v>
      </c>
      <c r="AQ954" s="3" t="s">
        <v>86</v>
      </c>
      <c r="AR954" s="6" t="str">
        <f>HYPERLINK("http://catalog.hathitrust.org/Record/000083892","HathiTrust Record")</f>
        <v>HathiTrust Record</v>
      </c>
      <c r="AS954" s="6" t="str">
        <f>HYPERLINK("https://creighton-primo.hosted.exlibrisgroup.com/primo-explore/search?tab=default_tab&amp;search_scope=EVERYTHING&amp;vid=01CRU&amp;lang=en_US&amp;offset=0&amp;query=any,contains,991004573239702656","Catalog Record")</f>
        <v>Catalog Record</v>
      </c>
      <c r="AT954" s="6" t="str">
        <f>HYPERLINK("http://www.worldcat.org/oclc/4036688","WorldCat Record")</f>
        <v>WorldCat Record</v>
      </c>
      <c r="AU954" s="3" t="s">
        <v>12397</v>
      </c>
      <c r="AV954" s="3" t="s">
        <v>12398</v>
      </c>
      <c r="AW954" s="3" t="s">
        <v>12399</v>
      </c>
      <c r="AX954" s="3" t="s">
        <v>12399</v>
      </c>
      <c r="AY954" s="3" t="s">
        <v>12400</v>
      </c>
      <c r="AZ954" s="3" t="s">
        <v>74</v>
      </c>
      <c r="BB954" s="3" t="s">
        <v>12401</v>
      </c>
      <c r="BC954" s="3" t="s">
        <v>12402</v>
      </c>
      <c r="BD954" s="3" t="s">
        <v>12403</v>
      </c>
    </row>
    <row r="955" spans="1:56" ht="42.75" customHeight="1" x14ac:dyDescent="0.25">
      <c r="A955" s="7" t="s">
        <v>58</v>
      </c>
      <c r="B955" s="2" t="s">
        <v>12404</v>
      </c>
      <c r="C955" s="2" t="s">
        <v>12405</v>
      </c>
      <c r="D955" s="2" t="s">
        <v>12406</v>
      </c>
      <c r="F955" s="3" t="s">
        <v>58</v>
      </c>
      <c r="G955" s="3" t="s">
        <v>59</v>
      </c>
      <c r="H955" s="3" t="s">
        <v>58</v>
      </c>
      <c r="I955" s="3" t="s">
        <v>58</v>
      </c>
      <c r="J955" s="3" t="s">
        <v>60</v>
      </c>
      <c r="L955" s="2" t="s">
        <v>12407</v>
      </c>
      <c r="M955" s="3" t="s">
        <v>1574</v>
      </c>
      <c r="O955" s="3" t="s">
        <v>64</v>
      </c>
      <c r="P955" s="3" t="s">
        <v>65</v>
      </c>
      <c r="R955" s="3" t="s">
        <v>67</v>
      </c>
      <c r="S955" s="4">
        <v>23</v>
      </c>
      <c r="T955" s="4">
        <v>23</v>
      </c>
      <c r="U955" s="5" t="s">
        <v>12408</v>
      </c>
      <c r="V955" s="5" t="s">
        <v>12408</v>
      </c>
      <c r="W955" s="5" t="s">
        <v>415</v>
      </c>
      <c r="X955" s="5" t="s">
        <v>415</v>
      </c>
      <c r="Y955" s="4">
        <v>212</v>
      </c>
      <c r="Z955" s="4">
        <v>155</v>
      </c>
      <c r="AA955" s="4">
        <v>157</v>
      </c>
      <c r="AB955" s="4">
        <v>1</v>
      </c>
      <c r="AC955" s="4">
        <v>1</v>
      </c>
      <c r="AD955" s="4">
        <v>3</v>
      </c>
      <c r="AE955" s="4">
        <v>3</v>
      </c>
      <c r="AF955" s="4">
        <v>1</v>
      </c>
      <c r="AG955" s="4">
        <v>1</v>
      </c>
      <c r="AH955" s="4">
        <v>0</v>
      </c>
      <c r="AI955" s="4">
        <v>0</v>
      </c>
      <c r="AJ955" s="4">
        <v>3</v>
      </c>
      <c r="AK955" s="4">
        <v>3</v>
      </c>
      <c r="AL955" s="4">
        <v>0</v>
      </c>
      <c r="AM955" s="4">
        <v>0</v>
      </c>
      <c r="AN955" s="4">
        <v>0</v>
      </c>
      <c r="AO955" s="4">
        <v>0</v>
      </c>
      <c r="AP955" s="3" t="s">
        <v>58</v>
      </c>
      <c r="AQ955" s="3" t="s">
        <v>86</v>
      </c>
      <c r="AR955" s="6" t="str">
        <f>HYPERLINK("http://catalog.hathitrust.org/Record/000105511","HathiTrust Record")</f>
        <v>HathiTrust Record</v>
      </c>
      <c r="AS955" s="6" t="str">
        <f>HYPERLINK("https://creighton-primo.hosted.exlibrisgroup.com/primo-explore/search?tab=default_tab&amp;search_scope=EVERYTHING&amp;vid=01CRU&amp;lang=en_US&amp;offset=0&amp;query=any,contains,991005167789702656","Catalog Record")</f>
        <v>Catalog Record</v>
      </c>
      <c r="AT955" s="6" t="str">
        <f>HYPERLINK("http://www.worldcat.org/oclc/7837085","WorldCat Record")</f>
        <v>WorldCat Record</v>
      </c>
      <c r="AU955" s="3" t="s">
        <v>12409</v>
      </c>
      <c r="AV955" s="3" t="s">
        <v>12410</v>
      </c>
      <c r="AW955" s="3" t="s">
        <v>12411</v>
      </c>
      <c r="AX955" s="3" t="s">
        <v>12411</v>
      </c>
      <c r="AY955" s="3" t="s">
        <v>12412</v>
      </c>
      <c r="AZ955" s="3" t="s">
        <v>74</v>
      </c>
      <c r="BB955" s="3" t="s">
        <v>12413</v>
      </c>
      <c r="BC955" s="3" t="s">
        <v>12414</v>
      </c>
      <c r="BD955" s="3" t="s">
        <v>12415</v>
      </c>
    </row>
    <row r="956" spans="1:56" ht="42.75" customHeight="1" x14ac:dyDescent="0.25">
      <c r="A956" s="7" t="s">
        <v>58</v>
      </c>
      <c r="B956" s="2" t="s">
        <v>12416</v>
      </c>
      <c r="C956" s="2" t="s">
        <v>12417</v>
      </c>
      <c r="D956" s="2" t="s">
        <v>12418</v>
      </c>
      <c r="F956" s="3" t="s">
        <v>58</v>
      </c>
      <c r="G956" s="3" t="s">
        <v>59</v>
      </c>
      <c r="H956" s="3" t="s">
        <v>58</v>
      </c>
      <c r="I956" s="3" t="s">
        <v>58</v>
      </c>
      <c r="J956" s="3" t="s">
        <v>60</v>
      </c>
      <c r="K956" s="2" t="s">
        <v>12419</v>
      </c>
      <c r="L956" s="2" t="s">
        <v>12420</v>
      </c>
      <c r="M956" s="3" t="s">
        <v>3822</v>
      </c>
      <c r="O956" s="3" t="s">
        <v>64</v>
      </c>
      <c r="P956" s="3" t="s">
        <v>115</v>
      </c>
      <c r="Q956" s="2" t="s">
        <v>12421</v>
      </c>
      <c r="R956" s="3" t="s">
        <v>67</v>
      </c>
      <c r="S956" s="4">
        <v>6</v>
      </c>
      <c r="T956" s="4">
        <v>6</v>
      </c>
      <c r="U956" s="5" t="s">
        <v>6058</v>
      </c>
      <c r="V956" s="5" t="s">
        <v>6058</v>
      </c>
      <c r="W956" s="5" t="s">
        <v>12422</v>
      </c>
      <c r="X956" s="5" t="s">
        <v>12422</v>
      </c>
      <c r="Y956" s="4">
        <v>324</v>
      </c>
      <c r="Z956" s="4">
        <v>280</v>
      </c>
      <c r="AA956" s="4">
        <v>386</v>
      </c>
      <c r="AB956" s="4">
        <v>2</v>
      </c>
      <c r="AC956" s="4">
        <v>3</v>
      </c>
      <c r="AD956" s="4">
        <v>11</v>
      </c>
      <c r="AE956" s="4">
        <v>18</v>
      </c>
      <c r="AF956" s="4">
        <v>2</v>
      </c>
      <c r="AG956" s="4">
        <v>5</v>
      </c>
      <c r="AH956" s="4">
        <v>2</v>
      </c>
      <c r="AI956" s="4">
        <v>2</v>
      </c>
      <c r="AJ956" s="4">
        <v>7</v>
      </c>
      <c r="AK956" s="4">
        <v>11</v>
      </c>
      <c r="AL956" s="4">
        <v>1</v>
      </c>
      <c r="AM956" s="4">
        <v>2</v>
      </c>
      <c r="AN956" s="4">
        <v>0</v>
      </c>
      <c r="AO956" s="4">
        <v>0</v>
      </c>
      <c r="AP956" s="3" t="s">
        <v>58</v>
      </c>
      <c r="AQ956" s="3" t="s">
        <v>58</v>
      </c>
      <c r="AR956" s="6" t="str">
        <f>HYPERLINK("http://catalog.hathitrust.org/Record/000620867","HathiTrust Record")</f>
        <v>HathiTrust Record</v>
      </c>
      <c r="AS956" s="6" t="str">
        <f>HYPERLINK("https://creighton-primo.hosted.exlibrisgroup.com/primo-explore/search?tab=default_tab&amp;search_scope=EVERYTHING&amp;vid=01CRU&amp;lang=en_US&amp;offset=0&amp;query=any,contains,991003838319702656","Catalog Record")</f>
        <v>Catalog Record</v>
      </c>
      <c r="AT956" s="6" t="str">
        <f>HYPERLINK("http://www.worldcat.org/oclc/1610070","WorldCat Record")</f>
        <v>WorldCat Record</v>
      </c>
      <c r="AU956" s="3" t="s">
        <v>12423</v>
      </c>
      <c r="AV956" s="3" t="s">
        <v>12424</v>
      </c>
      <c r="AW956" s="3" t="s">
        <v>12425</v>
      </c>
      <c r="AX956" s="3" t="s">
        <v>12425</v>
      </c>
      <c r="AY956" s="3" t="s">
        <v>12426</v>
      </c>
      <c r="AZ956" s="3" t="s">
        <v>74</v>
      </c>
      <c r="BC956" s="3" t="s">
        <v>12427</v>
      </c>
      <c r="BD956" s="3" t="s">
        <v>12428</v>
      </c>
    </row>
    <row r="957" spans="1:56" ht="42.75" customHeight="1" x14ac:dyDescent="0.25">
      <c r="A957" s="7" t="s">
        <v>58</v>
      </c>
      <c r="B957" s="2" t="s">
        <v>12429</v>
      </c>
      <c r="C957" s="2" t="s">
        <v>12430</v>
      </c>
      <c r="D957" s="2" t="s">
        <v>12431</v>
      </c>
      <c r="F957" s="3" t="s">
        <v>58</v>
      </c>
      <c r="G957" s="3" t="s">
        <v>59</v>
      </c>
      <c r="H957" s="3" t="s">
        <v>58</v>
      </c>
      <c r="I957" s="3" t="s">
        <v>58</v>
      </c>
      <c r="J957" s="3" t="s">
        <v>60</v>
      </c>
      <c r="K957" s="2" t="s">
        <v>12432</v>
      </c>
      <c r="L957" s="2" t="s">
        <v>12433</v>
      </c>
      <c r="M957" s="3" t="s">
        <v>269</v>
      </c>
      <c r="N957" s="2" t="s">
        <v>3823</v>
      </c>
      <c r="O957" s="3" t="s">
        <v>64</v>
      </c>
      <c r="P957" s="3" t="s">
        <v>115</v>
      </c>
      <c r="Q957" s="2" t="s">
        <v>12434</v>
      </c>
      <c r="R957" s="3" t="s">
        <v>67</v>
      </c>
      <c r="S957" s="4">
        <v>12</v>
      </c>
      <c r="T957" s="4">
        <v>12</v>
      </c>
      <c r="U957" s="5" t="s">
        <v>12435</v>
      </c>
      <c r="V957" s="5" t="s">
        <v>12435</v>
      </c>
      <c r="W957" s="5" t="s">
        <v>12436</v>
      </c>
      <c r="X957" s="5" t="s">
        <v>12436</v>
      </c>
      <c r="Y957" s="4">
        <v>536</v>
      </c>
      <c r="Z957" s="4">
        <v>464</v>
      </c>
      <c r="AA957" s="4">
        <v>481</v>
      </c>
      <c r="AB957" s="4">
        <v>4</v>
      </c>
      <c r="AC957" s="4">
        <v>4</v>
      </c>
      <c r="AD957" s="4">
        <v>20</v>
      </c>
      <c r="AE957" s="4">
        <v>22</v>
      </c>
      <c r="AF957" s="4">
        <v>6</v>
      </c>
      <c r="AG957" s="4">
        <v>7</v>
      </c>
      <c r="AH957" s="4">
        <v>4</v>
      </c>
      <c r="AI957" s="4">
        <v>5</v>
      </c>
      <c r="AJ957" s="4">
        <v>12</v>
      </c>
      <c r="AK957" s="4">
        <v>12</v>
      </c>
      <c r="AL957" s="4">
        <v>3</v>
      </c>
      <c r="AM957" s="4">
        <v>3</v>
      </c>
      <c r="AN957" s="4">
        <v>0</v>
      </c>
      <c r="AO957" s="4">
        <v>0</v>
      </c>
      <c r="AP957" s="3" t="s">
        <v>58</v>
      </c>
      <c r="AQ957" s="3" t="s">
        <v>86</v>
      </c>
      <c r="AR957" s="6" t="str">
        <f>HYPERLINK("http://catalog.hathitrust.org/Record/001564968","HathiTrust Record")</f>
        <v>HathiTrust Record</v>
      </c>
      <c r="AS957" s="6" t="str">
        <f>HYPERLINK("https://creighton-primo.hosted.exlibrisgroup.com/primo-explore/search?tab=default_tab&amp;search_scope=EVERYTHING&amp;vid=01CRU&amp;lang=en_US&amp;offset=0&amp;query=any,contains,991005434999702656","Catalog Record")</f>
        <v>Catalog Record</v>
      </c>
      <c r="AT957" s="6" t="str">
        <f>HYPERLINK("http://www.worldcat.org/oclc/2708","WorldCat Record")</f>
        <v>WorldCat Record</v>
      </c>
      <c r="AU957" s="3" t="s">
        <v>12437</v>
      </c>
      <c r="AV957" s="3" t="s">
        <v>12438</v>
      </c>
      <c r="AW957" s="3" t="s">
        <v>12439</v>
      </c>
      <c r="AX957" s="3" t="s">
        <v>12439</v>
      </c>
      <c r="AY957" s="3" t="s">
        <v>12440</v>
      </c>
      <c r="AZ957" s="3" t="s">
        <v>74</v>
      </c>
      <c r="BC957" s="3" t="s">
        <v>12441</v>
      </c>
      <c r="BD957" s="3" t="s">
        <v>12442</v>
      </c>
    </row>
    <row r="958" spans="1:56" ht="42.75" customHeight="1" x14ac:dyDescent="0.25">
      <c r="A958" s="7" t="s">
        <v>58</v>
      </c>
      <c r="B958" s="2" t="s">
        <v>12443</v>
      </c>
      <c r="C958" s="2" t="s">
        <v>12444</v>
      </c>
      <c r="D958" s="2" t="s">
        <v>12445</v>
      </c>
      <c r="F958" s="3" t="s">
        <v>58</v>
      </c>
      <c r="G958" s="3" t="s">
        <v>59</v>
      </c>
      <c r="H958" s="3" t="s">
        <v>58</v>
      </c>
      <c r="I958" s="3" t="s">
        <v>58</v>
      </c>
      <c r="J958" s="3" t="s">
        <v>60</v>
      </c>
      <c r="K958" s="2" t="s">
        <v>12446</v>
      </c>
      <c r="L958" s="2" t="s">
        <v>12447</v>
      </c>
      <c r="M958" s="3" t="s">
        <v>2770</v>
      </c>
      <c r="O958" s="3" t="s">
        <v>64</v>
      </c>
      <c r="P958" s="3" t="s">
        <v>115</v>
      </c>
      <c r="R958" s="3" t="s">
        <v>67</v>
      </c>
      <c r="S958" s="4">
        <v>3</v>
      </c>
      <c r="T958" s="4">
        <v>3</v>
      </c>
      <c r="U958" s="5" t="s">
        <v>12448</v>
      </c>
      <c r="V958" s="5" t="s">
        <v>12448</v>
      </c>
      <c r="W958" s="5" t="s">
        <v>165</v>
      </c>
      <c r="X958" s="5" t="s">
        <v>165</v>
      </c>
      <c r="Y958" s="4">
        <v>222</v>
      </c>
      <c r="Z958" s="4">
        <v>178</v>
      </c>
      <c r="AA958" s="4">
        <v>198</v>
      </c>
      <c r="AB958" s="4">
        <v>2</v>
      </c>
      <c r="AC958" s="4">
        <v>2</v>
      </c>
      <c r="AD958" s="4">
        <v>10</v>
      </c>
      <c r="AE958" s="4">
        <v>10</v>
      </c>
      <c r="AF958" s="4">
        <v>2</v>
      </c>
      <c r="AG958" s="4">
        <v>2</v>
      </c>
      <c r="AH958" s="4">
        <v>2</v>
      </c>
      <c r="AI958" s="4">
        <v>2</v>
      </c>
      <c r="AJ958" s="4">
        <v>7</v>
      </c>
      <c r="AK958" s="4">
        <v>7</v>
      </c>
      <c r="AL958" s="4">
        <v>1</v>
      </c>
      <c r="AM958" s="4">
        <v>1</v>
      </c>
      <c r="AN958" s="4">
        <v>0</v>
      </c>
      <c r="AO958" s="4">
        <v>0</v>
      </c>
      <c r="AP958" s="3" t="s">
        <v>58</v>
      </c>
      <c r="AQ958" s="3" t="s">
        <v>58</v>
      </c>
      <c r="AS958" s="6" t="str">
        <f>HYPERLINK("https://creighton-primo.hosted.exlibrisgroup.com/primo-explore/search?tab=default_tab&amp;search_scope=EVERYTHING&amp;vid=01CRU&amp;lang=en_US&amp;offset=0&amp;query=any,contains,991004315849702656","Catalog Record")</f>
        <v>Catalog Record</v>
      </c>
      <c r="AT958" s="6" t="str">
        <f>HYPERLINK("http://www.worldcat.org/oclc/3003838","WorldCat Record")</f>
        <v>WorldCat Record</v>
      </c>
      <c r="AU958" s="3" t="s">
        <v>12449</v>
      </c>
      <c r="AV958" s="3" t="s">
        <v>12450</v>
      </c>
      <c r="AW958" s="3" t="s">
        <v>12451</v>
      </c>
      <c r="AX958" s="3" t="s">
        <v>12451</v>
      </c>
      <c r="AY958" s="3" t="s">
        <v>12452</v>
      </c>
      <c r="AZ958" s="3" t="s">
        <v>74</v>
      </c>
      <c r="BB958" s="3" t="s">
        <v>12453</v>
      </c>
      <c r="BC958" s="3" t="s">
        <v>12454</v>
      </c>
      <c r="BD958" s="3" t="s">
        <v>12455</v>
      </c>
    </row>
    <row r="959" spans="1:56" ht="42.75" customHeight="1" x14ac:dyDescent="0.25">
      <c r="A959" s="7" t="s">
        <v>58</v>
      </c>
      <c r="B959" s="2" t="s">
        <v>12456</v>
      </c>
      <c r="C959" s="2" t="s">
        <v>12457</v>
      </c>
      <c r="D959" s="2" t="s">
        <v>12458</v>
      </c>
      <c r="F959" s="3" t="s">
        <v>58</v>
      </c>
      <c r="G959" s="3" t="s">
        <v>59</v>
      </c>
      <c r="H959" s="3" t="s">
        <v>58</v>
      </c>
      <c r="I959" s="3" t="s">
        <v>58</v>
      </c>
      <c r="J959" s="3" t="s">
        <v>60</v>
      </c>
      <c r="L959" s="2" t="s">
        <v>12459</v>
      </c>
      <c r="M959" s="3" t="s">
        <v>3914</v>
      </c>
      <c r="N959" s="2" t="s">
        <v>1736</v>
      </c>
      <c r="O959" s="3" t="s">
        <v>64</v>
      </c>
      <c r="P959" s="3" t="s">
        <v>115</v>
      </c>
      <c r="Q959" s="2" t="s">
        <v>12460</v>
      </c>
      <c r="R959" s="3" t="s">
        <v>67</v>
      </c>
      <c r="S959" s="4">
        <v>7</v>
      </c>
      <c r="T959" s="4">
        <v>7</v>
      </c>
      <c r="U959" s="5" t="s">
        <v>10178</v>
      </c>
      <c r="V959" s="5" t="s">
        <v>10178</v>
      </c>
      <c r="W959" s="5" t="s">
        <v>12461</v>
      </c>
      <c r="X959" s="5" t="s">
        <v>12461</v>
      </c>
      <c r="Y959" s="4">
        <v>279</v>
      </c>
      <c r="Z959" s="4">
        <v>224</v>
      </c>
      <c r="AA959" s="4">
        <v>229</v>
      </c>
      <c r="AB959" s="4">
        <v>3</v>
      </c>
      <c r="AC959" s="4">
        <v>3</v>
      </c>
      <c r="AD959" s="4">
        <v>14</v>
      </c>
      <c r="AE959" s="4">
        <v>14</v>
      </c>
      <c r="AF959" s="4">
        <v>4</v>
      </c>
      <c r="AG959" s="4">
        <v>4</v>
      </c>
      <c r="AH959" s="4">
        <v>3</v>
      </c>
      <c r="AI959" s="4">
        <v>3</v>
      </c>
      <c r="AJ959" s="4">
        <v>6</v>
      </c>
      <c r="AK959" s="4">
        <v>6</v>
      </c>
      <c r="AL959" s="4">
        <v>2</v>
      </c>
      <c r="AM959" s="4">
        <v>2</v>
      </c>
      <c r="AN959" s="4">
        <v>0</v>
      </c>
      <c r="AO959" s="4">
        <v>0</v>
      </c>
      <c r="AP959" s="3" t="s">
        <v>58</v>
      </c>
      <c r="AQ959" s="3" t="s">
        <v>86</v>
      </c>
      <c r="AR959" s="6" t="str">
        <f>HYPERLINK("http://catalog.hathitrust.org/Record/009905890","HathiTrust Record")</f>
        <v>HathiTrust Record</v>
      </c>
      <c r="AS959" s="6" t="str">
        <f>HYPERLINK("https://creighton-primo.hosted.exlibrisgroup.com/primo-explore/search?tab=default_tab&amp;search_scope=EVERYTHING&amp;vid=01CRU&amp;lang=en_US&amp;offset=0&amp;query=any,contains,991004181539702656","Catalog Record")</f>
        <v>Catalog Record</v>
      </c>
      <c r="AT959" s="6" t="str">
        <f>HYPERLINK("http://www.worldcat.org/oclc/2605828","WorldCat Record")</f>
        <v>WorldCat Record</v>
      </c>
      <c r="AU959" s="3" t="s">
        <v>12462</v>
      </c>
      <c r="AV959" s="3" t="s">
        <v>12463</v>
      </c>
      <c r="AW959" s="3" t="s">
        <v>12464</v>
      </c>
      <c r="AX959" s="3" t="s">
        <v>12464</v>
      </c>
      <c r="AY959" s="3" t="s">
        <v>12465</v>
      </c>
      <c r="AZ959" s="3" t="s">
        <v>74</v>
      </c>
      <c r="BB959" s="3" t="s">
        <v>12466</v>
      </c>
      <c r="BC959" s="3" t="s">
        <v>12467</v>
      </c>
      <c r="BD959" s="3" t="s">
        <v>12468</v>
      </c>
    </row>
    <row r="960" spans="1:56" ht="42.75" customHeight="1" x14ac:dyDescent="0.25">
      <c r="A960" s="7" t="s">
        <v>58</v>
      </c>
      <c r="B960" s="2" t="s">
        <v>12469</v>
      </c>
      <c r="C960" s="2" t="s">
        <v>12470</v>
      </c>
      <c r="D960" s="2" t="s">
        <v>12471</v>
      </c>
      <c r="F960" s="3" t="s">
        <v>58</v>
      </c>
      <c r="G960" s="3" t="s">
        <v>59</v>
      </c>
      <c r="H960" s="3" t="s">
        <v>86</v>
      </c>
      <c r="I960" s="3" t="s">
        <v>58</v>
      </c>
      <c r="J960" s="3" t="s">
        <v>60</v>
      </c>
      <c r="L960" s="2" t="s">
        <v>12472</v>
      </c>
      <c r="M960" s="3" t="s">
        <v>371</v>
      </c>
      <c r="O960" s="3" t="s">
        <v>64</v>
      </c>
      <c r="P960" s="3" t="s">
        <v>65</v>
      </c>
      <c r="R960" s="3" t="s">
        <v>67</v>
      </c>
      <c r="S960" s="4">
        <v>28</v>
      </c>
      <c r="T960" s="4">
        <v>45</v>
      </c>
      <c r="U960" s="5" t="s">
        <v>12473</v>
      </c>
      <c r="V960" s="5" t="s">
        <v>12473</v>
      </c>
      <c r="W960" s="5" t="s">
        <v>131</v>
      </c>
      <c r="X960" s="5" t="s">
        <v>131</v>
      </c>
      <c r="Y960" s="4">
        <v>164</v>
      </c>
      <c r="Z960" s="4">
        <v>97</v>
      </c>
      <c r="AA960" s="4">
        <v>99</v>
      </c>
      <c r="AB960" s="4">
        <v>2</v>
      </c>
      <c r="AC960" s="4">
        <v>2</v>
      </c>
      <c r="AD960" s="4">
        <v>4</v>
      </c>
      <c r="AE960" s="4">
        <v>4</v>
      </c>
      <c r="AF960" s="4">
        <v>3</v>
      </c>
      <c r="AG960" s="4">
        <v>3</v>
      </c>
      <c r="AH960" s="4">
        <v>0</v>
      </c>
      <c r="AI960" s="4">
        <v>0</v>
      </c>
      <c r="AJ960" s="4">
        <v>3</v>
      </c>
      <c r="AK960" s="4">
        <v>3</v>
      </c>
      <c r="AL960" s="4">
        <v>0</v>
      </c>
      <c r="AM960" s="4">
        <v>0</v>
      </c>
      <c r="AN960" s="4">
        <v>0</v>
      </c>
      <c r="AO960" s="4">
        <v>0</v>
      </c>
      <c r="AP960" s="3" t="s">
        <v>58</v>
      </c>
      <c r="AQ960" s="3" t="s">
        <v>86</v>
      </c>
      <c r="AR960" s="6" t="str">
        <f>HYPERLINK("http://catalog.hathitrust.org/Record/010389190","HathiTrust Record")</f>
        <v>HathiTrust Record</v>
      </c>
      <c r="AS960" s="6" t="str">
        <f>HYPERLINK("https://creighton-primo.hosted.exlibrisgroup.com/primo-explore/search?tab=default_tab&amp;search_scope=EVERYTHING&amp;vid=01CRU&amp;lang=en_US&amp;offset=0&amp;query=any,contains,991001786669702656","Catalog Record")</f>
        <v>Catalog Record</v>
      </c>
      <c r="AT960" s="6" t="str">
        <f>HYPERLINK("http://www.worldcat.org/oclc/13718786","WorldCat Record")</f>
        <v>WorldCat Record</v>
      </c>
      <c r="AU960" s="3" t="s">
        <v>12474</v>
      </c>
      <c r="AV960" s="3" t="s">
        <v>12475</v>
      </c>
      <c r="AW960" s="3" t="s">
        <v>12476</v>
      </c>
      <c r="AX960" s="3" t="s">
        <v>12476</v>
      </c>
      <c r="AY960" s="3" t="s">
        <v>12477</v>
      </c>
      <c r="AZ960" s="3" t="s">
        <v>74</v>
      </c>
      <c r="BB960" s="3" t="s">
        <v>12478</v>
      </c>
      <c r="BC960" s="3" t="s">
        <v>12479</v>
      </c>
      <c r="BD960" s="3" t="s">
        <v>12480</v>
      </c>
    </row>
    <row r="961" spans="1:56" ht="42.75" customHeight="1" x14ac:dyDescent="0.25">
      <c r="A961" s="7" t="s">
        <v>58</v>
      </c>
      <c r="B961" s="2" t="s">
        <v>12481</v>
      </c>
      <c r="C961" s="2" t="s">
        <v>12482</v>
      </c>
      <c r="D961" s="2" t="s">
        <v>12483</v>
      </c>
      <c r="F961" s="3" t="s">
        <v>58</v>
      </c>
      <c r="G961" s="3" t="s">
        <v>59</v>
      </c>
      <c r="H961" s="3" t="s">
        <v>58</v>
      </c>
      <c r="I961" s="3" t="s">
        <v>58</v>
      </c>
      <c r="J961" s="3" t="s">
        <v>60</v>
      </c>
      <c r="L961" s="2" t="s">
        <v>12484</v>
      </c>
      <c r="M961" s="3" t="s">
        <v>238</v>
      </c>
      <c r="O961" s="3" t="s">
        <v>64</v>
      </c>
      <c r="P961" s="3" t="s">
        <v>115</v>
      </c>
      <c r="R961" s="3" t="s">
        <v>67</v>
      </c>
      <c r="S961" s="4">
        <v>15</v>
      </c>
      <c r="T961" s="4">
        <v>15</v>
      </c>
      <c r="U961" s="5" t="s">
        <v>4164</v>
      </c>
      <c r="V961" s="5" t="s">
        <v>4164</v>
      </c>
      <c r="W961" s="5" t="s">
        <v>12485</v>
      </c>
      <c r="X961" s="5" t="s">
        <v>12485</v>
      </c>
      <c r="Y961" s="4">
        <v>366</v>
      </c>
      <c r="Z961" s="4">
        <v>297</v>
      </c>
      <c r="AA961" s="4">
        <v>313</v>
      </c>
      <c r="AB961" s="4">
        <v>2</v>
      </c>
      <c r="AC961" s="4">
        <v>2</v>
      </c>
      <c r="AD961" s="4">
        <v>13</v>
      </c>
      <c r="AE961" s="4">
        <v>15</v>
      </c>
      <c r="AF961" s="4">
        <v>3</v>
      </c>
      <c r="AG961" s="4">
        <v>4</v>
      </c>
      <c r="AH961" s="4">
        <v>3</v>
      </c>
      <c r="AI961" s="4">
        <v>4</v>
      </c>
      <c r="AJ961" s="4">
        <v>9</v>
      </c>
      <c r="AK961" s="4">
        <v>9</v>
      </c>
      <c r="AL961" s="4">
        <v>1</v>
      </c>
      <c r="AM961" s="4">
        <v>1</v>
      </c>
      <c r="AN961" s="4">
        <v>0</v>
      </c>
      <c r="AO961" s="4">
        <v>0</v>
      </c>
      <c r="AP961" s="3" t="s">
        <v>58</v>
      </c>
      <c r="AQ961" s="3" t="s">
        <v>86</v>
      </c>
      <c r="AR961" s="6" t="str">
        <f>HYPERLINK("http://catalog.hathitrust.org/Record/000028055","HathiTrust Record")</f>
        <v>HathiTrust Record</v>
      </c>
      <c r="AS961" s="6" t="str">
        <f>HYPERLINK("https://creighton-primo.hosted.exlibrisgroup.com/primo-explore/search?tab=default_tab&amp;search_scope=EVERYTHING&amp;vid=01CRU&amp;lang=en_US&amp;offset=0&amp;query=any,contains,991004901089702656","Catalog Record")</f>
        <v>Catalog Record</v>
      </c>
      <c r="AT961" s="6" t="str">
        <f>HYPERLINK("http://www.worldcat.org/oclc/5937827","WorldCat Record")</f>
        <v>WorldCat Record</v>
      </c>
      <c r="AU961" s="3" t="s">
        <v>12486</v>
      </c>
      <c r="AV961" s="3" t="s">
        <v>12487</v>
      </c>
      <c r="AW961" s="3" t="s">
        <v>12488</v>
      </c>
      <c r="AX961" s="3" t="s">
        <v>12488</v>
      </c>
      <c r="AY961" s="3" t="s">
        <v>12489</v>
      </c>
      <c r="AZ961" s="3" t="s">
        <v>74</v>
      </c>
      <c r="BB961" s="3" t="s">
        <v>12490</v>
      </c>
      <c r="BC961" s="3" t="s">
        <v>12491</v>
      </c>
      <c r="BD961" s="3" t="s">
        <v>12492</v>
      </c>
    </row>
    <row r="962" spans="1:56" ht="42.75" customHeight="1" x14ac:dyDescent="0.25">
      <c r="A962" s="7" t="s">
        <v>58</v>
      </c>
      <c r="B962" s="2" t="s">
        <v>12493</v>
      </c>
      <c r="C962" s="2" t="s">
        <v>12494</v>
      </c>
      <c r="D962" s="2" t="s">
        <v>12495</v>
      </c>
      <c r="F962" s="3" t="s">
        <v>58</v>
      </c>
      <c r="G962" s="3" t="s">
        <v>59</v>
      </c>
      <c r="H962" s="3" t="s">
        <v>58</v>
      </c>
      <c r="I962" s="3" t="s">
        <v>58</v>
      </c>
      <c r="J962" s="3" t="s">
        <v>60</v>
      </c>
      <c r="K962" s="2" t="s">
        <v>12496</v>
      </c>
      <c r="L962" s="2" t="s">
        <v>5621</v>
      </c>
      <c r="M962" s="3" t="s">
        <v>114</v>
      </c>
      <c r="O962" s="3" t="s">
        <v>64</v>
      </c>
      <c r="P962" s="3" t="s">
        <v>115</v>
      </c>
      <c r="Q962" s="2" t="s">
        <v>6131</v>
      </c>
      <c r="R962" s="3" t="s">
        <v>67</v>
      </c>
      <c r="S962" s="4">
        <v>14</v>
      </c>
      <c r="T962" s="4">
        <v>14</v>
      </c>
      <c r="U962" s="5" t="s">
        <v>12497</v>
      </c>
      <c r="V962" s="5" t="s">
        <v>12497</v>
      </c>
      <c r="W962" s="5" t="s">
        <v>12498</v>
      </c>
      <c r="X962" s="5" t="s">
        <v>12498</v>
      </c>
      <c r="Y962" s="4">
        <v>439</v>
      </c>
      <c r="Z962" s="4">
        <v>329</v>
      </c>
      <c r="AA962" s="4">
        <v>329</v>
      </c>
      <c r="AB962" s="4">
        <v>3</v>
      </c>
      <c r="AC962" s="4">
        <v>3</v>
      </c>
      <c r="AD962" s="4">
        <v>11</v>
      </c>
      <c r="AE962" s="4">
        <v>11</v>
      </c>
      <c r="AF962" s="4">
        <v>3</v>
      </c>
      <c r="AG962" s="4">
        <v>3</v>
      </c>
      <c r="AH962" s="4">
        <v>2</v>
      </c>
      <c r="AI962" s="4">
        <v>2</v>
      </c>
      <c r="AJ962" s="4">
        <v>7</v>
      </c>
      <c r="AK962" s="4">
        <v>7</v>
      </c>
      <c r="AL962" s="4">
        <v>1</v>
      </c>
      <c r="AM962" s="4">
        <v>1</v>
      </c>
      <c r="AN962" s="4">
        <v>0</v>
      </c>
      <c r="AO962" s="4">
        <v>0</v>
      </c>
      <c r="AP962" s="3" t="s">
        <v>58</v>
      </c>
      <c r="AQ962" s="3" t="s">
        <v>58</v>
      </c>
      <c r="AS962" s="6" t="str">
        <f>HYPERLINK("https://creighton-primo.hosted.exlibrisgroup.com/primo-explore/search?tab=default_tab&amp;search_scope=EVERYTHING&amp;vid=01CRU&amp;lang=en_US&amp;offset=0&amp;query=any,contains,991000436949702656","Catalog Record")</f>
        <v>Catalog Record</v>
      </c>
      <c r="AT962" s="6" t="str">
        <f>HYPERLINK("http://www.worldcat.org/oclc/10799224","WorldCat Record")</f>
        <v>WorldCat Record</v>
      </c>
      <c r="AU962" s="3" t="s">
        <v>12499</v>
      </c>
      <c r="AV962" s="3" t="s">
        <v>12500</v>
      </c>
      <c r="AW962" s="3" t="s">
        <v>12501</v>
      </c>
      <c r="AX962" s="3" t="s">
        <v>12501</v>
      </c>
      <c r="AY962" s="3" t="s">
        <v>12502</v>
      </c>
      <c r="AZ962" s="3" t="s">
        <v>74</v>
      </c>
      <c r="BB962" s="3" t="s">
        <v>12503</v>
      </c>
      <c r="BC962" s="3" t="s">
        <v>12504</v>
      </c>
      <c r="BD962" s="3" t="s">
        <v>12505</v>
      </c>
    </row>
    <row r="963" spans="1:56" ht="42.75" customHeight="1" x14ac:dyDescent="0.25">
      <c r="A963" s="7" t="s">
        <v>58</v>
      </c>
      <c r="B963" s="2" t="s">
        <v>12506</v>
      </c>
      <c r="C963" s="2" t="s">
        <v>12507</v>
      </c>
      <c r="D963" s="2" t="s">
        <v>12508</v>
      </c>
      <c r="F963" s="3" t="s">
        <v>58</v>
      </c>
      <c r="G963" s="3" t="s">
        <v>59</v>
      </c>
      <c r="H963" s="3" t="s">
        <v>58</v>
      </c>
      <c r="I963" s="3" t="s">
        <v>58</v>
      </c>
      <c r="J963" s="3" t="s">
        <v>60</v>
      </c>
      <c r="K963" s="2" t="s">
        <v>12509</v>
      </c>
      <c r="L963" s="2" t="s">
        <v>12510</v>
      </c>
      <c r="M963" s="3" t="s">
        <v>2227</v>
      </c>
      <c r="O963" s="3" t="s">
        <v>64</v>
      </c>
      <c r="P963" s="3" t="s">
        <v>83</v>
      </c>
      <c r="R963" s="3" t="s">
        <v>67</v>
      </c>
      <c r="S963" s="4">
        <v>5</v>
      </c>
      <c r="T963" s="4">
        <v>5</v>
      </c>
      <c r="U963" s="5" t="s">
        <v>12511</v>
      </c>
      <c r="V963" s="5" t="s">
        <v>12511</v>
      </c>
      <c r="W963" s="5" t="s">
        <v>4730</v>
      </c>
      <c r="X963" s="5" t="s">
        <v>4730</v>
      </c>
      <c r="Y963" s="4">
        <v>323</v>
      </c>
      <c r="Z963" s="4">
        <v>264</v>
      </c>
      <c r="AA963" s="4">
        <v>269</v>
      </c>
      <c r="AB963" s="4">
        <v>2</v>
      </c>
      <c r="AC963" s="4">
        <v>2</v>
      </c>
      <c r="AD963" s="4">
        <v>12</v>
      </c>
      <c r="AE963" s="4">
        <v>12</v>
      </c>
      <c r="AF963" s="4">
        <v>4</v>
      </c>
      <c r="AG963" s="4">
        <v>4</v>
      </c>
      <c r="AH963" s="4">
        <v>4</v>
      </c>
      <c r="AI963" s="4">
        <v>4</v>
      </c>
      <c r="AJ963" s="4">
        <v>8</v>
      </c>
      <c r="AK963" s="4">
        <v>8</v>
      </c>
      <c r="AL963" s="4">
        <v>1</v>
      </c>
      <c r="AM963" s="4">
        <v>1</v>
      </c>
      <c r="AN963" s="4">
        <v>0</v>
      </c>
      <c r="AO963" s="4">
        <v>0</v>
      </c>
      <c r="AP963" s="3" t="s">
        <v>58</v>
      </c>
      <c r="AQ963" s="3" t="s">
        <v>58</v>
      </c>
      <c r="AS963" s="6" t="str">
        <f>HYPERLINK("https://creighton-primo.hosted.exlibrisgroup.com/primo-explore/search?tab=default_tab&amp;search_scope=EVERYTHING&amp;vid=01CRU&amp;lang=en_US&amp;offset=0&amp;query=any,contains,991000494589702656","Catalog Record")</f>
        <v>Catalog Record</v>
      </c>
      <c r="AT963" s="6" t="str">
        <f>HYPERLINK("http://www.worldcat.org/oclc/11133014","WorldCat Record")</f>
        <v>WorldCat Record</v>
      </c>
      <c r="AU963" s="3" t="s">
        <v>12512</v>
      </c>
      <c r="AV963" s="3" t="s">
        <v>12513</v>
      </c>
      <c r="AW963" s="3" t="s">
        <v>12514</v>
      </c>
      <c r="AX963" s="3" t="s">
        <v>12514</v>
      </c>
      <c r="AY963" s="3" t="s">
        <v>12515</v>
      </c>
      <c r="AZ963" s="3" t="s">
        <v>74</v>
      </c>
      <c r="BB963" s="3" t="s">
        <v>12516</v>
      </c>
      <c r="BC963" s="3" t="s">
        <v>12517</v>
      </c>
      <c r="BD963" s="3" t="s">
        <v>12518</v>
      </c>
    </row>
    <row r="964" spans="1:56" ht="42.75" customHeight="1" x14ac:dyDescent="0.25">
      <c r="A964" s="7" t="s">
        <v>58</v>
      </c>
      <c r="B964" s="2" t="s">
        <v>12519</v>
      </c>
      <c r="C964" s="2" t="s">
        <v>12520</v>
      </c>
      <c r="D964" s="2" t="s">
        <v>12521</v>
      </c>
      <c r="F964" s="3" t="s">
        <v>58</v>
      </c>
      <c r="G964" s="3" t="s">
        <v>59</v>
      </c>
      <c r="H964" s="3" t="s">
        <v>58</v>
      </c>
      <c r="I964" s="3" t="s">
        <v>58</v>
      </c>
      <c r="J964" s="3" t="s">
        <v>60</v>
      </c>
      <c r="K964" s="2" t="s">
        <v>12522</v>
      </c>
      <c r="L964" s="2" t="s">
        <v>12447</v>
      </c>
      <c r="M964" s="3" t="s">
        <v>2770</v>
      </c>
      <c r="O964" s="3" t="s">
        <v>64</v>
      </c>
      <c r="P964" s="3" t="s">
        <v>115</v>
      </c>
      <c r="R964" s="3" t="s">
        <v>67</v>
      </c>
      <c r="S964" s="4">
        <v>6</v>
      </c>
      <c r="T964" s="4">
        <v>6</v>
      </c>
      <c r="U964" s="5" t="s">
        <v>12523</v>
      </c>
      <c r="V964" s="5" t="s">
        <v>12523</v>
      </c>
      <c r="W964" s="5" t="s">
        <v>9431</v>
      </c>
      <c r="X964" s="5" t="s">
        <v>9431</v>
      </c>
      <c r="Y964" s="4">
        <v>183</v>
      </c>
      <c r="Z964" s="4">
        <v>146</v>
      </c>
      <c r="AA964" s="4">
        <v>166</v>
      </c>
      <c r="AB964" s="4">
        <v>1</v>
      </c>
      <c r="AC964" s="4">
        <v>1</v>
      </c>
      <c r="AD964" s="4">
        <v>3</v>
      </c>
      <c r="AE964" s="4">
        <v>3</v>
      </c>
      <c r="AF964" s="4">
        <v>1</v>
      </c>
      <c r="AG964" s="4">
        <v>1</v>
      </c>
      <c r="AH964" s="4">
        <v>0</v>
      </c>
      <c r="AI964" s="4">
        <v>0</v>
      </c>
      <c r="AJ964" s="4">
        <v>3</v>
      </c>
      <c r="AK964" s="4">
        <v>3</v>
      </c>
      <c r="AL964" s="4">
        <v>0</v>
      </c>
      <c r="AM964" s="4">
        <v>0</v>
      </c>
      <c r="AN964" s="4">
        <v>0</v>
      </c>
      <c r="AO964" s="4">
        <v>0</v>
      </c>
      <c r="AP964" s="3" t="s">
        <v>58</v>
      </c>
      <c r="AQ964" s="3" t="s">
        <v>58</v>
      </c>
      <c r="AS964" s="6" t="str">
        <f>HYPERLINK("https://creighton-primo.hosted.exlibrisgroup.com/primo-explore/search?tab=default_tab&amp;search_scope=EVERYTHING&amp;vid=01CRU&amp;lang=en_US&amp;offset=0&amp;query=any,contains,991004369369702656","Catalog Record")</f>
        <v>Catalog Record</v>
      </c>
      <c r="AT964" s="6" t="str">
        <f>HYPERLINK("http://www.worldcat.org/oclc/3186222","WorldCat Record")</f>
        <v>WorldCat Record</v>
      </c>
      <c r="AU964" s="3" t="s">
        <v>12524</v>
      </c>
      <c r="AV964" s="3" t="s">
        <v>12525</v>
      </c>
      <c r="AW964" s="3" t="s">
        <v>12526</v>
      </c>
      <c r="AX964" s="3" t="s">
        <v>12526</v>
      </c>
      <c r="AY964" s="3" t="s">
        <v>12527</v>
      </c>
      <c r="AZ964" s="3" t="s">
        <v>74</v>
      </c>
      <c r="BB964" s="3" t="s">
        <v>12528</v>
      </c>
      <c r="BC964" s="3" t="s">
        <v>12529</v>
      </c>
      <c r="BD964" s="3" t="s">
        <v>12530</v>
      </c>
    </row>
    <row r="965" spans="1:56" ht="42.75" customHeight="1" x14ac:dyDescent="0.25">
      <c r="A965" s="7" t="s">
        <v>58</v>
      </c>
      <c r="B965" s="2" t="s">
        <v>12531</v>
      </c>
      <c r="C965" s="2" t="s">
        <v>12532</v>
      </c>
      <c r="D965" s="2" t="s">
        <v>12533</v>
      </c>
      <c r="F965" s="3" t="s">
        <v>58</v>
      </c>
      <c r="G965" s="3" t="s">
        <v>59</v>
      </c>
      <c r="H965" s="3" t="s">
        <v>58</v>
      </c>
      <c r="I965" s="3" t="s">
        <v>58</v>
      </c>
      <c r="J965" s="3" t="s">
        <v>60</v>
      </c>
      <c r="K965" s="2" t="s">
        <v>12534</v>
      </c>
      <c r="L965" s="2" t="s">
        <v>12535</v>
      </c>
      <c r="M965" s="3" t="s">
        <v>177</v>
      </c>
      <c r="O965" s="3" t="s">
        <v>64</v>
      </c>
      <c r="P965" s="3" t="s">
        <v>115</v>
      </c>
      <c r="Q965" s="2" t="s">
        <v>6278</v>
      </c>
      <c r="R965" s="3" t="s">
        <v>67</v>
      </c>
      <c r="S965" s="4">
        <v>11</v>
      </c>
      <c r="T965" s="4">
        <v>11</v>
      </c>
      <c r="U965" s="5" t="s">
        <v>10713</v>
      </c>
      <c r="V965" s="5" t="s">
        <v>10713</v>
      </c>
      <c r="W965" s="5" t="s">
        <v>12536</v>
      </c>
      <c r="X965" s="5" t="s">
        <v>12536</v>
      </c>
      <c r="Y965" s="4">
        <v>415</v>
      </c>
      <c r="Z965" s="4">
        <v>334</v>
      </c>
      <c r="AA965" s="4">
        <v>336</v>
      </c>
      <c r="AB965" s="4">
        <v>3</v>
      </c>
      <c r="AC965" s="4">
        <v>3</v>
      </c>
      <c r="AD965" s="4">
        <v>13</v>
      </c>
      <c r="AE965" s="4">
        <v>13</v>
      </c>
      <c r="AF965" s="4">
        <v>3</v>
      </c>
      <c r="AG965" s="4">
        <v>3</v>
      </c>
      <c r="AH965" s="4">
        <v>4</v>
      </c>
      <c r="AI965" s="4">
        <v>4</v>
      </c>
      <c r="AJ965" s="4">
        <v>7</v>
      </c>
      <c r="AK965" s="4">
        <v>7</v>
      </c>
      <c r="AL965" s="4">
        <v>2</v>
      </c>
      <c r="AM965" s="4">
        <v>2</v>
      </c>
      <c r="AN965" s="4">
        <v>0</v>
      </c>
      <c r="AO965" s="4">
        <v>0</v>
      </c>
      <c r="AP965" s="3" t="s">
        <v>58</v>
      </c>
      <c r="AQ965" s="3" t="s">
        <v>86</v>
      </c>
      <c r="AR965" s="6" t="str">
        <f>HYPERLINK("http://catalog.hathitrust.org/Record/001564990","HathiTrust Record")</f>
        <v>HathiTrust Record</v>
      </c>
      <c r="AS965" s="6" t="str">
        <f>HYPERLINK("https://creighton-primo.hosted.exlibrisgroup.com/primo-explore/search?tab=default_tab&amp;search_scope=EVERYTHING&amp;vid=01CRU&amp;lang=en_US&amp;offset=0&amp;query=any,contains,991002799409702656","Catalog Record")</f>
        <v>Catalog Record</v>
      </c>
      <c r="AT965" s="6" t="str">
        <f>HYPERLINK("http://www.worldcat.org/oclc/446207","WorldCat Record")</f>
        <v>WorldCat Record</v>
      </c>
      <c r="AU965" s="3" t="s">
        <v>12537</v>
      </c>
      <c r="AV965" s="3" t="s">
        <v>12538</v>
      </c>
      <c r="AW965" s="3" t="s">
        <v>12539</v>
      </c>
      <c r="AX965" s="3" t="s">
        <v>12539</v>
      </c>
      <c r="AY965" s="3" t="s">
        <v>12540</v>
      </c>
      <c r="AZ965" s="3" t="s">
        <v>74</v>
      </c>
      <c r="BB965" s="3" t="s">
        <v>12541</v>
      </c>
      <c r="BC965" s="3" t="s">
        <v>12542</v>
      </c>
      <c r="BD965" s="3" t="s">
        <v>12543</v>
      </c>
    </row>
    <row r="966" spans="1:56" ht="42.75" customHeight="1" x14ac:dyDescent="0.25">
      <c r="A966" s="7" t="s">
        <v>58</v>
      </c>
      <c r="B966" s="2" t="s">
        <v>12544</v>
      </c>
      <c r="C966" s="2" t="s">
        <v>12545</v>
      </c>
      <c r="D966" s="2" t="s">
        <v>12546</v>
      </c>
      <c r="F966" s="3" t="s">
        <v>58</v>
      </c>
      <c r="G966" s="3" t="s">
        <v>59</v>
      </c>
      <c r="H966" s="3" t="s">
        <v>58</v>
      </c>
      <c r="I966" s="3" t="s">
        <v>58</v>
      </c>
      <c r="J966" s="3" t="s">
        <v>60</v>
      </c>
      <c r="K966" s="2" t="s">
        <v>12547</v>
      </c>
      <c r="L966" s="2" t="s">
        <v>12548</v>
      </c>
      <c r="M966" s="3" t="s">
        <v>1035</v>
      </c>
      <c r="O966" s="3" t="s">
        <v>64</v>
      </c>
      <c r="P966" s="3" t="s">
        <v>65</v>
      </c>
      <c r="R966" s="3" t="s">
        <v>67</v>
      </c>
      <c r="S966" s="4">
        <v>16</v>
      </c>
      <c r="T966" s="4">
        <v>16</v>
      </c>
      <c r="U966" s="5" t="s">
        <v>3875</v>
      </c>
      <c r="V966" s="5" t="s">
        <v>3875</v>
      </c>
      <c r="W966" s="5" t="s">
        <v>12549</v>
      </c>
      <c r="X966" s="5" t="s">
        <v>12549</v>
      </c>
      <c r="Y966" s="4">
        <v>472</v>
      </c>
      <c r="Z966" s="4">
        <v>397</v>
      </c>
      <c r="AA966" s="4">
        <v>760</v>
      </c>
      <c r="AB966" s="4">
        <v>3</v>
      </c>
      <c r="AC966" s="4">
        <v>5</v>
      </c>
      <c r="AD966" s="4">
        <v>17</v>
      </c>
      <c r="AE966" s="4">
        <v>31</v>
      </c>
      <c r="AF966" s="4">
        <v>6</v>
      </c>
      <c r="AG966" s="4">
        <v>11</v>
      </c>
      <c r="AH966" s="4">
        <v>5</v>
      </c>
      <c r="AI966" s="4">
        <v>9</v>
      </c>
      <c r="AJ966" s="4">
        <v>9</v>
      </c>
      <c r="AK966" s="4">
        <v>12</v>
      </c>
      <c r="AL966" s="4">
        <v>2</v>
      </c>
      <c r="AM966" s="4">
        <v>4</v>
      </c>
      <c r="AN966" s="4">
        <v>0</v>
      </c>
      <c r="AO966" s="4">
        <v>1</v>
      </c>
      <c r="AP966" s="3" t="s">
        <v>58</v>
      </c>
      <c r="AQ966" s="3" t="s">
        <v>58</v>
      </c>
      <c r="AS966" s="6" t="str">
        <f>HYPERLINK("https://creighton-primo.hosted.exlibrisgroup.com/primo-explore/search?tab=default_tab&amp;search_scope=EVERYTHING&amp;vid=01CRU&amp;lang=en_US&amp;offset=0&amp;query=any,contains,991003685999702656","Catalog Record")</f>
        <v>Catalog Record</v>
      </c>
      <c r="AT966" s="6" t="str">
        <f>HYPERLINK("http://www.worldcat.org/oclc/44841507","WorldCat Record")</f>
        <v>WorldCat Record</v>
      </c>
      <c r="AU966" s="3" t="s">
        <v>12550</v>
      </c>
      <c r="AV966" s="3" t="s">
        <v>12551</v>
      </c>
      <c r="AW966" s="3" t="s">
        <v>12552</v>
      </c>
      <c r="AX966" s="3" t="s">
        <v>12552</v>
      </c>
      <c r="AY966" s="3" t="s">
        <v>12553</v>
      </c>
      <c r="AZ966" s="3" t="s">
        <v>74</v>
      </c>
      <c r="BB966" s="3" t="s">
        <v>12554</v>
      </c>
      <c r="BC966" s="3" t="s">
        <v>12555</v>
      </c>
      <c r="BD966" s="3" t="s">
        <v>12556</v>
      </c>
    </row>
    <row r="967" spans="1:56" ht="42.75" customHeight="1" x14ac:dyDescent="0.25">
      <c r="A967" s="7" t="s">
        <v>58</v>
      </c>
      <c r="B967" s="2" t="s">
        <v>12557</v>
      </c>
      <c r="C967" s="2" t="s">
        <v>12558</v>
      </c>
      <c r="D967" s="2" t="s">
        <v>12559</v>
      </c>
      <c r="F967" s="3" t="s">
        <v>58</v>
      </c>
      <c r="G967" s="3" t="s">
        <v>59</v>
      </c>
      <c r="H967" s="3" t="s">
        <v>58</v>
      </c>
      <c r="I967" s="3" t="s">
        <v>58</v>
      </c>
      <c r="J967" s="3" t="s">
        <v>60</v>
      </c>
      <c r="K967" s="2" t="s">
        <v>12560</v>
      </c>
      <c r="L967" s="2" t="s">
        <v>12561</v>
      </c>
      <c r="M967" s="3" t="s">
        <v>888</v>
      </c>
      <c r="O967" s="3" t="s">
        <v>64</v>
      </c>
      <c r="P967" s="3" t="s">
        <v>224</v>
      </c>
      <c r="R967" s="3" t="s">
        <v>67</v>
      </c>
      <c r="S967" s="4">
        <v>0</v>
      </c>
      <c r="T967" s="4">
        <v>0</v>
      </c>
      <c r="U967" s="5" t="s">
        <v>12562</v>
      </c>
      <c r="V967" s="5" t="s">
        <v>12562</v>
      </c>
      <c r="W967" s="5" t="s">
        <v>12563</v>
      </c>
      <c r="X967" s="5" t="s">
        <v>12563</v>
      </c>
      <c r="Y967" s="4">
        <v>358</v>
      </c>
      <c r="Z967" s="4">
        <v>346</v>
      </c>
      <c r="AA967" s="4">
        <v>818</v>
      </c>
      <c r="AB967" s="4">
        <v>2</v>
      </c>
      <c r="AC967" s="4">
        <v>8</v>
      </c>
      <c r="AD967" s="4">
        <v>12</v>
      </c>
      <c r="AE967" s="4">
        <v>34</v>
      </c>
      <c r="AF967" s="4">
        <v>3</v>
      </c>
      <c r="AG967" s="4">
        <v>12</v>
      </c>
      <c r="AH967" s="4">
        <v>2</v>
      </c>
      <c r="AI967" s="4">
        <v>7</v>
      </c>
      <c r="AJ967" s="4">
        <v>7</v>
      </c>
      <c r="AK967" s="4">
        <v>12</v>
      </c>
      <c r="AL967" s="4">
        <v>1</v>
      </c>
      <c r="AM967" s="4">
        <v>7</v>
      </c>
      <c r="AN967" s="4">
        <v>0</v>
      </c>
      <c r="AO967" s="4">
        <v>1</v>
      </c>
      <c r="AP967" s="3" t="s">
        <v>58</v>
      </c>
      <c r="AQ967" s="3" t="s">
        <v>86</v>
      </c>
      <c r="AR967" s="6" t="str">
        <f>HYPERLINK("http://catalog.hathitrust.org/Record/004013734","HathiTrust Record")</f>
        <v>HathiTrust Record</v>
      </c>
      <c r="AS967" s="6" t="str">
        <f>HYPERLINK("https://creighton-primo.hosted.exlibrisgroup.com/primo-explore/search?tab=default_tab&amp;search_scope=EVERYTHING&amp;vid=01CRU&amp;lang=en_US&amp;offset=0&amp;query=any,contains,991002973689702656","Catalog Record")</f>
        <v>Catalog Record</v>
      </c>
      <c r="AT967" s="6" t="str">
        <f>HYPERLINK("http://www.worldcat.org/oclc/39856183","WorldCat Record")</f>
        <v>WorldCat Record</v>
      </c>
      <c r="AU967" s="3" t="s">
        <v>12564</v>
      </c>
      <c r="AV967" s="3" t="s">
        <v>12565</v>
      </c>
      <c r="AW967" s="3" t="s">
        <v>12566</v>
      </c>
      <c r="AX967" s="3" t="s">
        <v>12566</v>
      </c>
      <c r="AY967" s="3" t="s">
        <v>12567</v>
      </c>
      <c r="AZ967" s="3" t="s">
        <v>74</v>
      </c>
      <c r="BB967" s="3" t="s">
        <v>12568</v>
      </c>
      <c r="BC967" s="3" t="s">
        <v>12569</v>
      </c>
      <c r="BD967" s="3" t="s">
        <v>12570</v>
      </c>
    </row>
    <row r="968" spans="1:56" ht="42.75" customHeight="1" x14ac:dyDescent="0.25">
      <c r="A968" s="7" t="s">
        <v>58</v>
      </c>
      <c r="B968" s="2" t="s">
        <v>12571</v>
      </c>
      <c r="C968" s="2" t="s">
        <v>12572</v>
      </c>
      <c r="D968" s="2" t="s">
        <v>12573</v>
      </c>
      <c r="F968" s="3" t="s">
        <v>58</v>
      </c>
      <c r="G968" s="3" t="s">
        <v>59</v>
      </c>
      <c r="H968" s="3" t="s">
        <v>58</v>
      </c>
      <c r="I968" s="3" t="s">
        <v>58</v>
      </c>
      <c r="J968" s="3" t="s">
        <v>60</v>
      </c>
      <c r="K968" s="2" t="s">
        <v>12574</v>
      </c>
      <c r="L968" s="2" t="s">
        <v>9379</v>
      </c>
      <c r="M968" s="3" t="s">
        <v>63</v>
      </c>
      <c r="O968" s="3" t="s">
        <v>64</v>
      </c>
      <c r="P968" s="3" t="s">
        <v>359</v>
      </c>
      <c r="R968" s="3" t="s">
        <v>67</v>
      </c>
      <c r="S968" s="4">
        <v>5</v>
      </c>
      <c r="T968" s="4">
        <v>5</v>
      </c>
      <c r="U968" s="5" t="s">
        <v>808</v>
      </c>
      <c r="V968" s="5" t="s">
        <v>808</v>
      </c>
      <c r="W968" s="5" t="s">
        <v>4730</v>
      </c>
      <c r="X968" s="5" t="s">
        <v>4730</v>
      </c>
      <c r="Y968" s="4">
        <v>127</v>
      </c>
      <c r="Z968" s="4">
        <v>106</v>
      </c>
      <c r="AA968" s="4">
        <v>108</v>
      </c>
      <c r="AB968" s="4">
        <v>2</v>
      </c>
      <c r="AC968" s="4">
        <v>2</v>
      </c>
      <c r="AD968" s="4">
        <v>6</v>
      </c>
      <c r="AE968" s="4">
        <v>6</v>
      </c>
      <c r="AF968" s="4">
        <v>1</v>
      </c>
      <c r="AG968" s="4">
        <v>1</v>
      </c>
      <c r="AH968" s="4">
        <v>1</v>
      </c>
      <c r="AI968" s="4">
        <v>1</v>
      </c>
      <c r="AJ968" s="4">
        <v>4</v>
      </c>
      <c r="AK968" s="4">
        <v>4</v>
      </c>
      <c r="AL968" s="4">
        <v>1</v>
      </c>
      <c r="AM968" s="4">
        <v>1</v>
      </c>
      <c r="AN968" s="4">
        <v>0</v>
      </c>
      <c r="AO968" s="4">
        <v>0</v>
      </c>
      <c r="AP968" s="3" t="s">
        <v>58</v>
      </c>
      <c r="AQ968" s="3" t="s">
        <v>86</v>
      </c>
      <c r="AR968" s="6" t="str">
        <f>HYPERLINK("http://catalog.hathitrust.org/Record/000284998","HathiTrust Record")</f>
        <v>HathiTrust Record</v>
      </c>
      <c r="AS968" s="6" t="str">
        <f>HYPERLINK("https://creighton-primo.hosted.exlibrisgroup.com/primo-explore/search?tab=default_tab&amp;search_scope=EVERYTHING&amp;vid=01CRU&amp;lang=en_US&amp;offset=0&amp;query=any,contains,991000288699702656","Catalog Record")</f>
        <v>Catalog Record</v>
      </c>
      <c r="AT968" s="6" t="str">
        <f>HYPERLINK("http://www.worldcat.org/oclc/9946401","WorldCat Record")</f>
        <v>WorldCat Record</v>
      </c>
      <c r="AU968" s="3" t="s">
        <v>12575</v>
      </c>
      <c r="AV968" s="3" t="s">
        <v>12576</v>
      </c>
      <c r="AW968" s="3" t="s">
        <v>12577</v>
      </c>
      <c r="AX968" s="3" t="s">
        <v>12577</v>
      </c>
      <c r="AY968" s="3" t="s">
        <v>12578</v>
      </c>
      <c r="AZ968" s="3" t="s">
        <v>74</v>
      </c>
      <c r="BB968" s="3" t="s">
        <v>12579</v>
      </c>
      <c r="BC968" s="3" t="s">
        <v>12580</v>
      </c>
      <c r="BD968" s="3" t="s">
        <v>12581</v>
      </c>
    </row>
    <row r="969" spans="1:56" ht="42.75" customHeight="1" x14ac:dyDescent="0.25">
      <c r="A969" s="7" t="s">
        <v>58</v>
      </c>
      <c r="B969" s="2" t="s">
        <v>12582</v>
      </c>
      <c r="C969" s="2" t="s">
        <v>12583</v>
      </c>
      <c r="D969" s="2" t="s">
        <v>12584</v>
      </c>
      <c r="F969" s="3" t="s">
        <v>58</v>
      </c>
      <c r="G969" s="3" t="s">
        <v>59</v>
      </c>
      <c r="H969" s="3" t="s">
        <v>58</v>
      </c>
      <c r="I969" s="3" t="s">
        <v>58</v>
      </c>
      <c r="J969" s="3" t="s">
        <v>60</v>
      </c>
      <c r="K969" s="2" t="s">
        <v>12585</v>
      </c>
      <c r="L969" s="2" t="s">
        <v>12586</v>
      </c>
      <c r="M969" s="3" t="s">
        <v>4296</v>
      </c>
      <c r="O969" s="3" t="s">
        <v>64</v>
      </c>
      <c r="P969" s="3" t="s">
        <v>65</v>
      </c>
      <c r="Q969" s="2" t="s">
        <v>12587</v>
      </c>
      <c r="R969" s="3" t="s">
        <v>67</v>
      </c>
      <c r="S969" s="4">
        <v>3</v>
      </c>
      <c r="T969" s="4">
        <v>3</v>
      </c>
      <c r="U969" s="5" t="s">
        <v>12588</v>
      </c>
      <c r="V969" s="5" t="s">
        <v>12588</v>
      </c>
      <c r="W969" s="5" t="s">
        <v>2855</v>
      </c>
      <c r="X969" s="5" t="s">
        <v>2855</v>
      </c>
      <c r="Y969" s="4">
        <v>290</v>
      </c>
      <c r="Z969" s="4">
        <v>202</v>
      </c>
      <c r="AA969" s="4">
        <v>209</v>
      </c>
      <c r="AB969" s="4">
        <v>1</v>
      </c>
      <c r="AC969" s="4">
        <v>1</v>
      </c>
      <c r="AD969" s="4">
        <v>6</v>
      </c>
      <c r="AE969" s="4">
        <v>6</v>
      </c>
      <c r="AF969" s="4">
        <v>1</v>
      </c>
      <c r="AG969" s="4">
        <v>1</v>
      </c>
      <c r="AH969" s="4">
        <v>1</v>
      </c>
      <c r="AI969" s="4">
        <v>1</v>
      </c>
      <c r="AJ969" s="4">
        <v>6</v>
      </c>
      <c r="AK969" s="4">
        <v>6</v>
      </c>
      <c r="AL969" s="4">
        <v>0</v>
      </c>
      <c r="AM969" s="4">
        <v>0</v>
      </c>
      <c r="AN969" s="4">
        <v>0</v>
      </c>
      <c r="AO969" s="4">
        <v>0</v>
      </c>
      <c r="AP969" s="3" t="s">
        <v>58</v>
      </c>
      <c r="AQ969" s="3" t="s">
        <v>86</v>
      </c>
      <c r="AR969" s="6" t="str">
        <f>HYPERLINK("http://catalog.hathitrust.org/Record/000039062","HathiTrust Record")</f>
        <v>HathiTrust Record</v>
      </c>
      <c r="AS969" s="6" t="str">
        <f>HYPERLINK("https://creighton-primo.hosted.exlibrisgroup.com/primo-explore/search?tab=default_tab&amp;search_scope=EVERYTHING&amp;vid=01CRU&amp;lang=en_US&amp;offset=0&amp;query=any,contains,991003834139702656","Catalog Record")</f>
        <v>Catalog Record</v>
      </c>
      <c r="AT969" s="6" t="str">
        <f>HYPERLINK("http://www.worldcat.org/oclc/1598162","WorldCat Record")</f>
        <v>WorldCat Record</v>
      </c>
      <c r="AU969" s="3" t="s">
        <v>12589</v>
      </c>
      <c r="AV969" s="3" t="s">
        <v>12590</v>
      </c>
      <c r="AW969" s="3" t="s">
        <v>12591</v>
      </c>
      <c r="AX969" s="3" t="s">
        <v>12591</v>
      </c>
      <c r="AY969" s="3" t="s">
        <v>12592</v>
      </c>
      <c r="AZ969" s="3" t="s">
        <v>74</v>
      </c>
      <c r="BB969" s="3" t="s">
        <v>12593</v>
      </c>
      <c r="BC969" s="3" t="s">
        <v>12594</v>
      </c>
      <c r="BD969" s="3" t="s">
        <v>12595</v>
      </c>
    </row>
    <row r="970" spans="1:56" ht="42.75" customHeight="1" x14ac:dyDescent="0.25">
      <c r="A970" s="7" t="s">
        <v>58</v>
      </c>
      <c r="B970" s="2" t="s">
        <v>12596</v>
      </c>
      <c r="C970" s="2" t="s">
        <v>12597</v>
      </c>
      <c r="D970" s="2" t="s">
        <v>12598</v>
      </c>
      <c r="F970" s="3" t="s">
        <v>58</v>
      </c>
      <c r="G970" s="3" t="s">
        <v>59</v>
      </c>
      <c r="H970" s="3" t="s">
        <v>58</v>
      </c>
      <c r="I970" s="3" t="s">
        <v>58</v>
      </c>
      <c r="J970" s="3" t="s">
        <v>60</v>
      </c>
      <c r="K970" s="2" t="s">
        <v>12599</v>
      </c>
      <c r="L970" s="2" t="s">
        <v>12600</v>
      </c>
      <c r="M970" s="3" t="s">
        <v>2770</v>
      </c>
      <c r="O970" s="3" t="s">
        <v>64</v>
      </c>
      <c r="P970" s="3" t="s">
        <v>115</v>
      </c>
      <c r="R970" s="3" t="s">
        <v>67</v>
      </c>
      <c r="S970" s="4">
        <v>48</v>
      </c>
      <c r="T970" s="4">
        <v>48</v>
      </c>
      <c r="U970" s="5" t="s">
        <v>12601</v>
      </c>
      <c r="V970" s="5" t="s">
        <v>12601</v>
      </c>
      <c r="W970" s="5" t="s">
        <v>6500</v>
      </c>
      <c r="X970" s="5" t="s">
        <v>6500</v>
      </c>
      <c r="Y970" s="4">
        <v>510</v>
      </c>
      <c r="Z970" s="4">
        <v>444</v>
      </c>
      <c r="AA970" s="4">
        <v>461</v>
      </c>
      <c r="AB970" s="4">
        <v>4</v>
      </c>
      <c r="AC970" s="4">
        <v>4</v>
      </c>
      <c r="AD970" s="4">
        <v>14</v>
      </c>
      <c r="AE970" s="4">
        <v>16</v>
      </c>
      <c r="AF970" s="4">
        <v>3</v>
      </c>
      <c r="AG970" s="4">
        <v>4</v>
      </c>
      <c r="AH970" s="4">
        <v>3</v>
      </c>
      <c r="AI970" s="4">
        <v>4</v>
      </c>
      <c r="AJ970" s="4">
        <v>8</v>
      </c>
      <c r="AK970" s="4">
        <v>8</v>
      </c>
      <c r="AL970" s="4">
        <v>2</v>
      </c>
      <c r="AM970" s="4">
        <v>2</v>
      </c>
      <c r="AN970" s="4">
        <v>0</v>
      </c>
      <c r="AO970" s="4">
        <v>0</v>
      </c>
      <c r="AP970" s="3" t="s">
        <v>58</v>
      </c>
      <c r="AQ970" s="3" t="s">
        <v>86</v>
      </c>
      <c r="AR970" s="6" t="str">
        <f>HYPERLINK("http://catalog.hathitrust.org/Record/000252486","HathiTrust Record")</f>
        <v>HathiTrust Record</v>
      </c>
      <c r="AS970" s="6" t="str">
        <f>HYPERLINK("https://creighton-primo.hosted.exlibrisgroup.com/primo-explore/search?tab=default_tab&amp;search_scope=EVERYTHING&amp;vid=01CRU&amp;lang=en_US&amp;offset=0&amp;query=any,contains,991005072319702656","Catalog Record")</f>
        <v>Catalog Record</v>
      </c>
      <c r="AT970" s="6" t="str">
        <f>HYPERLINK("http://www.worldcat.org/oclc/3034677","WorldCat Record")</f>
        <v>WorldCat Record</v>
      </c>
      <c r="AU970" s="3" t="s">
        <v>12602</v>
      </c>
      <c r="AV970" s="3" t="s">
        <v>12603</v>
      </c>
      <c r="AW970" s="3" t="s">
        <v>12604</v>
      </c>
      <c r="AX970" s="3" t="s">
        <v>12604</v>
      </c>
      <c r="AY970" s="3" t="s">
        <v>12605</v>
      </c>
      <c r="AZ970" s="3" t="s">
        <v>74</v>
      </c>
      <c r="BB970" s="3" t="s">
        <v>12606</v>
      </c>
      <c r="BC970" s="3" t="s">
        <v>12607</v>
      </c>
      <c r="BD970" s="3" t="s">
        <v>12608</v>
      </c>
    </row>
    <row r="971" spans="1:56" ht="42.75" customHeight="1" x14ac:dyDescent="0.25">
      <c r="A971" s="7" t="s">
        <v>58</v>
      </c>
      <c r="B971" s="2" t="s">
        <v>12609</v>
      </c>
      <c r="C971" s="2" t="s">
        <v>12610</v>
      </c>
      <c r="D971" s="2" t="s">
        <v>12611</v>
      </c>
      <c r="F971" s="3" t="s">
        <v>58</v>
      </c>
      <c r="G971" s="3" t="s">
        <v>59</v>
      </c>
      <c r="H971" s="3" t="s">
        <v>58</v>
      </c>
      <c r="I971" s="3" t="s">
        <v>58</v>
      </c>
      <c r="J971" s="3" t="s">
        <v>60</v>
      </c>
      <c r="K971" s="2" t="s">
        <v>12612</v>
      </c>
      <c r="L971" s="2" t="s">
        <v>12613</v>
      </c>
      <c r="M971" s="3" t="s">
        <v>996</v>
      </c>
      <c r="N971" s="2" t="s">
        <v>1736</v>
      </c>
      <c r="O971" s="3" t="s">
        <v>64</v>
      </c>
      <c r="P971" s="3" t="s">
        <v>115</v>
      </c>
      <c r="R971" s="3" t="s">
        <v>67</v>
      </c>
      <c r="S971" s="4">
        <v>5</v>
      </c>
      <c r="T971" s="4">
        <v>5</v>
      </c>
      <c r="U971" s="5" t="s">
        <v>12614</v>
      </c>
      <c r="V971" s="5" t="s">
        <v>12614</v>
      </c>
      <c r="W971" s="5" t="s">
        <v>10571</v>
      </c>
      <c r="X971" s="5" t="s">
        <v>10571</v>
      </c>
      <c r="Y971" s="4">
        <v>595</v>
      </c>
      <c r="Z971" s="4">
        <v>549</v>
      </c>
      <c r="AA971" s="4">
        <v>594</v>
      </c>
      <c r="AB971" s="4">
        <v>5</v>
      </c>
      <c r="AC971" s="4">
        <v>6</v>
      </c>
      <c r="AD971" s="4">
        <v>13</v>
      </c>
      <c r="AE971" s="4">
        <v>17</v>
      </c>
      <c r="AF971" s="4">
        <v>4</v>
      </c>
      <c r="AG971" s="4">
        <v>5</v>
      </c>
      <c r="AH971" s="4">
        <v>1</v>
      </c>
      <c r="AI971" s="4">
        <v>2</v>
      </c>
      <c r="AJ971" s="4">
        <v>6</v>
      </c>
      <c r="AK971" s="4">
        <v>7</v>
      </c>
      <c r="AL971" s="4">
        <v>3</v>
      </c>
      <c r="AM971" s="4">
        <v>4</v>
      </c>
      <c r="AN971" s="4">
        <v>0</v>
      </c>
      <c r="AO971" s="4">
        <v>0</v>
      </c>
      <c r="AP971" s="3" t="s">
        <v>58</v>
      </c>
      <c r="AQ971" s="3" t="s">
        <v>86</v>
      </c>
      <c r="AR971" s="6" t="str">
        <f>HYPERLINK("http://catalog.hathitrust.org/Record/004759406","HathiTrust Record")</f>
        <v>HathiTrust Record</v>
      </c>
      <c r="AS971" s="6" t="str">
        <f>HYPERLINK("https://creighton-primo.hosted.exlibrisgroup.com/primo-explore/search?tab=default_tab&amp;search_scope=EVERYTHING&amp;vid=01CRU&amp;lang=en_US&amp;offset=0&amp;query=any,contains,991003244839702656","Catalog Record")</f>
        <v>Catalog Record</v>
      </c>
      <c r="AT971" s="6" t="str">
        <f>HYPERLINK("http://www.worldcat.org/oclc/42680400","WorldCat Record")</f>
        <v>WorldCat Record</v>
      </c>
      <c r="AU971" s="3" t="s">
        <v>12615</v>
      </c>
      <c r="AV971" s="3" t="s">
        <v>12616</v>
      </c>
      <c r="AW971" s="3" t="s">
        <v>12617</v>
      </c>
      <c r="AX971" s="3" t="s">
        <v>12617</v>
      </c>
      <c r="AY971" s="3" t="s">
        <v>12618</v>
      </c>
      <c r="AZ971" s="3" t="s">
        <v>74</v>
      </c>
      <c r="BB971" s="3" t="s">
        <v>12619</v>
      </c>
      <c r="BC971" s="3" t="s">
        <v>12620</v>
      </c>
      <c r="BD971" s="3" t="s">
        <v>12621</v>
      </c>
    </row>
    <row r="972" spans="1:56" ht="42.75" customHeight="1" x14ac:dyDescent="0.25">
      <c r="A972" s="7" t="s">
        <v>58</v>
      </c>
      <c r="B972" s="2" t="s">
        <v>12622</v>
      </c>
      <c r="C972" s="2" t="s">
        <v>12623</v>
      </c>
      <c r="D972" s="2" t="s">
        <v>12624</v>
      </c>
      <c r="F972" s="3" t="s">
        <v>58</v>
      </c>
      <c r="G972" s="3" t="s">
        <v>59</v>
      </c>
      <c r="H972" s="3" t="s">
        <v>58</v>
      </c>
      <c r="I972" s="3" t="s">
        <v>58</v>
      </c>
      <c r="J972" s="3" t="s">
        <v>60</v>
      </c>
      <c r="K972" s="2" t="s">
        <v>7967</v>
      </c>
      <c r="L972" s="2" t="s">
        <v>12625</v>
      </c>
      <c r="M972" s="3" t="s">
        <v>163</v>
      </c>
      <c r="N972" s="2" t="s">
        <v>12626</v>
      </c>
      <c r="O972" s="3" t="s">
        <v>64</v>
      </c>
      <c r="P972" s="3" t="s">
        <v>115</v>
      </c>
      <c r="R972" s="3" t="s">
        <v>67</v>
      </c>
      <c r="S972" s="4">
        <v>4</v>
      </c>
      <c r="T972" s="4">
        <v>4</v>
      </c>
      <c r="U972" s="5" t="s">
        <v>12627</v>
      </c>
      <c r="V972" s="5" t="s">
        <v>12627</v>
      </c>
      <c r="W972" s="5" t="s">
        <v>12436</v>
      </c>
      <c r="X972" s="5" t="s">
        <v>12436</v>
      </c>
      <c r="Y972" s="4">
        <v>435</v>
      </c>
      <c r="Z972" s="4">
        <v>408</v>
      </c>
      <c r="AA972" s="4">
        <v>994</v>
      </c>
      <c r="AB972" s="4">
        <v>2</v>
      </c>
      <c r="AC972" s="4">
        <v>7</v>
      </c>
      <c r="AD972" s="4">
        <v>15</v>
      </c>
      <c r="AE972" s="4">
        <v>40</v>
      </c>
      <c r="AF972" s="4">
        <v>4</v>
      </c>
      <c r="AG972" s="4">
        <v>14</v>
      </c>
      <c r="AH972" s="4">
        <v>3</v>
      </c>
      <c r="AI972" s="4">
        <v>7</v>
      </c>
      <c r="AJ972" s="4">
        <v>11</v>
      </c>
      <c r="AK972" s="4">
        <v>22</v>
      </c>
      <c r="AL972" s="4">
        <v>1</v>
      </c>
      <c r="AM972" s="4">
        <v>6</v>
      </c>
      <c r="AN972" s="4">
        <v>0</v>
      </c>
      <c r="AO972" s="4">
        <v>0</v>
      </c>
      <c r="AP972" s="3" t="s">
        <v>58</v>
      </c>
      <c r="AQ972" s="3" t="s">
        <v>86</v>
      </c>
      <c r="AR972" s="6" t="str">
        <f>HYPERLINK("http://catalog.hathitrust.org/Record/004422375","HathiTrust Record")</f>
        <v>HathiTrust Record</v>
      </c>
      <c r="AS972" s="6" t="str">
        <f>HYPERLINK("https://creighton-primo.hosted.exlibrisgroup.com/primo-explore/search?tab=default_tab&amp;search_scope=EVERYTHING&amp;vid=01CRU&amp;lang=en_US&amp;offset=0&amp;query=any,contains,991000817469702656","Catalog Record")</f>
        <v>Catalog Record</v>
      </c>
      <c r="AT972" s="6" t="str">
        <f>HYPERLINK("http://www.worldcat.org/oclc/143277","WorldCat Record")</f>
        <v>WorldCat Record</v>
      </c>
      <c r="AU972" s="3" t="s">
        <v>12628</v>
      </c>
      <c r="AV972" s="3" t="s">
        <v>12629</v>
      </c>
      <c r="AW972" s="3" t="s">
        <v>12630</v>
      </c>
      <c r="AX972" s="3" t="s">
        <v>12630</v>
      </c>
      <c r="AY972" s="3" t="s">
        <v>12631</v>
      </c>
      <c r="AZ972" s="3" t="s">
        <v>74</v>
      </c>
      <c r="BB972" s="3" t="s">
        <v>12632</v>
      </c>
      <c r="BC972" s="3" t="s">
        <v>12633</v>
      </c>
      <c r="BD972" s="3" t="s">
        <v>12634</v>
      </c>
    </row>
    <row r="973" spans="1:56" ht="42.75" customHeight="1" x14ac:dyDescent="0.25">
      <c r="A973" s="7" t="s">
        <v>58</v>
      </c>
      <c r="B973" s="2" t="s">
        <v>12635</v>
      </c>
      <c r="C973" s="2" t="s">
        <v>12636</v>
      </c>
      <c r="D973" s="2" t="s">
        <v>12637</v>
      </c>
      <c r="F973" s="3" t="s">
        <v>58</v>
      </c>
      <c r="G973" s="3" t="s">
        <v>59</v>
      </c>
      <c r="H973" s="3" t="s">
        <v>58</v>
      </c>
      <c r="I973" s="3" t="s">
        <v>58</v>
      </c>
      <c r="J973" s="3" t="s">
        <v>60</v>
      </c>
      <c r="K973" s="2" t="s">
        <v>12638</v>
      </c>
      <c r="L973" s="2" t="s">
        <v>12639</v>
      </c>
      <c r="M973" s="3" t="s">
        <v>177</v>
      </c>
      <c r="O973" s="3" t="s">
        <v>64</v>
      </c>
      <c r="P973" s="3" t="s">
        <v>115</v>
      </c>
      <c r="R973" s="3" t="s">
        <v>67</v>
      </c>
      <c r="S973" s="4">
        <v>21</v>
      </c>
      <c r="T973" s="4">
        <v>21</v>
      </c>
      <c r="U973" s="5" t="s">
        <v>12640</v>
      </c>
      <c r="V973" s="5" t="s">
        <v>12640</v>
      </c>
      <c r="W973" s="5" t="s">
        <v>1628</v>
      </c>
      <c r="X973" s="5" t="s">
        <v>1628</v>
      </c>
      <c r="Y973" s="4">
        <v>599</v>
      </c>
      <c r="Z973" s="4">
        <v>507</v>
      </c>
      <c r="AA973" s="4">
        <v>555</v>
      </c>
      <c r="AB973" s="4">
        <v>4</v>
      </c>
      <c r="AC973" s="4">
        <v>4</v>
      </c>
      <c r="AD973" s="4">
        <v>13</v>
      </c>
      <c r="AE973" s="4">
        <v>16</v>
      </c>
      <c r="AF973" s="4">
        <v>4</v>
      </c>
      <c r="AG973" s="4">
        <v>6</v>
      </c>
      <c r="AH973" s="4">
        <v>1</v>
      </c>
      <c r="AI973" s="4">
        <v>2</v>
      </c>
      <c r="AJ973" s="4">
        <v>7</v>
      </c>
      <c r="AK973" s="4">
        <v>8</v>
      </c>
      <c r="AL973" s="4">
        <v>3</v>
      </c>
      <c r="AM973" s="4">
        <v>3</v>
      </c>
      <c r="AN973" s="4">
        <v>0</v>
      </c>
      <c r="AO973" s="4">
        <v>0</v>
      </c>
      <c r="AP973" s="3" t="s">
        <v>58</v>
      </c>
      <c r="AQ973" s="3" t="s">
        <v>86</v>
      </c>
      <c r="AR973" s="6" t="str">
        <f>HYPERLINK("http://catalog.hathitrust.org/Record/001565003","HathiTrust Record")</f>
        <v>HathiTrust Record</v>
      </c>
      <c r="AS973" s="6" t="str">
        <f>HYPERLINK("https://creighton-primo.hosted.exlibrisgroup.com/primo-explore/search?tab=default_tab&amp;search_scope=EVERYTHING&amp;vid=01CRU&amp;lang=en_US&amp;offset=0&amp;query=any,contains,991003162419702656","Catalog Record")</f>
        <v>Catalog Record</v>
      </c>
      <c r="AT973" s="6" t="str">
        <f>HYPERLINK("http://www.worldcat.org/oclc/701029","WorldCat Record")</f>
        <v>WorldCat Record</v>
      </c>
      <c r="AU973" s="3" t="s">
        <v>12641</v>
      </c>
      <c r="AV973" s="3" t="s">
        <v>12642</v>
      </c>
      <c r="AW973" s="3" t="s">
        <v>12643</v>
      </c>
      <c r="AX973" s="3" t="s">
        <v>12643</v>
      </c>
      <c r="AY973" s="3" t="s">
        <v>12644</v>
      </c>
      <c r="AZ973" s="3" t="s">
        <v>74</v>
      </c>
      <c r="BB973" s="3" t="s">
        <v>12645</v>
      </c>
      <c r="BC973" s="3" t="s">
        <v>12646</v>
      </c>
      <c r="BD973" s="3" t="s">
        <v>12647</v>
      </c>
    </row>
    <row r="974" spans="1:56" ht="42.75" customHeight="1" x14ac:dyDescent="0.25">
      <c r="A974" s="7" t="s">
        <v>58</v>
      </c>
      <c r="B974" s="2" t="s">
        <v>12648</v>
      </c>
      <c r="C974" s="2" t="s">
        <v>12649</v>
      </c>
      <c r="D974" s="2" t="s">
        <v>12650</v>
      </c>
      <c r="F974" s="3" t="s">
        <v>58</v>
      </c>
      <c r="G974" s="3" t="s">
        <v>59</v>
      </c>
      <c r="H974" s="3" t="s">
        <v>58</v>
      </c>
      <c r="I974" s="3" t="s">
        <v>58</v>
      </c>
      <c r="J974" s="3" t="s">
        <v>60</v>
      </c>
      <c r="K974" s="2" t="s">
        <v>12638</v>
      </c>
      <c r="L974" s="2" t="s">
        <v>12651</v>
      </c>
      <c r="M974" s="3" t="s">
        <v>3069</v>
      </c>
      <c r="O974" s="3" t="s">
        <v>64</v>
      </c>
      <c r="P974" s="3" t="s">
        <v>115</v>
      </c>
      <c r="Q974" s="2" t="s">
        <v>12652</v>
      </c>
      <c r="R974" s="3" t="s">
        <v>67</v>
      </c>
      <c r="S974" s="4">
        <v>12</v>
      </c>
      <c r="T974" s="4">
        <v>12</v>
      </c>
      <c r="U974" s="5" t="s">
        <v>4220</v>
      </c>
      <c r="V974" s="5" t="s">
        <v>4220</v>
      </c>
      <c r="W974" s="5" t="s">
        <v>6584</v>
      </c>
      <c r="X974" s="5" t="s">
        <v>6584</v>
      </c>
      <c r="Y974" s="4">
        <v>556</v>
      </c>
      <c r="Z974" s="4">
        <v>471</v>
      </c>
      <c r="AA974" s="4">
        <v>568</v>
      </c>
      <c r="AB974" s="4">
        <v>5</v>
      </c>
      <c r="AC974" s="4">
        <v>6</v>
      </c>
      <c r="AD974" s="4">
        <v>22</v>
      </c>
      <c r="AE974" s="4">
        <v>25</v>
      </c>
      <c r="AF974" s="4">
        <v>5</v>
      </c>
      <c r="AG974" s="4">
        <v>7</v>
      </c>
      <c r="AH974" s="4">
        <v>4</v>
      </c>
      <c r="AI974" s="4">
        <v>5</v>
      </c>
      <c r="AJ974" s="4">
        <v>14</v>
      </c>
      <c r="AK974" s="4">
        <v>15</v>
      </c>
      <c r="AL974" s="4">
        <v>3</v>
      </c>
      <c r="AM974" s="4">
        <v>4</v>
      </c>
      <c r="AN974" s="4">
        <v>1</v>
      </c>
      <c r="AO974" s="4">
        <v>1</v>
      </c>
      <c r="AP974" s="3" t="s">
        <v>58</v>
      </c>
      <c r="AQ974" s="3" t="s">
        <v>86</v>
      </c>
      <c r="AR974" s="6" t="str">
        <f>HYPERLINK("http://catalog.hathitrust.org/Record/001565004","HathiTrust Record")</f>
        <v>HathiTrust Record</v>
      </c>
      <c r="AS974" s="6" t="str">
        <f>HYPERLINK("https://creighton-primo.hosted.exlibrisgroup.com/primo-explore/search?tab=default_tab&amp;search_scope=EVERYTHING&amp;vid=01CRU&amp;lang=en_US&amp;offset=0&amp;query=any,contains,991005265349702656","Catalog Record")</f>
        <v>Catalog Record</v>
      </c>
      <c r="AT974" s="6" t="str">
        <f>HYPERLINK("http://www.worldcat.org/oclc/179995","WorldCat Record")</f>
        <v>WorldCat Record</v>
      </c>
      <c r="AU974" s="3" t="s">
        <v>12653</v>
      </c>
      <c r="AV974" s="3" t="s">
        <v>12654</v>
      </c>
      <c r="AW974" s="3" t="s">
        <v>12655</v>
      </c>
      <c r="AX974" s="3" t="s">
        <v>12655</v>
      </c>
      <c r="AY974" s="3" t="s">
        <v>12656</v>
      </c>
      <c r="AZ974" s="3" t="s">
        <v>74</v>
      </c>
      <c r="BC974" s="3" t="s">
        <v>12657</v>
      </c>
      <c r="BD974" s="3" t="s">
        <v>12658</v>
      </c>
    </row>
    <row r="975" spans="1:56" ht="42.75" customHeight="1" x14ac:dyDescent="0.25">
      <c r="A975" s="7" t="s">
        <v>58</v>
      </c>
      <c r="B975" s="2" t="s">
        <v>12659</v>
      </c>
      <c r="C975" s="2" t="s">
        <v>12660</v>
      </c>
      <c r="D975" s="2" t="s">
        <v>12661</v>
      </c>
      <c r="F975" s="3" t="s">
        <v>58</v>
      </c>
      <c r="G975" s="3" t="s">
        <v>59</v>
      </c>
      <c r="H975" s="3" t="s">
        <v>58</v>
      </c>
      <c r="I975" s="3" t="s">
        <v>58</v>
      </c>
      <c r="J975" s="3" t="s">
        <v>60</v>
      </c>
      <c r="K975" s="2" t="s">
        <v>12662</v>
      </c>
      <c r="L975" s="2" t="s">
        <v>10441</v>
      </c>
      <c r="M975" s="3" t="s">
        <v>3914</v>
      </c>
      <c r="O975" s="3" t="s">
        <v>64</v>
      </c>
      <c r="P975" s="3" t="s">
        <v>115</v>
      </c>
      <c r="R975" s="3" t="s">
        <v>67</v>
      </c>
      <c r="S975" s="4">
        <v>8</v>
      </c>
      <c r="T975" s="4">
        <v>8</v>
      </c>
      <c r="U975" s="5" t="s">
        <v>12448</v>
      </c>
      <c r="V975" s="5" t="s">
        <v>12448</v>
      </c>
      <c r="W975" s="5" t="s">
        <v>2291</v>
      </c>
      <c r="X975" s="5" t="s">
        <v>2291</v>
      </c>
      <c r="Y975" s="4">
        <v>577</v>
      </c>
      <c r="Z975" s="4">
        <v>502</v>
      </c>
      <c r="AA975" s="4">
        <v>531</v>
      </c>
      <c r="AB975" s="4">
        <v>2</v>
      </c>
      <c r="AC975" s="4">
        <v>2</v>
      </c>
      <c r="AD975" s="4">
        <v>18</v>
      </c>
      <c r="AE975" s="4">
        <v>18</v>
      </c>
      <c r="AF975" s="4">
        <v>6</v>
      </c>
      <c r="AG975" s="4">
        <v>6</v>
      </c>
      <c r="AH975" s="4">
        <v>5</v>
      </c>
      <c r="AI975" s="4">
        <v>5</v>
      </c>
      <c r="AJ975" s="4">
        <v>12</v>
      </c>
      <c r="AK975" s="4">
        <v>12</v>
      </c>
      <c r="AL975" s="4">
        <v>1</v>
      </c>
      <c r="AM975" s="4">
        <v>1</v>
      </c>
      <c r="AN975" s="4">
        <v>0</v>
      </c>
      <c r="AO975" s="4">
        <v>0</v>
      </c>
      <c r="AP975" s="3" t="s">
        <v>58</v>
      </c>
      <c r="AQ975" s="3" t="s">
        <v>58</v>
      </c>
      <c r="AS975" s="6" t="str">
        <f>HYPERLINK("https://creighton-primo.hosted.exlibrisgroup.com/primo-explore/search?tab=default_tab&amp;search_scope=EVERYTHING&amp;vid=01CRU&amp;lang=en_US&amp;offset=0&amp;query=any,contains,991004051879702656","Catalog Record")</f>
        <v>Catalog Record</v>
      </c>
      <c r="AT975" s="6" t="str">
        <f>HYPERLINK("http://www.worldcat.org/oclc/2213350","WorldCat Record")</f>
        <v>WorldCat Record</v>
      </c>
      <c r="AU975" s="3" t="s">
        <v>12663</v>
      </c>
      <c r="AV975" s="3" t="s">
        <v>12664</v>
      </c>
      <c r="AW975" s="3" t="s">
        <v>12665</v>
      </c>
      <c r="AX975" s="3" t="s">
        <v>12665</v>
      </c>
      <c r="AY975" s="3" t="s">
        <v>12666</v>
      </c>
      <c r="AZ975" s="3" t="s">
        <v>74</v>
      </c>
      <c r="BB975" s="3" t="s">
        <v>12667</v>
      </c>
      <c r="BC975" s="3" t="s">
        <v>12668</v>
      </c>
      <c r="BD975" s="3" t="s">
        <v>12669</v>
      </c>
    </row>
    <row r="976" spans="1:56" ht="42.75" customHeight="1" x14ac:dyDescent="0.25">
      <c r="A976" s="7" t="s">
        <v>58</v>
      </c>
      <c r="B976" s="2" t="s">
        <v>12670</v>
      </c>
      <c r="C976" s="2" t="s">
        <v>12671</v>
      </c>
      <c r="D976" s="2" t="s">
        <v>12672</v>
      </c>
      <c r="F976" s="3" t="s">
        <v>58</v>
      </c>
      <c r="G976" s="3" t="s">
        <v>59</v>
      </c>
      <c r="H976" s="3" t="s">
        <v>58</v>
      </c>
      <c r="I976" s="3" t="s">
        <v>58</v>
      </c>
      <c r="J976" s="3" t="s">
        <v>60</v>
      </c>
      <c r="K976" s="2" t="s">
        <v>12673</v>
      </c>
      <c r="L976" s="2" t="s">
        <v>12674</v>
      </c>
      <c r="M976" s="3" t="s">
        <v>3914</v>
      </c>
      <c r="N976" s="2" t="s">
        <v>1736</v>
      </c>
      <c r="O976" s="3" t="s">
        <v>64</v>
      </c>
      <c r="P976" s="3" t="s">
        <v>99</v>
      </c>
      <c r="Q976" s="2" t="s">
        <v>5636</v>
      </c>
      <c r="R976" s="3" t="s">
        <v>67</v>
      </c>
      <c r="S976" s="4">
        <v>16</v>
      </c>
      <c r="T976" s="4">
        <v>16</v>
      </c>
      <c r="U976" s="5" t="s">
        <v>12313</v>
      </c>
      <c r="V976" s="5" t="s">
        <v>12313</v>
      </c>
      <c r="W976" s="5" t="s">
        <v>1628</v>
      </c>
      <c r="X976" s="5" t="s">
        <v>1628</v>
      </c>
      <c r="Y976" s="4">
        <v>469</v>
      </c>
      <c r="Z976" s="4">
        <v>394</v>
      </c>
      <c r="AA976" s="4">
        <v>403</v>
      </c>
      <c r="AB976" s="4">
        <v>2</v>
      </c>
      <c r="AC976" s="4">
        <v>2</v>
      </c>
      <c r="AD976" s="4">
        <v>14</v>
      </c>
      <c r="AE976" s="4">
        <v>14</v>
      </c>
      <c r="AF976" s="4">
        <v>4</v>
      </c>
      <c r="AG976" s="4">
        <v>4</v>
      </c>
      <c r="AH976" s="4">
        <v>4</v>
      </c>
      <c r="AI976" s="4">
        <v>4</v>
      </c>
      <c r="AJ976" s="4">
        <v>8</v>
      </c>
      <c r="AK976" s="4">
        <v>8</v>
      </c>
      <c r="AL976" s="4">
        <v>1</v>
      </c>
      <c r="AM976" s="4">
        <v>1</v>
      </c>
      <c r="AN976" s="4">
        <v>0</v>
      </c>
      <c r="AO976" s="4">
        <v>0</v>
      </c>
      <c r="AP976" s="3" t="s">
        <v>58</v>
      </c>
      <c r="AQ976" s="3" t="s">
        <v>86</v>
      </c>
      <c r="AR976" s="6" t="str">
        <f>HYPERLINK("http://catalog.hathitrust.org/Record/000085982","HathiTrust Record")</f>
        <v>HathiTrust Record</v>
      </c>
      <c r="AS976" s="6" t="str">
        <f>HYPERLINK("https://creighton-primo.hosted.exlibrisgroup.com/primo-explore/search?tab=default_tab&amp;search_scope=EVERYTHING&amp;vid=01CRU&amp;lang=en_US&amp;offset=0&amp;query=any,contains,991004316259702656","Catalog Record")</f>
        <v>Catalog Record</v>
      </c>
      <c r="AT976" s="6" t="str">
        <f>HYPERLINK("http://www.worldcat.org/oclc/3004067","WorldCat Record")</f>
        <v>WorldCat Record</v>
      </c>
      <c r="AU976" s="3" t="s">
        <v>12675</v>
      </c>
      <c r="AV976" s="3" t="s">
        <v>12676</v>
      </c>
      <c r="AW976" s="3" t="s">
        <v>12677</v>
      </c>
      <c r="AX976" s="3" t="s">
        <v>12677</v>
      </c>
      <c r="AY976" s="3" t="s">
        <v>12678</v>
      </c>
      <c r="AZ976" s="3" t="s">
        <v>74</v>
      </c>
      <c r="BB976" s="3" t="s">
        <v>12679</v>
      </c>
      <c r="BC976" s="3" t="s">
        <v>12680</v>
      </c>
      <c r="BD976" s="3" t="s">
        <v>12681</v>
      </c>
    </row>
    <row r="977" spans="1:56" ht="42.75" customHeight="1" x14ac:dyDescent="0.25">
      <c r="A977" s="7" t="s">
        <v>58</v>
      </c>
      <c r="B977" s="2" t="s">
        <v>12682</v>
      </c>
      <c r="C977" s="2" t="s">
        <v>12683</v>
      </c>
      <c r="D977" s="2" t="s">
        <v>12684</v>
      </c>
      <c r="F977" s="3" t="s">
        <v>58</v>
      </c>
      <c r="G977" s="3" t="s">
        <v>59</v>
      </c>
      <c r="H977" s="3" t="s">
        <v>58</v>
      </c>
      <c r="I977" s="3" t="s">
        <v>58</v>
      </c>
      <c r="J977" s="3" t="s">
        <v>60</v>
      </c>
      <c r="K977" s="2" t="s">
        <v>12673</v>
      </c>
      <c r="L977" s="2" t="s">
        <v>12685</v>
      </c>
      <c r="M977" s="3" t="s">
        <v>480</v>
      </c>
      <c r="N977" s="2" t="s">
        <v>1736</v>
      </c>
      <c r="O977" s="3" t="s">
        <v>64</v>
      </c>
      <c r="P977" s="3" t="s">
        <v>99</v>
      </c>
      <c r="Q977" s="2" t="s">
        <v>7599</v>
      </c>
      <c r="R977" s="3" t="s">
        <v>67</v>
      </c>
      <c r="S977" s="4">
        <v>26</v>
      </c>
      <c r="T977" s="4">
        <v>26</v>
      </c>
      <c r="U977" s="5" t="s">
        <v>12274</v>
      </c>
      <c r="V977" s="5" t="s">
        <v>12274</v>
      </c>
      <c r="W977" s="5" t="s">
        <v>2065</v>
      </c>
      <c r="X977" s="5" t="s">
        <v>2065</v>
      </c>
      <c r="Y977" s="4">
        <v>288</v>
      </c>
      <c r="Z977" s="4">
        <v>236</v>
      </c>
      <c r="AA977" s="4">
        <v>243</v>
      </c>
      <c r="AB977" s="4">
        <v>1</v>
      </c>
      <c r="AC977" s="4">
        <v>1</v>
      </c>
      <c r="AD977" s="4">
        <v>6</v>
      </c>
      <c r="AE977" s="4">
        <v>6</v>
      </c>
      <c r="AF977" s="4">
        <v>2</v>
      </c>
      <c r="AG977" s="4">
        <v>2</v>
      </c>
      <c r="AH977" s="4">
        <v>0</v>
      </c>
      <c r="AI977" s="4">
        <v>0</v>
      </c>
      <c r="AJ977" s="4">
        <v>5</v>
      </c>
      <c r="AK977" s="4">
        <v>5</v>
      </c>
      <c r="AL977" s="4">
        <v>0</v>
      </c>
      <c r="AM977" s="4">
        <v>0</v>
      </c>
      <c r="AN977" s="4">
        <v>0</v>
      </c>
      <c r="AO977" s="4">
        <v>0</v>
      </c>
      <c r="AP977" s="3" t="s">
        <v>58</v>
      </c>
      <c r="AQ977" s="3" t="s">
        <v>86</v>
      </c>
      <c r="AR977" s="6" t="str">
        <f>HYPERLINK("http://catalog.hathitrust.org/Record/001302402","HathiTrust Record")</f>
        <v>HathiTrust Record</v>
      </c>
      <c r="AS977" s="6" t="str">
        <f>HYPERLINK("https://creighton-primo.hosted.exlibrisgroup.com/primo-explore/search?tab=default_tab&amp;search_scope=EVERYTHING&amp;vid=01CRU&amp;lang=en_US&amp;offset=0&amp;query=any,contains,991001437389702656","Catalog Record")</f>
        <v>Catalog Record</v>
      </c>
      <c r="AT977" s="6" t="str">
        <f>HYPERLINK("http://www.worldcat.org/oclc/19130907","WorldCat Record")</f>
        <v>WorldCat Record</v>
      </c>
      <c r="AU977" s="3" t="s">
        <v>12686</v>
      </c>
      <c r="AV977" s="3" t="s">
        <v>12687</v>
      </c>
      <c r="AW977" s="3" t="s">
        <v>12688</v>
      </c>
      <c r="AX977" s="3" t="s">
        <v>12688</v>
      </c>
      <c r="AY977" s="3" t="s">
        <v>12689</v>
      </c>
      <c r="AZ977" s="3" t="s">
        <v>74</v>
      </c>
      <c r="BB977" s="3" t="s">
        <v>12690</v>
      </c>
      <c r="BC977" s="3" t="s">
        <v>12691</v>
      </c>
      <c r="BD977" s="3" t="s">
        <v>12692</v>
      </c>
    </row>
    <row r="978" spans="1:56" ht="42.75" customHeight="1" x14ac:dyDescent="0.25">
      <c r="A978" s="7" t="s">
        <v>58</v>
      </c>
      <c r="B978" s="2" t="s">
        <v>12693</v>
      </c>
      <c r="C978" s="2" t="s">
        <v>12694</v>
      </c>
      <c r="D978" s="2" t="s">
        <v>12695</v>
      </c>
      <c r="F978" s="3" t="s">
        <v>58</v>
      </c>
      <c r="G978" s="3" t="s">
        <v>59</v>
      </c>
      <c r="H978" s="3" t="s">
        <v>58</v>
      </c>
      <c r="I978" s="3" t="s">
        <v>58</v>
      </c>
      <c r="J978" s="3" t="s">
        <v>60</v>
      </c>
      <c r="K978" s="2" t="s">
        <v>12696</v>
      </c>
      <c r="L978" s="2" t="s">
        <v>12697</v>
      </c>
      <c r="M978" s="3" t="s">
        <v>3124</v>
      </c>
      <c r="O978" s="3" t="s">
        <v>64</v>
      </c>
      <c r="P978" s="3" t="s">
        <v>115</v>
      </c>
      <c r="R978" s="3" t="s">
        <v>67</v>
      </c>
      <c r="S978" s="4">
        <v>5</v>
      </c>
      <c r="T978" s="4">
        <v>5</v>
      </c>
      <c r="U978" s="5" t="s">
        <v>12698</v>
      </c>
      <c r="V978" s="5" t="s">
        <v>12698</v>
      </c>
      <c r="W978" s="5" t="s">
        <v>12422</v>
      </c>
      <c r="X978" s="5" t="s">
        <v>12422</v>
      </c>
      <c r="Y978" s="4">
        <v>376</v>
      </c>
      <c r="Z978" s="4">
        <v>329</v>
      </c>
      <c r="AA978" s="4">
        <v>338</v>
      </c>
      <c r="AB978" s="4">
        <v>3</v>
      </c>
      <c r="AC978" s="4">
        <v>3</v>
      </c>
      <c r="AD978" s="4">
        <v>14</v>
      </c>
      <c r="AE978" s="4">
        <v>14</v>
      </c>
      <c r="AF978" s="4">
        <v>4</v>
      </c>
      <c r="AG978" s="4">
        <v>4</v>
      </c>
      <c r="AH978" s="4">
        <v>3</v>
      </c>
      <c r="AI978" s="4">
        <v>3</v>
      </c>
      <c r="AJ978" s="4">
        <v>8</v>
      </c>
      <c r="AK978" s="4">
        <v>8</v>
      </c>
      <c r="AL978" s="4">
        <v>2</v>
      </c>
      <c r="AM978" s="4">
        <v>2</v>
      </c>
      <c r="AN978" s="4">
        <v>0</v>
      </c>
      <c r="AO978" s="4">
        <v>0</v>
      </c>
      <c r="AP978" s="3" t="s">
        <v>58</v>
      </c>
      <c r="AQ978" s="3" t="s">
        <v>86</v>
      </c>
      <c r="AR978" s="6" t="str">
        <f>HYPERLINK("http://catalog.hathitrust.org/Record/001565009","HathiTrust Record")</f>
        <v>HathiTrust Record</v>
      </c>
      <c r="AS978" s="6" t="str">
        <f>HYPERLINK("https://creighton-primo.hosted.exlibrisgroup.com/primo-explore/search?tab=default_tab&amp;search_scope=EVERYTHING&amp;vid=01CRU&amp;lang=en_US&amp;offset=0&amp;query=any,contains,991000136559702656","Catalog Record")</f>
        <v>Catalog Record</v>
      </c>
      <c r="AT978" s="6" t="str">
        <f>HYPERLINK("http://www.worldcat.org/oclc/56547","WorldCat Record")</f>
        <v>WorldCat Record</v>
      </c>
      <c r="AU978" s="3" t="s">
        <v>12699</v>
      </c>
      <c r="AV978" s="3" t="s">
        <v>12700</v>
      </c>
      <c r="AW978" s="3" t="s">
        <v>12701</v>
      </c>
      <c r="AX978" s="3" t="s">
        <v>12701</v>
      </c>
      <c r="AY978" s="3" t="s">
        <v>12702</v>
      </c>
      <c r="AZ978" s="3" t="s">
        <v>74</v>
      </c>
      <c r="BB978" s="3" t="s">
        <v>12703</v>
      </c>
      <c r="BC978" s="3" t="s">
        <v>12704</v>
      </c>
      <c r="BD978" s="3" t="s">
        <v>12705</v>
      </c>
    </row>
    <row r="979" spans="1:56" ht="42.75" customHeight="1" x14ac:dyDescent="0.25">
      <c r="A979" s="7" t="s">
        <v>58</v>
      </c>
      <c r="B979" s="2" t="s">
        <v>12706</v>
      </c>
      <c r="C979" s="2" t="s">
        <v>12707</v>
      </c>
      <c r="D979" s="2" t="s">
        <v>12708</v>
      </c>
      <c r="F979" s="3" t="s">
        <v>58</v>
      </c>
      <c r="G979" s="3" t="s">
        <v>59</v>
      </c>
      <c r="H979" s="3" t="s">
        <v>58</v>
      </c>
      <c r="I979" s="3" t="s">
        <v>58</v>
      </c>
      <c r="J979" s="3" t="s">
        <v>60</v>
      </c>
      <c r="K979" s="2" t="s">
        <v>12709</v>
      </c>
      <c r="L979" s="2" t="s">
        <v>12710</v>
      </c>
      <c r="M979" s="3" t="s">
        <v>314</v>
      </c>
      <c r="O979" s="3" t="s">
        <v>64</v>
      </c>
      <c r="P979" s="3" t="s">
        <v>115</v>
      </c>
      <c r="R979" s="3" t="s">
        <v>67</v>
      </c>
      <c r="S979" s="4">
        <v>14</v>
      </c>
      <c r="T979" s="4">
        <v>14</v>
      </c>
      <c r="U979" s="5" t="s">
        <v>12640</v>
      </c>
      <c r="V979" s="5" t="s">
        <v>12640</v>
      </c>
      <c r="W979" s="5" t="s">
        <v>6584</v>
      </c>
      <c r="X979" s="5" t="s">
        <v>6584</v>
      </c>
      <c r="Y979" s="4">
        <v>216</v>
      </c>
      <c r="Z979" s="4">
        <v>176</v>
      </c>
      <c r="AA979" s="4">
        <v>223</v>
      </c>
      <c r="AB979" s="4">
        <v>2</v>
      </c>
      <c r="AC979" s="4">
        <v>2</v>
      </c>
      <c r="AD979" s="4">
        <v>9</v>
      </c>
      <c r="AE979" s="4">
        <v>9</v>
      </c>
      <c r="AF979" s="4">
        <v>2</v>
      </c>
      <c r="AG979" s="4">
        <v>2</v>
      </c>
      <c r="AH979" s="4">
        <v>1</v>
      </c>
      <c r="AI979" s="4">
        <v>1</v>
      </c>
      <c r="AJ979" s="4">
        <v>5</v>
      </c>
      <c r="AK979" s="4">
        <v>5</v>
      </c>
      <c r="AL979" s="4">
        <v>1</v>
      </c>
      <c r="AM979" s="4">
        <v>1</v>
      </c>
      <c r="AN979" s="4">
        <v>0</v>
      </c>
      <c r="AO979" s="4">
        <v>0</v>
      </c>
      <c r="AP979" s="3" t="s">
        <v>58</v>
      </c>
      <c r="AQ979" s="3" t="s">
        <v>86</v>
      </c>
      <c r="AR979" s="6" t="str">
        <f>HYPERLINK("http://catalog.hathitrust.org/Record/102130132","HathiTrust Record")</f>
        <v>HathiTrust Record</v>
      </c>
      <c r="AS979" s="6" t="str">
        <f>HYPERLINK("https://creighton-primo.hosted.exlibrisgroup.com/primo-explore/search?tab=default_tab&amp;search_scope=EVERYTHING&amp;vid=01CRU&amp;lang=en_US&amp;offset=0&amp;query=any,contains,991000002469702656","Catalog Record")</f>
        <v>Catalog Record</v>
      </c>
      <c r="AT979" s="6" t="str">
        <f>HYPERLINK("http://www.worldcat.org/oclc/11138","WorldCat Record")</f>
        <v>WorldCat Record</v>
      </c>
      <c r="AU979" s="3" t="s">
        <v>12711</v>
      </c>
      <c r="AV979" s="3" t="s">
        <v>12712</v>
      </c>
      <c r="AW979" s="3" t="s">
        <v>12713</v>
      </c>
      <c r="AX979" s="3" t="s">
        <v>12713</v>
      </c>
      <c r="AY979" s="3" t="s">
        <v>12714</v>
      </c>
      <c r="AZ979" s="3" t="s">
        <v>74</v>
      </c>
      <c r="BC979" s="3" t="s">
        <v>12715</v>
      </c>
      <c r="BD979" s="3" t="s">
        <v>12716</v>
      </c>
    </row>
    <row r="980" spans="1:56" ht="42.75" customHeight="1" x14ac:dyDescent="0.25">
      <c r="A980" s="7" t="s">
        <v>58</v>
      </c>
      <c r="B980" s="2" t="s">
        <v>12717</v>
      </c>
      <c r="C980" s="2" t="s">
        <v>12718</v>
      </c>
      <c r="D980" s="2" t="s">
        <v>12719</v>
      </c>
      <c r="F980" s="3" t="s">
        <v>58</v>
      </c>
      <c r="G980" s="3" t="s">
        <v>59</v>
      </c>
      <c r="H980" s="3" t="s">
        <v>58</v>
      </c>
      <c r="I980" s="3" t="s">
        <v>58</v>
      </c>
      <c r="J980" s="3" t="s">
        <v>60</v>
      </c>
      <c r="K980" s="2" t="s">
        <v>12720</v>
      </c>
      <c r="L980" s="2" t="s">
        <v>12721</v>
      </c>
      <c r="M980" s="3" t="s">
        <v>223</v>
      </c>
      <c r="O980" s="3" t="s">
        <v>64</v>
      </c>
      <c r="P980" s="3" t="s">
        <v>1898</v>
      </c>
      <c r="Q980" s="2" t="s">
        <v>5354</v>
      </c>
      <c r="R980" s="3" t="s">
        <v>67</v>
      </c>
      <c r="S980" s="4">
        <v>18</v>
      </c>
      <c r="T980" s="4">
        <v>18</v>
      </c>
      <c r="U980" s="5" t="s">
        <v>4220</v>
      </c>
      <c r="V980" s="5" t="s">
        <v>4220</v>
      </c>
      <c r="W980" s="5" t="s">
        <v>12722</v>
      </c>
      <c r="X980" s="5" t="s">
        <v>12722</v>
      </c>
      <c r="Y980" s="4">
        <v>597</v>
      </c>
      <c r="Z980" s="4">
        <v>513</v>
      </c>
      <c r="AA980" s="4">
        <v>516</v>
      </c>
      <c r="AB980" s="4">
        <v>6</v>
      </c>
      <c r="AC980" s="4">
        <v>6</v>
      </c>
      <c r="AD980" s="4">
        <v>25</v>
      </c>
      <c r="AE980" s="4">
        <v>25</v>
      </c>
      <c r="AF980" s="4">
        <v>6</v>
      </c>
      <c r="AG980" s="4">
        <v>6</v>
      </c>
      <c r="AH980" s="4">
        <v>6</v>
      </c>
      <c r="AI980" s="4">
        <v>6</v>
      </c>
      <c r="AJ980" s="4">
        <v>13</v>
      </c>
      <c r="AK980" s="4">
        <v>13</v>
      </c>
      <c r="AL980" s="4">
        <v>5</v>
      </c>
      <c r="AM980" s="4">
        <v>5</v>
      </c>
      <c r="AN980" s="4">
        <v>0</v>
      </c>
      <c r="AO980" s="4">
        <v>0</v>
      </c>
      <c r="AP980" s="3" t="s">
        <v>58</v>
      </c>
      <c r="AQ980" s="3" t="s">
        <v>86</v>
      </c>
      <c r="AR980" s="6" t="str">
        <f>HYPERLINK("http://catalog.hathitrust.org/Record/000177885","HathiTrust Record")</f>
        <v>HathiTrust Record</v>
      </c>
      <c r="AS980" s="6" t="str">
        <f>HYPERLINK("https://creighton-primo.hosted.exlibrisgroup.com/primo-explore/search?tab=default_tab&amp;search_scope=EVERYTHING&amp;vid=01CRU&amp;lang=en_US&amp;offset=0&amp;query=any,contains,991004574409702656","Catalog Record")</f>
        <v>Catalog Record</v>
      </c>
      <c r="AT980" s="6" t="str">
        <f>HYPERLINK("http://www.worldcat.org/oclc/4037024","WorldCat Record")</f>
        <v>WorldCat Record</v>
      </c>
      <c r="AU980" s="3" t="s">
        <v>12723</v>
      </c>
      <c r="AV980" s="3" t="s">
        <v>12724</v>
      </c>
      <c r="AW980" s="3" t="s">
        <v>12725</v>
      </c>
      <c r="AX980" s="3" t="s">
        <v>12725</v>
      </c>
      <c r="AY980" s="3" t="s">
        <v>12726</v>
      </c>
      <c r="AZ980" s="3" t="s">
        <v>74</v>
      </c>
      <c r="BB980" s="3" t="s">
        <v>12727</v>
      </c>
      <c r="BC980" s="3" t="s">
        <v>12728</v>
      </c>
      <c r="BD980" s="3" t="s">
        <v>12729</v>
      </c>
    </row>
    <row r="981" spans="1:56" ht="42.75" customHeight="1" x14ac:dyDescent="0.25">
      <c r="A981" s="7" t="s">
        <v>58</v>
      </c>
      <c r="B981" s="2" t="s">
        <v>12730</v>
      </c>
      <c r="C981" s="2" t="s">
        <v>12731</v>
      </c>
      <c r="D981" s="2" t="s">
        <v>12732</v>
      </c>
      <c r="F981" s="3" t="s">
        <v>58</v>
      </c>
      <c r="G981" s="3" t="s">
        <v>59</v>
      </c>
      <c r="H981" s="3" t="s">
        <v>58</v>
      </c>
      <c r="I981" s="3" t="s">
        <v>58</v>
      </c>
      <c r="J981" s="3" t="s">
        <v>60</v>
      </c>
      <c r="K981" s="2" t="s">
        <v>12733</v>
      </c>
      <c r="L981" s="2" t="s">
        <v>12734</v>
      </c>
      <c r="M981" s="3" t="s">
        <v>329</v>
      </c>
      <c r="O981" s="3" t="s">
        <v>64</v>
      </c>
      <c r="P981" s="3" t="s">
        <v>115</v>
      </c>
      <c r="Q981" s="2" t="s">
        <v>12735</v>
      </c>
      <c r="R981" s="3" t="s">
        <v>67</v>
      </c>
      <c r="S981" s="4">
        <v>4</v>
      </c>
      <c r="T981" s="4">
        <v>4</v>
      </c>
      <c r="U981" s="5" t="s">
        <v>12640</v>
      </c>
      <c r="V981" s="5" t="s">
        <v>12640</v>
      </c>
      <c r="W981" s="5" t="s">
        <v>2855</v>
      </c>
      <c r="X981" s="5" t="s">
        <v>2855</v>
      </c>
      <c r="Y981" s="4">
        <v>588</v>
      </c>
      <c r="Z981" s="4">
        <v>506</v>
      </c>
      <c r="AA981" s="4">
        <v>508</v>
      </c>
      <c r="AB981" s="4">
        <v>3</v>
      </c>
      <c r="AC981" s="4">
        <v>3</v>
      </c>
      <c r="AD981" s="4">
        <v>19</v>
      </c>
      <c r="AE981" s="4">
        <v>19</v>
      </c>
      <c r="AF981" s="4">
        <v>7</v>
      </c>
      <c r="AG981" s="4">
        <v>7</v>
      </c>
      <c r="AH981" s="4">
        <v>3</v>
      </c>
      <c r="AI981" s="4">
        <v>3</v>
      </c>
      <c r="AJ981" s="4">
        <v>9</v>
      </c>
      <c r="AK981" s="4">
        <v>9</v>
      </c>
      <c r="AL981" s="4">
        <v>2</v>
      </c>
      <c r="AM981" s="4">
        <v>2</v>
      </c>
      <c r="AN981" s="4">
        <v>0</v>
      </c>
      <c r="AO981" s="4">
        <v>0</v>
      </c>
      <c r="AP981" s="3" t="s">
        <v>58</v>
      </c>
      <c r="AQ981" s="3" t="s">
        <v>86</v>
      </c>
      <c r="AR981" s="6" t="str">
        <f>HYPERLINK("http://catalog.hathitrust.org/Record/001565015","HathiTrust Record")</f>
        <v>HathiTrust Record</v>
      </c>
      <c r="AS981" s="6" t="str">
        <f>HYPERLINK("https://creighton-primo.hosted.exlibrisgroup.com/primo-explore/search?tab=default_tab&amp;search_scope=EVERYTHING&amp;vid=01CRU&amp;lang=en_US&amp;offset=0&amp;query=any,contains,991003071399702656","Catalog Record")</f>
        <v>Catalog Record</v>
      </c>
      <c r="AT981" s="6" t="str">
        <f>HYPERLINK("http://www.worldcat.org/oclc/625746","WorldCat Record")</f>
        <v>WorldCat Record</v>
      </c>
      <c r="AU981" s="3" t="s">
        <v>12736</v>
      </c>
      <c r="AV981" s="3" t="s">
        <v>12737</v>
      </c>
      <c r="AW981" s="3" t="s">
        <v>12738</v>
      </c>
      <c r="AX981" s="3" t="s">
        <v>12738</v>
      </c>
      <c r="AY981" s="3" t="s">
        <v>12739</v>
      </c>
      <c r="AZ981" s="3" t="s">
        <v>74</v>
      </c>
      <c r="BC981" s="3" t="s">
        <v>12740</v>
      </c>
      <c r="BD981" s="3" t="s">
        <v>12741</v>
      </c>
    </row>
    <row r="982" spans="1:56" ht="42.75" customHeight="1" x14ac:dyDescent="0.25">
      <c r="A982" s="7" t="s">
        <v>58</v>
      </c>
      <c r="B982" s="2" t="s">
        <v>12742</v>
      </c>
      <c r="C982" s="2" t="s">
        <v>12743</v>
      </c>
      <c r="D982" s="2" t="s">
        <v>12744</v>
      </c>
      <c r="F982" s="3" t="s">
        <v>58</v>
      </c>
      <c r="G982" s="3" t="s">
        <v>59</v>
      </c>
      <c r="H982" s="3" t="s">
        <v>58</v>
      </c>
      <c r="I982" s="3" t="s">
        <v>58</v>
      </c>
      <c r="J982" s="3" t="s">
        <v>60</v>
      </c>
      <c r="K982" s="2" t="s">
        <v>12745</v>
      </c>
      <c r="L982" s="2" t="s">
        <v>5504</v>
      </c>
      <c r="M982" s="3" t="s">
        <v>2386</v>
      </c>
      <c r="O982" s="3" t="s">
        <v>64</v>
      </c>
      <c r="P982" s="3" t="s">
        <v>1898</v>
      </c>
      <c r="Q982" s="2" t="s">
        <v>5354</v>
      </c>
      <c r="R982" s="3" t="s">
        <v>67</v>
      </c>
      <c r="S982" s="4">
        <v>1</v>
      </c>
      <c r="T982" s="4">
        <v>1</v>
      </c>
      <c r="U982" s="5" t="s">
        <v>3189</v>
      </c>
      <c r="V982" s="5" t="s">
        <v>3189</v>
      </c>
      <c r="W982" s="5" t="s">
        <v>6584</v>
      </c>
      <c r="X982" s="5" t="s">
        <v>6584</v>
      </c>
      <c r="Y982" s="4">
        <v>453</v>
      </c>
      <c r="Z982" s="4">
        <v>389</v>
      </c>
      <c r="AA982" s="4">
        <v>470</v>
      </c>
      <c r="AB982" s="4">
        <v>3</v>
      </c>
      <c r="AC982" s="4">
        <v>3</v>
      </c>
      <c r="AD982" s="4">
        <v>18</v>
      </c>
      <c r="AE982" s="4">
        <v>19</v>
      </c>
      <c r="AF982" s="4">
        <v>7</v>
      </c>
      <c r="AG982" s="4">
        <v>7</v>
      </c>
      <c r="AH982" s="4">
        <v>3</v>
      </c>
      <c r="AI982" s="4">
        <v>3</v>
      </c>
      <c r="AJ982" s="4">
        <v>10</v>
      </c>
      <c r="AK982" s="4">
        <v>11</v>
      </c>
      <c r="AL982" s="4">
        <v>2</v>
      </c>
      <c r="AM982" s="4">
        <v>2</v>
      </c>
      <c r="AN982" s="4">
        <v>0</v>
      </c>
      <c r="AO982" s="4">
        <v>0</v>
      </c>
      <c r="AP982" s="3" t="s">
        <v>58</v>
      </c>
      <c r="AQ982" s="3" t="s">
        <v>86</v>
      </c>
      <c r="AR982" s="6" t="str">
        <f>HYPERLINK("http://catalog.hathitrust.org/Record/000012369","HathiTrust Record")</f>
        <v>HathiTrust Record</v>
      </c>
      <c r="AS982" s="6" t="str">
        <f>HYPERLINK("https://creighton-primo.hosted.exlibrisgroup.com/primo-explore/search?tab=default_tab&amp;search_scope=EVERYTHING&amp;vid=01CRU&amp;lang=en_US&amp;offset=0&amp;query=any,contains,991003293489702656","Catalog Record")</f>
        <v>Catalog Record</v>
      </c>
      <c r="AT982" s="6" t="str">
        <f>HYPERLINK("http://www.worldcat.org/oclc/815101","WorldCat Record")</f>
        <v>WorldCat Record</v>
      </c>
      <c r="AU982" s="3" t="s">
        <v>12746</v>
      </c>
      <c r="AV982" s="3" t="s">
        <v>12747</v>
      </c>
      <c r="AW982" s="3" t="s">
        <v>12748</v>
      </c>
      <c r="AX982" s="3" t="s">
        <v>12748</v>
      </c>
      <c r="AY982" s="3" t="s">
        <v>12749</v>
      </c>
      <c r="AZ982" s="3" t="s">
        <v>74</v>
      </c>
      <c r="BB982" s="3" t="s">
        <v>12750</v>
      </c>
      <c r="BC982" s="3" t="s">
        <v>12751</v>
      </c>
      <c r="BD982" s="3" t="s">
        <v>12752</v>
      </c>
    </row>
    <row r="983" spans="1:56" ht="42.75" customHeight="1" x14ac:dyDescent="0.25">
      <c r="A983" s="7" t="s">
        <v>58</v>
      </c>
      <c r="B983" s="2" t="s">
        <v>12753</v>
      </c>
      <c r="C983" s="2" t="s">
        <v>12754</v>
      </c>
      <c r="D983" s="2" t="s">
        <v>12755</v>
      </c>
      <c r="F983" s="3" t="s">
        <v>58</v>
      </c>
      <c r="G983" s="3" t="s">
        <v>59</v>
      </c>
      <c r="H983" s="3" t="s">
        <v>58</v>
      </c>
      <c r="I983" s="3" t="s">
        <v>58</v>
      </c>
      <c r="J983" s="3" t="s">
        <v>60</v>
      </c>
      <c r="L983" s="2" t="s">
        <v>12756</v>
      </c>
      <c r="M983" s="3" t="s">
        <v>3069</v>
      </c>
      <c r="O983" s="3" t="s">
        <v>64</v>
      </c>
      <c r="P983" s="3" t="s">
        <v>115</v>
      </c>
      <c r="R983" s="3" t="s">
        <v>67</v>
      </c>
      <c r="S983" s="4">
        <v>4</v>
      </c>
      <c r="T983" s="4">
        <v>4</v>
      </c>
      <c r="U983" s="5" t="s">
        <v>12757</v>
      </c>
      <c r="V983" s="5" t="s">
        <v>12757</v>
      </c>
      <c r="W983" s="5" t="s">
        <v>6584</v>
      </c>
      <c r="X983" s="5" t="s">
        <v>6584</v>
      </c>
      <c r="Y983" s="4">
        <v>403</v>
      </c>
      <c r="Z983" s="4">
        <v>363</v>
      </c>
      <c r="AA983" s="4">
        <v>386</v>
      </c>
      <c r="AB983" s="4">
        <v>3</v>
      </c>
      <c r="AC983" s="4">
        <v>3</v>
      </c>
      <c r="AD983" s="4">
        <v>13</v>
      </c>
      <c r="AE983" s="4">
        <v>15</v>
      </c>
      <c r="AF983" s="4">
        <v>3</v>
      </c>
      <c r="AG983" s="4">
        <v>5</v>
      </c>
      <c r="AH983" s="4">
        <v>2</v>
      </c>
      <c r="AI983" s="4">
        <v>2</v>
      </c>
      <c r="AJ983" s="4">
        <v>7</v>
      </c>
      <c r="AK983" s="4">
        <v>8</v>
      </c>
      <c r="AL983" s="4">
        <v>2</v>
      </c>
      <c r="AM983" s="4">
        <v>2</v>
      </c>
      <c r="AN983" s="4">
        <v>0</v>
      </c>
      <c r="AO983" s="4">
        <v>0</v>
      </c>
      <c r="AP983" s="3" t="s">
        <v>58</v>
      </c>
      <c r="AQ983" s="3" t="s">
        <v>86</v>
      </c>
      <c r="AR983" s="6" t="str">
        <f>HYPERLINK("http://catalog.hathitrust.org/Record/001565016","HathiTrust Record")</f>
        <v>HathiTrust Record</v>
      </c>
      <c r="AS983" s="6" t="str">
        <f>HYPERLINK("https://creighton-primo.hosted.exlibrisgroup.com/primo-explore/search?tab=default_tab&amp;search_scope=EVERYTHING&amp;vid=01CRU&amp;lang=en_US&amp;offset=0&amp;query=any,contains,991001206249702656","Catalog Record")</f>
        <v>Catalog Record</v>
      </c>
      <c r="AT983" s="6" t="str">
        <f>HYPERLINK("http://www.worldcat.org/oclc/14497619","WorldCat Record")</f>
        <v>WorldCat Record</v>
      </c>
      <c r="AU983" s="3" t="s">
        <v>12758</v>
      </c>
      <c r="AV983" s="3" t="s">
        <v>12759</v>
      </c>
      <c r="AW983" s="3" t="s">
        <v>12760</v>
      </c>
      <c r="AX983" s="3" t="s">
        <v>12760</v>
      </c>
      <c r="AY983" s="3" t="s">
        <v>12761</v>
      </c>
      <c r="AZ983" s="3" t="s">
        <v>74</v>
      </c>
      <c r="BC983" s="3" t="s">
        <v>12762</v>
      </c>
      <c r="BD983" s="3" t="s">
        <v>12763</v>
      </c>
    </row>
    <row r="984" spans="1:56" ht="42.75" customHeight="1" x14ac:dyDescent="0.25">
      <c r="A984" s="7" t="s">
        <v>58</v>
      </c>
      <c r="B984" s="2" t="s">
        <v>12764</v>
      </c>
      <c r="C984" s="2" t="s">
        <v>12765</v>
      </c>
      <c r="D984" s="2" t="s">
        <v>12766</v>
      </c>
      <c r="F984" s="3" t="s">
        <v>58</v>
      </c>
      <c r="G984" s="3" t="s">
        <v>59</v>
      </c>
      <c r="H984" s="3" t="s">
        <v>58</v>
      </c>
      <c r="I984" s="3" t="s">
        <v>58</v>
      </c>
      <c r="J984" s="3" t="s">
        <v>60</v>
      </c>
      <c r="K984" s="2" t="s">
        <v>12767</v>
      </c>
      <c r="L984" s="2" t="s">
        <v>12768</v>
      </c>
      <c r="M984" s="3" t="s">
        <v>3914</v>
      </c>
      <c r="O984" s="3" t="s">
        <v>64</v>
      </c>
      <c r="P984" s="3" t="s">
        <v>2331</v>
      </c>
      <c r="R984" s="3" t="s">
        <v>67</v>
      </c>
      <c r="S984" s="4">
        <v>2</v>
      </c>
      <c r="T984" s="4">
        <v>2</v>
      </c>
      <c r="U984" s="5" t="s">
        <v>12769</v>
      </c>
      <c r="V984" s="5" t="s">
        <v>12769</v>
      </c>
      <c r="W984" s="5" t="s">
        <v>8352</v>
      </c>
      <c r="X984" s="5" t="s">
        <v>8352</v>
      </c>
      <c r="Y984" s="4">
        <v>168</v>
      </c>
      <c r="Z984" s="4">
        <v>133</v>
      </c>
      <c r="AA984" s="4">
        <v>596</v>
      </c>
      <c r="AB984" s="4">
        <v>1</v>
      </c>
      <c r="AC984" s="4">
        <v>3</v>
      </c>
      <c r="AD984" s="4">
        <v>9</v>
      </c>
      <c r="AE984" s="4">
        <v>30</v>
      </c>
      <c r="AF984" s="4">
        <v>4</v>
      </c>
      <c r="AG984" s="4">
        <v>15</v>
      </c>
      <c r="AH984" s="4">
        <v>2</v>
      </c>
      <c r="AI984" s="4">
        <v>4</v>
      </c>
      <c r="AJ984" s="4">
        <v>7</v>
      </c>
      <c r="AK984" s="4">
        <v>17</v>
      </c>
      <c r="AL984" s="4">
        <v>0</v>
      </c>
      <c r="AM984" s="4">
        <v>2</v>
      </c>
      <c r="AN984" s="4">
        <v>0</v>
      </c>
      <c r="AO984" s="4">
        <v>0</v>
      </c>
      <c r="AP984" s="3" t="s">
        <v>58</v>
      </c>
      <c r="AQ984" s="3" t="s">
        <v>86</v>
      </c>
      <c r="AR984" s="6" t="str">
        <f>HYPERLINK("http://catalog.hathitrust.org/Record/004422384","HathiTrust Record")</f>
        <v>HathiTrust Record</v>
      </c>
      <c r="AS984" s="6" t="str">
        <f>HYPERLINK("https://creighton-primo.hosted.exlibrisgroup.com/primo-explore/search?tab=default_tab&amp;search_scope=EVERYTHING&amp;vid=01CRU&amp;lang=en_US&amp;offset=0&amp;query=any,contains,991004034249702656","Catalog Record")</f>
        <v>Catalog Record</v>
      </c>
      <c r="AT984" s="6" t="str">
        <f>HYPERLINK("http://www.worldcat.org/oclc/2164983","WorldCat Record")</f>
        <v>WorldCat Record</v>
      </c>
      <c r="AU984" s="3" t="s">
        <v>12770</v>
      </c>
      <c r="AV984" s="3" t="s">
        <v>12771</v>
      </c>
      <c r="AW984" s="3" t="s">
        <v>12772</v>
      </c>
      <c r="AX984" s="3" t="s">
        <v>12772</v>
      </c>
      <c r="AY984" s="3" t="s">
        <v>12773</v>
      </c>
      <c r="AZ984" s="3" t="s">
        <v>74</v>
      </c>
      <c r="BB984" s="3" t="s">
        <v>12774</v>
      </c>
      <c r="BC984" s="3" t="s">
        <v>12775</v>
      </c>
      <c r="BD984" s="3" t="s">
        <v>12776</v>
      </c>
    </row>
    <row r="985" spans="1:56" ht="42.75" customHeight="1" x14ac:dyDescent="0.25">
      <c r="A985" s="7" t="s">
        <v>58</v>
      </c>
      <c r="B985" s="2" t="s">
        <v>12777</v>
      </c>
      <c r="C985" s="2" t="s">
        <v>12778</v>
      </c>
      <c r="D985" s="2" t="s">
        <v>12779</v>
      </c>
      <c r="F985" s="3" t="s">
        <v>58</v>
      </c>
      <c r="G985" s="3" t="s">
        <v>59</v>
      </c>
      <c r="H985" s="3" t="s">
        <v>58</v>
      </c>
      <c r="I985" s="3" t="s">
        <v>58</v>
      </c>
      <c r="J985" s="3" t="s">
        <v>60</v>
      </c>
      <c r="K985" s="2" t="s">
        <v>12780</v>
      </c>
      <c r="L985" s="2" t="s">
        <v>12781</v>
      </c>
      <c r="M985" s="3" t="s">
        <v>4218</v>
      </c>
      <c r="O985" s="3" t="s">
        <v>64</v>
      </c>
      <c r="P985" s="3" t="s">
        <v>115</v>
      </c>
      <c r="Q985" s="2" t="s">
        <v>9898</v>
      </c>
      <c r="R985" s="3" t="s">
        <v>67</v>
      </c>
      <c r="S985" s="4">
        <v>4</v>
      </c>
      <c r="T985" s="4">
        <v>4</v>
      </c>
      <c r="U985" s="5" t="s">
        <v>12782</v>
      </c>
      <c r="V985" s="5" t="s">
        <v>12782</v>
      </c>
      <c r="W985" s="5" t="s">
        <v>12783</v>
      </c>
      <c r="X985" s="5" t="s">
        <v>12783</v>
      </c>
      <c r="Y985" s="4">
        <v>344</v>
      </c>
      <c r="Z985" s="4">
        <v>323</v>
      </c>
      <c r="AA985" s="4">
        <v>330</v>
      </c>
      <c r="AB985" s="4">
        <v>3</v>
      </c>
      <c r="AC985" s="4">
        <v>3</v>
      </c>
      <c r="AD985" s="4">
        <v>14</v>
      </c>
      <c r="AE985" s="4">
        <v>14</v>
      </c>
      <c r="AF985" s="4">
        <v>1</v>
      </c>
      <c r="AG985" s="4">
        <v>1</v>
      </c>
      <c r="AH985" s="4">
        <v>5</v>
      </c>
      <c r="AI985" s="4">
        <v>5</v>
      </c>
      <c r="AJ985" s="4">
        <v>9</v>
      </c>
      <c r="AK985" s="4">
        <v>9</v>
      </c>
      <c r="AL985" s="4">
        <v>2</v>
      </c>
      <c r="AM985" s="4">
        <v>2</v>
      </c>
      <c r="AN985" s="4">
        <v>0</v>
      </c>
      <c r="AO985" s="4">
        <v>0</v>
      </c>
      <c r="AP985" s="3" t="s">
        <v>58</v>
      </c>
      <c r="AQ985" s="3" t="s">
        <v>86</v>
      </c>
      <c r="AR985" s="6" t="str">
        <f>HYPERLINK("http://catalog.hathitrust.org/Record/001565024","HathiTrust Record")</f>
        <v>HathiTrust Record</v>
      </c>
      <c r="AS985" s="6" t="str">
        <f>HYPERLINK("https://creighton-primo.hosted.exlibrisgroup.com/primo-explore/search?tab=default_tab&amp;search_scope=EVERYTHING&amp;vid=01CRU&amp;lang=en_US&amp;offset=0&amp;query=any,contains,991002977089702656","Catalog Record")</f>
        <v>Catalog Record</v>
      </c>
      <c r="AT985" s="6" t="str">
        <f>HYPERLINK("http://www.worldcat.org/oclc/552652","WorldCat Record")</f>
        <v>WorldCat Record</v>
      </c>
      <c r="AU985" s="3" t="s">
        <v>12784</v>
      </c>
      <c r="AV985" s="3" t="s">
        <v>12785</v>
      </c>
      <c r="AW985" s="3" t="s">
        <v>12786</v>
      </c>
      <c r="AX985" s="3" t="s">
        <v>12786</v>
      </c>
      <c r="AY985" s="3" t="s">
        <v>12787</v>
      </c>
      <c r="AZ985" s="3" t="s">
        <v>74</v>
      </c>
      <c r="BC985" s="3" t="s">
        <v>12788</v>
      </c>
      <c r="BD985" s="3" t="s">
        <v>12789</v>
      </c>
    </row>
    <row r="986" spans="1:56" ht="42.75" customHeight="1" x14ac:dyDescent="0.25">
      <c r="A986" s="7" t="s">
        <v>58</v>
      </c>
      <c r="B986" s="2" t="s">
        <v>12790</v>
      </c>
      <c r="C986" s="2" t="s">
        <v>12791</v>
      </c>
      <c r="D986" s="2" t="s">
        <v>12792</v>
      </c>
      <c r="F986" s="3" t="s">
        <v>58</v>
      </c>
      <c r="G986" s="3" t="s">
        <v>59</v>
      </c>
      <c r="H986" s="3" t="s">
        <v>58</v>
      </c>
      <c r="I986" s="3" t="s">
        <v>58</v>
      </c>
      <c r="J986" s="3" t="s">
        <v>60</v>
      </c>
      <c r="K986" s="2" t="s">
        <v>12793</v>
      </c>
      <c r="L986" s="2" t="s">
        <v>12794</v>
      </c>
      <c r="M986" s="3" t="s">
        <v>737</v>
      </c>
      <c r="O986" s="3" t="s">
        <v>64</v>
      </c>
      <c r="P986" s="3" t="s">
        <v>115</v>
      </c>
      <c r="R986" s="3" t="s">
        <v>67</v>
      </c>
      <c r="S986" s="4">
        <v>11</v>
      </c>
      <c r="T986" s="4">
        <v>11</v>
      </c>
      <c r="U986" s="5" t="s">
        <v>12795</v>
      </c>
      <c r="V986" s="5" t="s">
        <v>12795</v>
      </c>
      <c r="W986" s="5" t="s">
        <v>12796</v>
      </c>
      <c r="X986" s="5" t="s">
        <v>12796</v>
      </c>
      <c r="Y986" s="4">
        <v>321</v>
      </c>
      <c r="Z986" s="4">
        <v>237</v>
      </c>
      <c r="AA986" s="4">
        <v>439</v>
      </c>
      <c r="AB986" s="4">
        <v>2</v>
      </c>
      <c r="AC986" s="4">
        <v>2</v>
      </c>
      <c r="AD986" s="4">
        <v>17</v>
      </c>
      <c r="AE986" s="4">
        <v>26</v>
      </c>
      <c r="AF986" s="4">
        <v>6</v>
      </c>
      <c r="AG986" s="4">
        <v>11</v>
      </c>
      <c r="AH986" s="4">
        <v>5</v>
      </c>
      <c r="AI986" s="4">
        <v>7</v>
      </c>
      <c r="AJ986" s="4">
        <v>10</v>
      </c>
      <c r="AK986" s="4">
        <v>14</v>
      </c>
      <c r="AL986" s="4">
        <v>1</v>
      </c>
      <c r="AM986" s="4">
        <v>1</v>
      </c>
      <c r="AN986" s="4">
        <v>0</v>
      </c>
      <c r="AO986" s="4">
        <v>0</v>
      </c>
      <c r="AP986" s="3" t="s">
        <v>58</v>
      </c>
      <c r="AQ986" s="3" t="s">
        <v>58</v>
      </c>
      <c r="AS986" s="6" t="str">
        <f>HYPERLINK("https://creighton-primo.hosted.exlibrisgroup.com/primo-explore/search?tab=default_tab&amp;search_scope=EVERYTHING&amp;vid=01CRU&amp;lang=en_US&amp;offset=0&amp;query=any,contains,991002199799702656","Catalog Record")</f>
        <v>Catalog Record</v>
      </c>
      <c r="AT986" s="6" t="str">
        <f>HYPERLINK("http://www.worldcat.org/oclc/28293046","WorldCat Record")</f>
        <v>WorldCat Record</v>
      </c>
      <c r="AU986" s="3" t="s">
        <v>12797</v>
      </c>
      <c r="AV986" s="3" t="s">
        <v>12798</v>
      </c>
      <c r="AW986" s="3" t="s">
        <v>12799</v>
      </c>
      <c r="AX986" s="3" t="s">
        <v>12799</v>
      </c>
      <c r="AY986" s="3" t="s">
        <v>12800</v>
      </c>
      <c r="AZ986" s="3" t="s">
        <v>74</v>
      </c>
      <c r="BB986" s="3" t="s">
        <v>12801</v>
      </c>
      <c r="BC986" s="3" t="s">
        <v>12802</v>
      </c>
      <c r="BD986" s="3" t="s">
        <v>12803</v>
      </c>
    </row>
    <row r="987" spans="1:56" ht="42.75" customHeight="1" x14ac:dyDescent="0.25">
      <c r="A987" s="7" t="s">
        <v>58</v>
      </c>
      <c r="B987" s="2" t="s">
        <v>12804</v>
      </c>
      <c r="C987" s="2" t="s">
        <v>12805</v>
      </c>
      <c r="D987" s="2" t="s">
        <v>12806</v>
      </c>
      <c r="F987" s="3" t="s">
        <v>58</v>
      </c>
      <c r="G987" s="3" t="s">
        <v>59</v>
      </c>
      <c r="H987" s="3" t="s">
        <v>58</v>
      </c>
      <c r="I987" s="3" t="s">
        <v>58</v>
      </c>
      <c r="J987" s="3" t="s">
        <v>60</v>
      </c>
      <c r="K987" s="2" t="s">
        <v>12807</v>
      </c>
      <c r="L987" s="2" t="s">
        <v>12808</v>
      </c>
      <c r="M987" s="3" t="s">
        <v>177</v>
      </c>
      <c r="N987" s="2" t="s">
        <v>3823</v>
      </c>
      <c r="O987" s="3" t="s">
        <v>64</v>
      </c>
      <c r="P987" s="3" t="s">
        <v>115</v>
      </c>
      <c r="R987" s="3" t="s">
        <v>67</v>
      </c>
      <c r="S987" s="4">
        <v>5</v>
      </c>
      <c r="T987" s="4">
        <v>5</v>
      </c>
      <c r="U987" s="5" t="s">
        <v>8809</v>
      </c>
      <c r="V987" s="5" t="s">
        <v>8809</v>
      </c>
      <c r="W987" s="5" t="s">
        <v>12809</v>
      </c>
      <c r="X987" s="5" t="s">
        <v>12809</v>
      </c>
      <c r="Y987" s="4">
        <v>446</v>
      </c>
      <c r="Z987" s="4">
        <v>401</v>
      </c>
      <c r="AA987" s="4">
        <v>442</v>
      </c>
      <c r="AB987" s="4">
        <v>2</v>
      </c>
      <c r="AC987" s="4">
        <v>2</v>
      </c>
      <c r="AD987" s="4">
        <v>8</v>
      </c>
      <c r="AE987" s="4">
        <v>10</v>
      </c>
      <c r="AF987" s="4">
        <v>4</v>
      </c>
      <c r="AG987" s="4">
        <v>5</v>
      </c>
      <c r="AH987" s="4">
        <v>2</v>
      </c>
      <c r="AI987" s="4">
        <v>2</v>
      </c>
      <c r="AJ987" s="4">
        <v>4</v>
      </c>
      <c r="AK987" s="4">
        <v>5</v>
      </c>
      <c r="AL987" s="4">
        <v>1</v>
      </c>
      <c r="AM987" s="4">
        <v>1</v>
      </c>
      <c r="AN987" s="4">
        <v>0</v>
      </c>
      <c r="AO987" s="4">
        <v>0</v>
      </c>
      <c r="AP987" s="3" t="s">
        <v>58</v>
      </c>
      <c r="AQ987" s="3" t="s">
        <v>86</v>
      </c>
      <c r="AR987" s="6" t="str">
        <f>HYPERLINK("http://catalog.hathitrust.org/Record/001565025","HathiTrust Record")</f>
        <v>HathiTrust Record</v>
      </c>
      <c r="AS987" s="6" t="str">
        <f>HYPERLINK("https://creighton-primo.hosted.exlibrisgroup.com/primo-explore/search?tab=default_tab&amp;search_scope=EVERYTHING&amp;vid=01CRU&amp;lang=en_US&amp;offset=0&amp;query=any,contains,991002759519702656","Catalog Record")</f>
        <v>Catalog Record</v>
      </c>
      <c r="AT987" s="6" t="str">
        <f>HYPERLINK("http://www.worldcat.org/oclc/427451","WorldCat Record")</f>
        <v>WorldCat Record</v>
      </c>
      <c r="AU987" s="3" t="s">
        <v>12810</v>
      </c>
      <c r="AV987" s="3" t="s">
        <v>12811</v>
      </c>
      <c r="AW987" s="3" t="s">
        <v>12812</v>
      </c>
      <c r="AX987" s="3" t="s">
        <v>12812</v>
      </c>
      <c r="AY987" s="3" t="s">
        <v>12813</v>
      </c>
      <c r="AZ987" s="3" t="s">
        <v>74</v>
      </c>
      <c r="BB987" s="3" t="s">
        <v>12814</v>
      </c>
      <c r="BC987" s="3" t="s">
        <v>12815</v>
      </c>
      <c r="BD987" s="3" t="s">
        <v>12816</v>
      </c>
    </row>
    <row r="988" spans="1:56" ht="42.75" customHeight="1" x14ac:dyDescent="0.25">
      <c r="A988" s="7" t="s">
        <v>58</v>
      </c>
      <c r="B988" s="2" t="s">
        <v>12817</v>
      </c>
      <c r="C988" s="2" t="s">
        <v>12818</v>
      </c>
      <c r="D988" s="2" t="s">
        <v>12819</v>
      </c>
      <c r="F988" s="3" t="s">
        <v>58</v>
      </c>
      <c r="G988" s="3" t="s">
        <v>59</v>
      </c>
      <c r="H988" s="3" t="s">
        <v>58</v>
      </c>
      <c r="I988" s="3" t="s">
        <v>58</v>
      </c>
      <c r="J988" s="3" t="s">
        <v>60</v>
      </c>
      <c r="L988" s="2" t="s">
        <v>12820</v>
      </c>
      <c r="M988" s="3" t="s">
        <v>82</v>
      </c>
      <c r="O988" s="3" t="s">
        <v>64</v>
      </c>
      <c r="P988" s="3" t="s">
        <v>115</v>
      </c>
      <c r="Q988" s="2" t="s">
        <v>12821</v>
      </c>
      <c r="R988" s="3" t="s">
        <v>67</v>
      </c>
      <c r="S988" s="4">
        <v>11</v>
      </c>
      <c r="T988" s="4">
        <v>11</v>
      </c>
      <c r="U988" s="5" t="s">
        <v>12325</v>
      </c>
      <c r="V988" s="5" t="s">
        <v>12325</v>
      </c>
      <c r="W988" s="5" t="s">
        <v>4730</v>
      </c>
      <c r="X988" s="5" t="s">
        <v>4730</v>
      </c>
      <c r="Y988" s="4">
        <v>287</v>
      </c>
      <c r="Z988" s="4">
        <v>236</v>
      </c>
      <c r="AA988" s="4">
        <v>236</v>
      </c>
      <c r="AB988" s="4">
        <v>2</v>
      </c>
      <c r="AC988" s="4">
        <v>2</v>
      </c>
      <c r="AD988" s="4">
        <v>12</v>
      </c>
      <c r="AE988" s="4">
        <v>12</v>
      </c>
      <c r="AF988" s="4">
        <v>3</v>
      </c>
      <c r="AG988" s="4">
        <v>3</v>
      </c>
      <c r="AH988" s="4">
        <v>3</v>
      </c>
      <c r="AI988" s="4">
        <v>3</v>
      </c>
      <c r="AJ988" s="4">
        <v>10</v>
      </c>
      <c r="AK988" s="4">
        <v>10</v>
      </c>
      <c r="AL988" s="4">
        <v>1</v>
      </c>
      <c r="AM988" s="4">
        <v>1</v>
      </c>
      <c r="AN988" s="4">
        <v>0</v>
      </c>
      <c r="AO988" s="4">
        <v>0</v>
      </c>
      <c r="AP988" s="3" t="s">
        <v>58</v>
      </c>
      <c r="AQ988" s="3" t="s">
        <v>58</v>
      </c>
      <c r="AS988" s="6" t="str">
        <f>HYPERLINK("https://creighton-primo.hosted.exlibrisgroup.com/primo-explore/search?tab=default_tab&amp;search_scope=EVERYTHING&amp;vid=01CRU&amp;lang=en_US&amp;offset=0&amp;query=any,contains,991001069999702656","Catalog Record")</f>
        <v>Catalog Record</v>
      </c>
      <c r="AT988" s="6" t="str">
        <f>HYPERLINK("http://www.worldcat.org/oclc/15860201","WorldCat Record")</f>
        <v>WorldCat Record</v>
      </c>
      <c r="AU988" s="3" t="s">
        <v>12822</v>
      </c>
      <c r="AV988" s="3" t="s">
        <v>12823</v>
      </c>
      <c r="AW988" s="3" t="s">
        <v>12824</v>
      </c>
      <c r="AX988" s="3" t="s">
        <v>12824</v>
      </c>
      <c r="AY988" s="3" t="s">
        <v>12825</v>
      </c>
      <c r="AZ988" s="3" t="s">
        <v>74</v>
      </c>
      <c r="BB988" s="3" t="s">
        <v>12826</v>
      </c>
      <c r="BC988" s="3" t="s">
        <v>12827</v>
      </c>
      <c r="BD988" s="3" t="s">
        <v>12828</v>
      </c>
    </row>
    <row r="989" spans="1:56" ht="42.75" customHeight="1" x14ac:dyDescent="0.25">
      <c r="A989" s="7" t="s">
        <v>58</v>
      </c>
      <c r="B989" s="2" t="s">
        <v>12829</v>
      </c>
      <c r="C989" s="2" t="s">
        <v>12830</v>
      </c>
      <c r="D989" s="2" t="s">
        <v>12831</v>
      </c>
      <c r="F989" s="3" t="s">
        <v>58</v>
      </c>
      <c r="G989" s="3" t="s">
        <v>59</v>
      </c>
      <c r="H989" s="3" t="s">
        <v>58</v>
      </c>
      <c r="I989" s="3" t="s">
        <v>58</v>
      </c>
      <c r="J989" s="3" t="s">
        <v>60</v>
      </c>
      <c r="L989" s="2" t="s">
        <v>12832</v>
      </c>
      <c r="M989" s="3" t="s">
        <v>586</v>
      </c>
      <c r="O989" s="3" t="s">
        <v>64</v>
      </c>
      <c r="P989" s="3" t="s">
        <v>1654</v>
      </c>
      <c r="R989" s="3" t="s">
        <v>67</v>
      </c>
      <c r="S989" s="4">
        <v>71</v>
      </c>
      <c r="T989" s="4">
        <v>71</v>
      </c>
      <c r="U989" s="5" t="s">
        <v>3875</v>
      </c>
      <c r="V989" s="5" t="s">
        <v>3875</v>
      </c>
      <c r="W989" s="5" t="s">
        <v>12833</v>
      </c>
      <c r="X989" s="5" t="s">
        <v>12833</v>
      </c>
      <c r="Y989" s="4">
        <v>103</v>
      </c>
      <c r="Z989" s="4">
        <v>55</v>
      </c>
      <c r="AA989" s="4">
        <v>64</v>
      </c>
      <c r="AB989" s="4">
        <v>3</v>
      </c>
      <c r="AC989" s="4">
        <v>3</v>
      </c>
      <c r="AD989" s="4">
        <v>3</v>
      </c>
      <c r="AE989" s="4">
        <v>3</v>
      </c>
      <c r="AF989" s="4">
        <v>1</v>
      </c>
      <c r="AG989" s="4">
        <v>1</v>
      </c>
      <c r="AH989" s="4">
        <v>0</v>
      </c>
      <c r="AI989" s="4">
        <v>0</v>
      </c>
      <c r="AJ989" s="4">
        <v>1</v>
      </c>
      <c r="AK989" s="4">
        <v>1</v>
      </c>
      <c r="AL989" s="4">
        <v>1</v>
      </c>
      <c r="AM989" s="4">
        <v>1</v>
      </c>
      <c r="AN989" s="4">
        <v>0</v>
      </c>
      <c r="AO989" s="4">
        <v>0</v>
      </c>
      <c r="AP989" s="3" t="s">
        <v>58</v>
      </c>
      <c r="AQ989" s="3" t="s">
        <v>58</v>
      </c>
      <c r="AS989" s="6" t="str">
        <f>HYPERLINK("https://creighton-primo.hosted.exlibrisgroup.com/primo-explore/search?tab=default_tab&amp;search_scope=EVERYTHING&amp;vid=01CRU&amp;lang=en_US&amp;offset=0&amp;query=any,contains,991001898329702656","Catalog Record")</f>
        <v>Catalog Record</v>
      </c>
      <c r="AT989" s="6" t="str">
        <f>HYPERLINK("http://www.worldcat.org/oclc/23975272","WorldCat Record")</f>
        <v>WorldCat Record</v>
      </c>
      <c r="AU989" s="3" t="s">
        <v>12834</v>
      </c>
      <c r="AV989" s="3" t="s">
        <v>12835</v>
      </c>
      <c r="AW989" s="3" t="s">
        <v>12836</v>
      </c>
      <c r="AX989" s="3" t="s">
        <v>12836</v>
      </c>
      <c r="AY989" s="3" t="s">
        <v>12837</v>
      </c>
      <c r="AZ989" s="3" t="s">
        <v>74</v>
      </c>
      <c r="BB989" s="3" t="s">
        <v>12838</v>
      </c>
      <c r="BC989" s="3" t="s">
        <v>12839</v>
      </c>
      <c r="BD989" s="3" t="s">
        <v>12840</v>
      </c>
    </row>
    <row r="990" spans="1:56" ht="42.75" customHeight="1" x14ac:dyDescent="0.25">
      <c r="A990" s="7" t="s">
        <v>58</v>
      </c>
      <c r="B990" s="2" t="s">
        <v>12841</v>
      </c>
      <c r="C990" s="2" t="s">
        <v>12842</v>
      </c>
      <c r="D990" s="2" t="s">
        <v>12843</v>
      </c>
      <c r="F990" s="3" t="s">
        <v>58</v>
      </c>
      <c r="G990" s="3" t="s">
        <v>59</v>
      </c>
      <c r="H990" s="3" t="s">
        <v>58</v>
      </c>
      <c r="I990" s="3" t="s">
        <v>58</v>
      </c>
      <c r="J990" s="3" t="s">
        <v>60</v>
      </c>
      <c r="L990" s="2" t="s">
        <v>5966</v>
      </c>
      <c r="M990" s="3" t="s">
        <v>1035</v>
      </c>
      <c r="N990" s="2" t="s">
        <v>1736</v>
      </c>
      <c r="O990" s="3" t="s">
        <v>64</v>
      </c>
      <c r="P990" s="3" t="s">
        <v>145</v>
      </c>
      <c r="R990" s="3" t="s">
        <v>67</v>
      </c>
      <c r="S990" s="4">
        <v>11</v>
      </c>
      <c r="T990" s="4">
        <v>11</v>
      </c>
      <c r="U990" s="5" t="s">
        <v>12844</v>
      </c>
      <c r="V990" s="5" t="s">
        <v>12844</v>
      </c>
      <c r="W990" s="5" t="s">
        <v>12845</v>
      </c>
      <c r="X990" s="5" t="s">
        <v>12845</v>
      </c>
      <c r="Y990" s="4">
        <v>439</v>
      </c>
      <c r="Z990" s="4">
        <v>367</v>
      </c>
      <c r="AA990" s="4">
        <v>444</v>
      </c>
      <c r="AB990" s="4">
        <v>4</v>
      </c>
      <c r="AC990" s="4">
        <v>5</v>
      </c>
      <c r="AD990" s="4">
        <v>17</v>
      </c>
      <c r="AE990" s="4">
        <v>23</v>
      </c>
      <c r="AF990" s="4">
        <v>5</v>
      </c>
      <c r="AG990" s="4">
        <v>7</v>
      </c>
      <c r="AH990" s="4">
        <v>5</v>
      </c>
      <c r="AI990" s="4">
        <v>5</v>
      </c>
      <c r="AJ990" s="4">
        <v>8</v>
      </c>
      <c r="AK990" s="4">
        <v>11</v>
      </c>
      <c r="AL990" s="4">
        <v>3</v>
      </c>
      <c r="AM990" s="4">
        <v>4</v>
      </c>
      <c r="AN990" s="4">
        <v>0</v>
      </c>
      <c r="AO990" s="4">
        <v>0</v>
      </c>
      <c r="AP990" s="3" t="s">
        <v>58</v>
      </c>
      <c r="AQ990" s="3" t="s">
        <v>58</v>
      </c>
      <c r="AS990" s="6" t="str">
        <f>HYPERLINK("https://creighton-primo.hosted.exlibrisgroup.com/primo-explore/search?tab=default_tab&amp;search_scope=EVERYTHING&amp;vid=01CRU&amp;lang=en_US&amp;offset=0&amp;query=any,contains,991003978089702656","Catalog Record")</f>
        <v>Catalog Record</v>
      </c>
      <c r="AT990" s="6" t="str">
        <f>HYPERLINK("http://www.worldcat.org/oclc/45667667","WorldCat Record")</f>
        <v>WorldCat Record</v>
      </c>
      <c r="AU990" s="3" t="s">
        <v>12846</v>
      </c>
      <c r="AV990" s="3" t="s">
        <v>12847</v>
      </c>
      <c r="AW990" s="3" t="s">
        <v>12848</v>
      </c>
      <c r="AX990" s="3" t="s">
        <v>12848</v>
      </c>
      <c r="AY990" s="3" t="s">
        <v>12849</v>
      </c>
      <c r="AZ990" s="3" t="s">
        <v>74</v>
      </c>
      <c r="BB990" s="3" t="s">
        <v>12850</v>
      </c>
      <c r="BC990" s="3" t="s">
        <v>12851</v>
      </c>
      <c r="BD990" s="3" t="s">
        <v>12852</v>
      </c>
    </row>
    <row r="991" spans="1:56" ht="42.75" customHeight="1" x14ac:dyDescent="0.25">
      <c r="A991" s="7" t="s">
        <v>58</v>
      </c>
      <c r="B991" s="2" t="s">
        <v>12853</v>
      </c>
      <c r="C991" s="2" t="s">
        <v>12854</v>
      </c>
      <c r="D991" s="2" t="s">
        <v>12855</v>
      </c>
      <c r="F991" s="3" t="s">
        <v>58</v>
      </c>
      <c r="G991" s="3" t="s">
        <v>59</v>
      </c>
      <c r="H991" s="3" t="s">
        <v>58</v>
      </c>
      <c r="I991" s="3" t="s">
        <v>58</v>
      </c>
      <c r="J991" s="3" t="s">
        <v>60</v>
      </c>
      <c r="K991" s="2" t="s">
        <v>7856</v>
      </c>
      <c r="L991" s="2" t="s">
        <v>12856</v>
      </c>
      <c r="M991" s="3" t="s">
        <v>8834</v>
      </c>
      <c r="N991" s="2" t="s">
        <v>3823</v>
      </c>
      <c r="O991" s="3" t="s">
        <v>64</v>
      </c>
      <c r="P991" s="3" t="s">
        <v>115</v>
      </c>
      <c r="R991" s="3" t="s">
        <v>67</v>
      </c>
      <c r="S991" s="4">
        <v>8</v>
      </c>
      <c r="T991" s="4">
        <v>8</v>
      </c>
      <c r="U991" s="5" t="s">
        <v>12857</v>
      </c>
      <c r="V991" s="5" t="s">
        <v>12857</v>
      </c>
      <c r="W991" s="5" t="s">
        <v>6584</v>
      </c>
      <c r="X991" s="5" t="s">
        <v>6584</v>
      </c>
      <c r="Y991" s="4">
        <v>643</v>
      </c>
      <c r="Z991" s="4">
        <v>571</v>
      </c>
      <c r="AA991" s="4">
        <v>730</v>
      </c>
      <c r="AB991" s="4">
        <v>3</v>
      </c>
      <c r="AC991" s="4">
        <v>3</v>
      </c>
      <c r="AD991" s="4">
        <v>25</v>
      </c>
      <c r="AE991" s="4">
        <v>30</v>
      </c>
      <c r="AF991" s="4">
        <v>9</v>
      </c>
      <c r="AG991" s="4">
        <v>11</v>
      </c>
      <c r="AH991" s="4">
        <v>5</v>
      </c>
      <c r="AI991" s="4">
        <v>7</v>
      </c>
      <c r="AJ991" s="4">
        <v>17</v>
      </c>
      <c r="AK991" s="4">
        <v>19</v>
      </c>
      <c r="AL991" s="4">
        <v>2</v>
      </c>
      <c r="AM991" s="4">
        <v>2</v>
      </c>
      <c r="AN991" s="4">
        <v>0</v>
      </c>
      <c r="AO991" s="4">
        <v>0</v>
      </c>
      <c r="AP991" s="3" t="s">
        <v>58</v>
      </c>
      <c r="AQ991" s="3" t="s">
        <v>86</v>
      </c>
      <c r="AR991" s="6" t="str">
        <f>HYPERLINK("http://catalog.hathitrust.org/Record/000003196","HathiTrust Record")</f>
        <v>HathiTrust Record</v>
      </c>
      <c r="AS991" s="6" t="str">
        <f>HYPERLINK("https://creighton-primo.hosted.exlibrisgroup.com/primo-explore/search?tab=default_tab&amp;search_scope=EVERYTHING&amp;vid=01CRU&amp;lang=en_US&amp;offset=0&amp;query=any,contains,991001289449702656","Catalog Record")</f>
        <v>Catalog Record</v>
      </c>
      <c r="AT991" s="6" t="str">
        <f>HYPERLINK("http://www.worldcat.org/oclc/217699","WorldCat Record")</f>
        <v>WorldCat Record</v>
      </c>
      <c r="AU991" s="3" t="s">
        <v>12858</v>
      </c>
      <c r="AV991" s="3" t="s">
        <v>12859</v>
      </c>
      <c r="AW991" s="3" t="s">
        <v>12860</v>
      </c>
      <c r="AX991" s="3" t="s">
        <v>12860</v>
      </c>
      <c r="AY991" s="3" t="s">
        <v>12861</v>
      </c>
      <c r="AZ991" s="3" t="s">
        <v>74</v>
      </c>
      <c r="BC991" s="3" t="s">
        <v>12862</v>
      </c>
      <c r="BD991" s="3" t="s">
        <v>12863</v>
      </c>
    </row>
    <row r="992" spans="1:56" ht="42.75" customHeight="1" x14ac:dyDescent="0.25">
      <c r="A992" s="7" t="s">
        <v>58</v>
      </c>
      <c r="B992" s="2" t="s">
        <v>12864</v>
      </c>
      <c r="C992" s="2" t="s">
        <v>12865</v>
      </c>
      <c r="D992" s="2" t="s">
        <v>12866</v>
      </c>
      <c r="F992" s="3" t="s">
        <v>58</v>
      </c>
      <c r="G992" s="3" t="s">
        <v>59</v>
      </c>
      <c r="H992" s="3" t="s">
        <v>86</v>
      </c>
      <c r="I992" s="3" t="s">
        <v>58</v>
      </c>
      <c r="J992" s="3" t="s">
        <v>60</v>
      </c>
      <c r="K992" s="2" t="s">
        <v>5380</v>
      </c>
      <c r="L992" s="2" t="s">
        <v>7943</v>
      </c>
      <c r="M992" s="3" t="s">
        <v>3914</v>
      </c>
      <c r="O992" s="3" t="s">
        <v>64</v>
      </c>
      <c r="P992" s="3" t="s">
        <v>115</v>
      </c>
      <c r="R992" s="3" t="s">
        <v>67</v>
      </c>
      <c r="S992" s="4">
        <v>5</v>
      </c>
      <c r="T992" s="4">
        <v>8</v>
      </c>
      <c r="U992" s="5" t="s">
        <v>4220</v>
      </c>
      <c r="V992" s="5" t="s">
        <v>4220</v>
      </c>
      <c r="W992" s="5" t="s">
        <v>7263</v>
      </c>
      <c r="X992" s="5" t="s">
        <v>7263</v>
      </c>
      <c r="Y992" s="4">
        <v>701</v>
      </c>
      <c r="Z992" s="4">
        <v>629</v>
      </c>
      <c r="AA992" s="4">
        <v>728</v>
      </c>
      <c r="AB992" s="4">
        <v>3</v>
      </c>
      <c r="AC992" s="4">
        <v>3</v>
      </c>
      <c r="AD992" s="4">
        <v>24</v>
      </c>
      <c r="AE992" s="4">
        <v>24</v>
      </c>
      <c r="AF992" s="4">
        <v>8</v>
      </c>
      <c r="AG992" s="4">
        <v>8</v>
      </c>
      <c r="AH992" s="4">
        <v>5</v>
      </c>
      <c r="AI992" s="4">
        <v>5</v>
      </c>
      <c r="AJ992" s="4">
        <v>15</v>
      </c>
      <c r="AK992" s="4">
        <v>15</v>
      </c>
      <c r="AL992" s="4">
        <v>1</v>
      </c>
      <c r="AM992" s="4">
        <v>1</v>
      </c>
      <c r="AN992" s="4">
        <v>1</v>
      </c>
      <c r="AO992" s="4">
        <v>1</v>
      </c>
      <c r="AP992" s="3" t="s">
        <v>58</v>
      </c>
      <c r="AQ992" s="3" t="s">
        <v>86</v>
      </c>
      <c r="AR992" s="6" t="str">
        <f>HYPERLINK("http://catalog.hathitrust.org/Record/000726248","HathiTrust Record")</f>
        <v>HathiTrust Record</v>
      </c>
      <c r="AS992" s="6" t="str">
        <f>HYPERLINK("https://creighton-primo.hosted.exlibrisgroup.com/primo-explore/search?tab=default_tab&amp;search_scope=EVERYTHING&amp;vid=01CRU&amp;lang=en_US&amp;offset=0&amp;query=any,contains,991001786709702656","Catalog Record")</f>
        <v>Catalog Record</v>
      </c>
      <c r="AT992" s="6" t="str">
        <f>HYPERLINK("http://www.worldcat.org/oclc/2373464","WorldCat Record")</f>
        <v>WorldCat Record</v>
      </c>
      <c r="AU992" s="3" t="s">
        <v>12867</v>
      </c>
      <c r="AV992" s="3" t="s">
        <v>12868</v>
      </c>
      <c r="AW992" s="3" t="s">
        <v>12869</v>
      </c>
      <c r="AX992" s="3" t="s">
        <v>12869</v>
      </c>
      <c r="AY992" s="3" t="s">
        <v>12870</v>
      </c>
      <c r="AZ992" s="3" t="s">
        <v>74</v>
      </c>
      <c r="BB992" s="3" t="s">
        <v>12871</v>
      </c>
      <c r="BC992" s="3" t="s">
        <v>12872</v>
      </c>
      <c r="BD992" s="3" t="s">
        <v>12873</v>
      </c>
    </row>
    <row r="993" spans="1:56" ht="42.75" customHeight="1" x14ac:dyDescent="0.25">
      <c r="A993" s="7" t="s">
        <v>58</v>
      </c>
      <c r="B993" s="2" t="s">
        <v>12874</v>
      </c>
      <c r="C993" s="2" t="s">
        <v>12875</v>
      </c>
      <c r="D993" s="2" t="s">
        <v>12876</v>
      </c>
      <c r="F993" s="3" t="s">
        <v>58</v>
      </c>
      <c r="G993" s="3" t="s">
        <v>59</v>
      </c>
      <c r="H993" s="3" t="s">
        <v>58</v>
      </c>
      <c r="I993" s="3" t="s">
        <v>58</v>
      </c>
      <c r="J993" s="3" t="s">
        <v>60</v>
      </c>
      <c r="K993" s="2" t="s">
        <v>12877</v>
      </c>
      <c r="L993" s="2" t="s">
        <v>12878</v>
      </c>
      <c r="M993" s="3" t="s">
        <v>3215</v>
      </c>
      <c r="O993" s="3" t="s">
        <v>64</v>
      </c>
      <c r="P993" s="3" t="s">
        <v>115</v>
      </c>
      <c r="R993" s="3" t="s">
        <v>67</v>
      </c>
      <c r="S993" s="4">
        <v>4</v>
      </c>
      <c r="T993" s="4">
        <v>4</v>
      </c>
      <c r="U993" s="5" t="s">
        <v>5355</v>
      </c>
      <c r="V993" s="5" t="s">
        <v>5355</v>
      </c>
      <c r="W993" s="5" t="s">
        <v>4245</v>
      </c>
      <c r="X993" s="5" t="s">
        <v>4245</v>
      </c>
      <c r="Y993" s="4">
        <v>183</v>
      </c>
      <c r="Z993" s="4">
        <v>151</v>
      </c>
      <c r="AA993" s="4">
        <v>156</v>
      </c>
      <c r="AB993" s="4">
        <v>2</v>
      </c>
      <c r="AC993" s="4">
        <v>2</v>
      </c>
      <c r="AD993" s="4">
        <v>8</v>
      </c>
      <c r="AE993" s="4">
        <v>8</v>
      </c>
      <c r="AF993" s="4">
        <v>2</v>
      </c>
      <c r="AG993" s="4">
        <v>2</v>
      </c>
      <c r="AH993" s="4">
        <v>0</v>
      </c>
      <c r="AI993" s="4">
        <v>0</v>
      </c>
      <c r="AJ993" s="4">
        <v>5</v>
      </c>
      <c r="AK993" s="4">
        <v>5</v>
      </c>
      <c r="AL993" s="4">
        <v>1</v>
      </c>
      <c r="AM993" s="4">
        <v>1</v>
      </c>
      <c r="AN993" s="4">
        <v>0</v>
      </c>
      <c r="AO993" s="4">
        <v>0</v>
      </c>
      <c r="AP993" s="3" t="s">
        <v>58</v>
      </c>
      <c r="AQ993" s="3" t="s">
        <v>86</v>
      </c>
      <c r="AR993" s="6" t="str">
        <f>HYPERLINK("http://catalog.hathitrust.org/Record/001173786","HathiTrust Record")</f>
        <v>HathiTrust Record</v>
      </c>
      <c r="AS993" s="6" t="str">
        <f>HYPERLINK("https://creighton-primo.hosted.exlibrisgroup.com/primo-explore/search?tab=default_tab&amp;search_scope=EVERYTHING&amp;vid=01CRU&amp;lang=en_US&amp;offset=0&amp;query=any,contains,991003991179702656","Catalog Record")</f>
        <v>Catalog Record</v>
      </c>
      <c r="AT993" s="6" t="str">
        <f>HYPERLINK("http://www.worldcat.org/oclc/2046882","WorldCat Record")</f>
        <v>WorldCat Record</v>
      </c>
      <c r="AU993" s="3" t="s">
        <v>12879</v>
      </c>
      <c r="AV993" s="3" t="s">
        <v>12880</v>
      </c>
      <c r="AW993" s="3" t="s">
        <v>12881</v>
      </c>
      <c r="AX993" s="3" t="s">
        <v>12881</v>
      </c>
      <c r="AY993" s="3" t="s">
        <v>12882</v>
      </c>
      <c r="AZ993" s="3" t="s">
        <v>74</v>
      </c>
      <c r="BC993" s="3" t="s">
        <v>12883</v>
      </c>
      <c r="BD993" s="3" t="s">
        <v>12884</v>
      </c>
    </row>
    <row r="994" spans="1:56" ht="42.75" customHeight="1" x14ac:dyDescent="0.25">
      <c r="A994" s="7" t="s">
        <v>58</v>
      </c>
      <c r="B994" s="2" t="s">
        <v>12885</v>
      </c>
      <c r="C994" s="2" t="s">
        <v>12886</v>
      </c>
      <c r="D994" s="2" t="s">
        <v>12887</v>
      </c>
      <c r="F994" s="3" t="s">
        <v>58</v>
      </c>
      <c r="G994" s="3" t="s">
        <v>59</v>
      </c>
      <c r="H994" s="3" t="s">
        <v>58</v>
      </c>
      <c r="I994" s="3" t="s">
        <v>86</v>
      </c>
      <c r="J994" s="3" t="s">
        <v>60</v>
      </c>
      <c r="K994" s="2" t="s">
        <v>5649</v>
      </c>
      <c r="L994" s="2" t="s">
        <v>12888</v>
      </c>
      <c r="M994" s="3" t="s">
        <v>63</v>
      </c>
      <c r="N994" s="2" t="s">
        <v>1736</v>
      </c>
      <c r="O994" s="3" t="s">
        <v>64</v>
      </c>
      <c r="P994" s="3" t="s">
        <v>115</v>
      </c>
      <c r="R994" s="3" t="s">
        <v>67</v>
      </c>
      <c r="S994" s="4">
        <v>15</v>
      </c>
      <c r="T994" s="4">
        <v>15</v>
      </c>
      <c r="U994" s="5" t="s">
        <v>12889</v>
      </c>
      <c r="V994" s="5" t="s">
        <v>12889</v>
      </c>
      <c r="W994" s="5" t="s">
        <v>7013</v>
      </c>
      <c r="X994" s="5" t="s">
        <v>7013</v>
      </c>
      <c r="Y994" s="4">
        <v>774</v>
      </c>
      <c r="Z994" s="4">
        <v>703</v>
      </c>
      <c r="AA994" s="4">
        <v>1702</v>
      </c>
      <c r="AB994" s="4">
        <v>6</v>
      </c>
      <c r="AC994" s="4">
        <v>15</v>
      </c>
      <c r="AD994" s="4">
        <v>10</v>
      </c>
      <c r="AE994" s="4">
        <v>21</v>
      </c>
      <c r="AF994" s="4">
        <v>3</v>
      </c>
      <c r="AG994" s="4">
        <v>7</v>
      </c>
      <c r="AH994" s="4">
        <v>0</v>
      </c>
      <c r="AI994" s="4">
        <v>2</v>
      </c>
      <c r="AJ994" s="4">
        <v>6</v>
      </c>
      <c r="AK994" s="4">
        <v>10</v>
      </c>
      <c r="AL994" s="4">
        <v>1</v>
      </c>
      <c r="AM994" s="4">
        <v>4</v>
      </c>
      <c r="AN994" s="4">
        <v>0</v>
      </c>
      <c r="AO994" s="4">
        <v>0</v>
      </c>
      <c r="AP994" s="3" t="s">
        <v>58</v>
      </c>
      <c r="AQ994" s="3" t="s">
        <v>86</v>
      </c>
      <c r="AR994" s="6" t="str">
        <f>HYPERLINK("http://catalog.hathitrust.org/Record/000157005","HathiTrust Record")</f>
        <v>HathiTrust Record</v>
      </c>
      <c r="AS994" s="6" t="str">
        <f>HYPERLINK("https://creighton-primo.hosted.exlibrisgroup.com/primo-explore/search?tab=default_tab&amp;search_scope=EVERYTHING&amp;vid=01CRU&amp;lang=en_US&amp;offset=0&amp;query=any,contains,991000117979702656","Catalog Record")</f>
        <v>Catalog Record</v>
      </c>
      <c r="AT994" s="6" t="str">
        <f>HYPERLINK("http://www.worldcat.org/oclc/9045082","WorldCat Record")</f>
        <v>WorldCat Record</v>
      </c>
      <c r="AU994" s="3" t="s">
        <v>12890</v>
      </c>
      <c r="AV994" s="3" t="s">
        <v>12891</v>
      </c>
      <c r="AW994" s="3" t="s">
        <v>12892</v>
      </c>
      <c r="AX994" s="3" t="s">
        <v>12892</v>
      </c>
      <c r="AY994" s="3" t="s">
        <v>12893</v>
      </c>
      <c r="AZ994" s="3" t="s">
        <v>74</v>
      </c>
      <c r="BB994" s="3" t="s">
        <v>12894</v>
      </c>
      <c r="BC994" s="3" t="s">
        <v>12895</v>
      </c>
      <c r="BD994" s="3" t="s">
        <v>12896</v>
      </c>
    </row>
    <row r="995" spans="1:56" ht="42.75" customHeight="1" x14ac:dyDescent="0.25">
      <c r="A995" s="7" t="s">
        <v>58</v>
      </c>
      <c r="B995" s="2" t="s">
        <v>12897</v>
      </c>
      <c r="C995" s="2" t="s">
        <v>12898</v>
      </c>
      <c r="D995" s="2" t="s">
        <v>12899</v>
      </c>
      <c r="F995" s="3" t="s">
        <v>58</v>
      </c>
      <c r="G995" s="3" t="s">
        <v>59</v>
      </c>
      <c r="H995" s="3" t="s">
        <v>58</v>
      </c>
      <c r="I995" s="3" t="s">
        <v>58</v>
      </c>
      <c r="J995" s="3" t="s">
        <v>60</v>
      </c>
      <c r="K995" s="2" t="s">
        <v>8697</v>
      </c>
      <c r="L995" s="2" t="s">
        <v>12900</v>
      </c>
      <c r="M995" s="3" t="s">
        <v>3215</v>
      </c>
      <c r="O995" s="3" t="s">
        <v>64</v>
      </c>
      <c r="P995" s="3" t="s">
        <v>115</v>
      </c>
      <c r="R995" s="3" t="s">
        <v>67</v>
      </c>
      <c r="S995" s="4">
        <v>7</v>
      </c>
      <c r="T995" s="4">
        <v>7</v>
      </c>
      <c r="U995" s="5" t="s">
        <v>4220</v>
      </c>
      <c r="V995" s="5" t="s">
        <v>4220</v>
      </c>
      <c r="W995" s="5" t="s">
        <v>12809</v>
      </c>
      <c r="X995" s="5" t="s">
        <v>12809</v>
      </c>
      <c r="Y995" s="4">
        <v>502</v>
      </c>
      <c r="Z995" s="4">
        <v>406</v>
      </c>
      <c r="AA995" s="4">
        <v>452</v>
      </c>
      <c r="AB995" s="4">
        <v>4</v>
      </c>
      <c r="AC995" s="4">
        <v>4</v>
      </c>
      <c r="AD995" s="4">
        <v>25</v>
      </c>
      <c r="AE995" s="4">
        <v>25</v>
      </c>
      <c r="AF995" s="4">
        <v>10</v>
      </c>
      <c r="AG995" s="4">
        <v>10</v>
      </c>
      <c r="AH995" s="4">
        <v>6</v>
      </c>
      <c r="AI995" s="4">
        <v>6</v>
      </c>
      <c r="AJ995" s="4">
        <v>14</v>
      </c>
      <c r="AK995" s="4">
        <v>14</v>
      </c>
      <c r="AL995" s="4">
        <v>3</v>
      </c>
      <c r="AM995" s="4">
        <v>3</v>
      </c>
      <c r="AN995" s="4">
        <v>0</v>
      </c>
      <c r="AO995" s="4">
        <v>0</v>
      </c>
      <c r="AP995" s="3" t="s">
        <v>58</v>
      </c>
      <c r="AQ995" s="3" t="s">
        <v>86</v>
      </c>
      <c r="AR995" s="6" t="str">
        <f>HYPERLINK("http://catalog.hathitrust.org/Record/000262436","HathiTrust Record")</f>
        <v>HathiTrust Record</v>
      </c>
      <c r="AS995" s="6" t="str">
        <f>HYPERLINK("https://creighton-primo.hosted.exlibrisgroup.com/primo-explore/search?tab=default_tab&amp;search_scope=EVERYTHING&amp;vid=01CRU&amp;lang=en_US&amp;offset=0&amp;query=any,contains,991002429329702656","Catalog Record")</f>
        <v>Catalog Record</v>
      </c>
      <c r="AT995" s="6" t="str">
        <f>HYPERLINK("http://www.worldcat.org/oclc/346268","WorldCat Record")</f>
        <v>WorldCat Record</v>
      </c>
      <c r="AU995" s="3" t="s">
        <v>12901</v>
      </c>
      <c r="AV995" s="3" t="s">
        <v>12902</v>
      </c>
      <c r="AW995" s="3" t="s">
        <v>12903</v>
      </c>
      <c r="AX995" s="3" t="s">
        <v>12903</v>
      </c>
      <c r="AY995" s="3" t="s">
        <v>12904</v>
      </c>
      <c r="AZ995" s="3" t="s">
        <v>74</v>
      </c>
      <c r="BC995" s="3" t="s">
        <v>12905</v>
      </c>
      <c r="BD995" s="3" t="s">
        <v>12906</v>
      </c>
    </row>
    <row r="996" spans="1:56" ht="42.75" customHeight="1" x14ac:dyDescent="0.25">
      <c r="A996" s="7" t="s">
        <v>58</v>
      </c>
      <c r="B996" s="2" t="s">
        <v>12907</v>
      </c>
      <c r="C996" s="2" t="s">
        <v>12908</v>
      </c>
      <c r="D996" s="2" t="s">
        <v>12909</v>
      </c>
      <c r="F996" s="3" t="s">
        <v>58</v>
      </c>
      <c r="G996" s="3" t="s">
        <v>59</v>
      </c>
      <c r="H996" s="3" t="s">
        <v>58</v>
      </c>
      <c r="I996" s="3" t="s">
        <v>58</v>
      </c>
      <c r="J996" s="3" t="s">
        <v>60</v>
      </c>
      <c r="K996" s="2" t="s">
        <v>12373</v>
      </c>
      <c r="L996" s="2" t="s">
        <v>12910</v>
      </c>
      <c r="M996" s="3" t="s">
        <v>3822</v>
      </c>
      <c r="O996" s="3" t="s">
        <v>64</v>
      </c>
      <c r="P996" s="3" t="s">
        <v>115</v>
      </c>
      <c r="R996" s="3" t="s">
        <v>67</v>
      </c>
      <c r="S996" s="4">
        <v>29</v>
      </c>
      <c r="T996" s="4">
        <v>29</v>
      </c>
      <c r="U996" s="5" t="s">
        <v>12911</v>
      </c>
      <c r="V996" s="5" t="s">
        <v>12911</v>
      </c>
      <c r="W996" s="5" t="s">
        <v>12912</v>
      </c>
      <c r="X996" s="5" t="s">
        <v>12912</v>
      </c>
      <c r="Y996" s="4">
        <v>248</v>
      </c>
      <c r="Z996" s="4">
        <v>210</v>
      </c>
      <c r="AA996" s="4">
        <v>222</v>
      </c>
      <c r="AB996" s="4">
        <v>3</v>
      </c>
      <c r="AC996" s="4">
        <v>3</v>
      </c>
      <c r="AD996" s="4">
        <v>9</v>
      </c>
      <c r="AE996" s="4">
        <v>10</v>
      </c>
      <c r="AF996" s="4">
        <v>1</v>
      </c>
      <c r="AG996" s="4">
        <v>2</v>
      </c>
      <c r="AH996" s="4">
        <v>3</v>
      </c>
      <c r="AI996" s="4">
        <v>3</v>
      </c>
      <c r="AJ996" s="4">
        <v>4</v>
      </c>
      <c r="AK996" s="4">
        <v>4</v>
      </c>
      <c r="AL996" s="4">
        <v>1</v>
      </c>
      <c r="AM996" s="4">
        <v>1</v>
      </c>
      <c r="AN996" s="4">
        <v>0</v>
      </c>
      <c r="AO996" s="4">
        <v>0</v>
      </c>
      <c r="AP996" s="3" t="s">
        <v>86</v>
      </c>
      <c r="AQ996" s="3" t="s">
        <v>58</v>
      </c>
      <c r="AR996" s="6" t="str">
        <f>HYPERLINK("http://catalog.hathitrust.org/Record/000621006","HathiTrust Record")</f>
        <v>HathiTrust Record</v>
      </c>
      <c r="AS996" s="6" t="str">
        <f>HYPERLINK("https://creighton-primo.hosted.exlibrisgroup.com/primo-explore/search?tab=default_tab&amp;search_scope=EVERYTHING&amp;vid=01CRU&amp;lang=en_US&amp;offset=0&amp;query=any,contains,991000948029702656","Catalog Record")</f>
        <v>Catalog Record</v>
      </c>
      <c r="AT996" s="6" t="str">
        <f>HYPERLINK("http://www.worldcat.org/oclc/167430","WorldCat Record")</f>
        <v>WorldCat Record</v>
      </c>
      <c r="AU996" s="3" t="s">
        <v>12913</v>
      </c>
      <c r="AV996" s="3" t="s">
        <v>12914</v>
      </c>
      <c r="AW996" s="3" t="s">
        <v>12915</v>
      </c>
      <c r="AX996" s="3" t="s">
        <v>12915</v>
      </c>
      <c r="AY996" s="3" t="s">
        <v>12916</v>
      </c>
      <c r="AZ996" s="3" t="s">
        <v>74</v>
      </c>
      <c r="BC996" s="3" t="s">
        <v>12917</v>
      </c>
      <c r="BD996" s="3" t="s">
        <v>12918</v>
      </c>
    </row>
    <row r="997" spans="1:56" ht="42.75" customHeight="1" x14ac:dyDescent="0.25">
      <c r="A997" s="7" t="s">
        <v>58</v>
      </c>
      <c r="B997" s="2" t="s">
        <v>12919</v>
      </c>
      <c r="C997" s="2" t="s">
        <v>12920</v>
      </c>
      <c r="D997" s="2" t="s">
        <v>12921</v>
      </c>
      <c r="F997" s="3" t="s">
        <v>58</v>
      </c>
      <c r="G997" s="3" t="s">
        <v>59</v>
      </c>
      <c r="H997" s="3" t="s">
        <v>58</v>
      </c>
      <c r="I997" s="3" t="s">
        <v>58</v>
      </c>
      <c r="J997" s="3" t="s">
        <v>60</v>
      </c>
      <c r="K997" s="2" t="s">
        <v>12922</v>
      </c>
      <c r="L997" s="2" t="s">
        <v>12923</v>
      </c>
      <c r="M997" s="3" t="s">
        <v>314</v>
      </c>
      <c r="O997" s="3" t="s">
        <v>64</v>
      </c>
      <c r="P997" s="3" t="s">
        <v>65</v>
      </c>
      <c r="Q997" s="2" t="s">
        <v>12924</v>
      </c>
      <c r="R997" s="3" t="s">
        <v>67</v>
      </c>
      <c r="S997" s="4">
        <v>26</v>
      </c>
      <c r="T997" s="4">
        <v>26</v>
      </c>
      <c r="U997" s="5" t="s">
        <v>12911</v>
      </c>
      <c r="V997" s="5" t="s">
        <v>12911</v>
      </c>
      <c r="W997" s="5" t="s">
        <v>12912</v>
      </c>
      <c r="X997" s="5" t="s">
        <v>12912</v>
      </c>
      <c r="Y997" s="4">
        <v>242</v>
      </c>
      <c r="Z997" s="4">
        <v>164</v>
      </c>
      <c r="AA997" s="4">
        <v>166</v>
      </c>
      <c r="AB997" s="4">
        <v>2</v>
      </c>
      <c r="AC997" s="4">
        <v>2</v>
      </c>
      <c r="AD997" s="4">
        <v>3</v>
      </c>
      <c r="AE997" s="4">
        <v>3</v>
      </c>
      <c r="AF997" s="4">
        <v>0</v>
      </c>
      <c r="AG997" s="4">
        <v>0</v>
      </c>
      <c r="AH997" s="4">
        <v>0</v>
      </c>
      <c r="AI997" s="4">
        <v>0</v>
      </c>
      <c r="AJ997" s="4">
        <v>2</v>
      </c>
      <c r="AK997" s="4">
        <v>2</v>
      </c>
      <c r="AL997" s="4">
        <v>1</v>
      </c>
      <c r="AM997" s="4">
        <v>1</v>
      </c>
      <c r="AN997" s="4">
        <v>0</v>
      </c>
      <c r="AO997" s="4">
        <v>0</v>
      </c>
      <c r="AP997" s="3" t="s">
        <v>58</v>
      </c>
      <c r="AQ997" s="3" t="s">
        <v>86</v>
      </c>
      <c r="AR997" s="6" t="str">
        <f>HYPERLINK("http://catalog.hathitrust.org/Record/001565055","HathiTrust Record")</f>
        <v>HathiTrust Record</v>
      </c>
      <c r="AS997" s="6" t="str">
        <f>HYPERLINK("https://creighton-primo.hosted.exlibrisgroup.com/primo-explore/search?tab=default_tab&amp;search_scope=EVERYTHING&amp;vid=01CRU&amp;lang=en_US&amp;offset=0&amp;query=any,contains,991002818649702656","Catalog Record")</f>
        <v>Catalog Record</v>
      </c>
      <c r="AT997" s="6" t="str">
        <f>HYPERLINK("http://www.worldcat.org/oclc/464521","WorldCat Record")</f>
        <v>WorldCat Record</v>
      </c>
      <c r="AU997" s="3" t="s">
        <v>12925</v>
      </c>
      <c r="AV997" s="3" t="s">
        <v>12926</v>
      </c>
      <c r="AW997" s="3" t="s">
        <v>12927</v>
      </c>
      <c r="AX997" s="3" t="s">
        <v>12927</v>
      </c>
      <c r="AY997" s="3" t="s">
        <v>12928</v>
      </c>
      <c r="AZ997" s="3" t="s">
        <v>74</v>
      </c>
      <c r="BC997" s="3" t="s">
        <v>12929</v>
      </c>
      <c r="BD997" s="3" t="s">
        <v>12930</v>
      </c>
    </row>
    <row r="998" spans="1:56" ht="42.75" customHeight="1" x14ac:dyDescent="0.25">
      <c r="A998" s="7" t="s">
        <v>58</v>
      </c>
      <c r="B998" s="2" t="s">
        <v>12931</v>
      </c>
      <c r="C998" s="2" t="s">
        <v>12932</v>
      </c>
      <c r="D998" s="2" t="s">
        <v>12933</v>
      </c>
      <c r="F998" s="3" t="s">
        <v>58</v>
      </c>
      <c r="G998" s="3" t="s">
        <v>59</v>
      </c>
      <c r="H998" s="3" t="s">
        <v>58</v>
      </c>
      <c r="I998" s="3" t="s">
        <v>58</v>
      </c>
      <c r="J998" s="3" t="s">
        <v>60</v>
      </c>
      <c r="K998" s="2" t="s">
        <v>12934</v>
      </c>
      <c r="L998" s="2" t="s">
        <v>12935</v>
      </c>
      <c r="M998" s="3" t="s">
        <v>12936</v>
      </c>
      <c r="O998" s="3" t="s">
        <v>64</v>
      </c>
      <c r="P998" s="3" t="s">
        <v>115</v>
      </c>
      <c r="R998" s="3" t="s">
        <v>67</v>
      </c>
      <c r="S998" s="4">
        <v>15</v>
      </c>
      <c r="T998" s="4">
        <v>15</v>
      </c>
      <c r="U998" s="5" t="s">
        <v>12937</v>
      </c>
      <c r="V998" s="5" t="s">
        <v>12937</v>
      </c>
      <c r="W998" s="5" t="s">
        <v>12938</v>
      </c>
      <c r="X998" s="5" t="s">
        <v>12938</v>
      </c>
      <c r="Y998" s="4">
        <v>160</v>
      </c>
      <c r="Z998" s="4">
        <v>125</v>
      </c>
      <c r="AA998" s="4">
        <v>127</v>
      </c>
      <c r="AB998" s="4">
        <v>1</v>
      </c>
      <c r="AC998" s="4">
        <v>1</v>
      </c>
      <c r="AD998" s="4">
        <v>5</v>
      </c>
      <c r="AE998" s="4">
        <v>5</v>
      </c>
      <c r="AF998" s="4">
        <v>2</v>
      </c>
      <c r="AG998" s="4">
        <v>2</v>
      </c>
      <c r="AH998" s="4">
        <v>1</v>
      </c>
      <c r="AI998" s="4">
        <v>1</v>
      </c>
      <c r="AJ998" s="4">
        <v>3</v>
      </c>
      <c r="AK998" s="4">
        <v>3</v>
      </c>
      <c r="AL998" s="4">
        <v>0</v>
      </c>
      <c r="AM998" s="4">
        <v>0</v>
      </c>
      <c r="AN998" s="4">
        <v>0</v>
      </c>
      <c r="AO998" s="4">
        <v>0</v>
      </c>
      <c r="AP998" s="3" t="s">
        <v>58</v>
      </c>
      <c r="AQ998" s="3" t="s">
        <v>86</v>
      </c>
      <c r="AR998" s="6" t="str">
        <f>HYPERLINK("http://catalog.hathitrust.org/Record/001565056","HathiTrust Record")</f>
        <v>HathiTrust Record</v>
      </c>
      <c r="AS998" s="6" t="str">
        <f>HYPERLINK("https://creighton-primo.hosted.exlibrisgroup.com/primo-explore/search?tab=default_tab&amp;search_scope=EVERYTHING&amp;vid=01CRU&amp;lang=en_US&amp;offset=0&amp;query=any,contains,991003166589702656","Catalog Record")</f>
        <v>Catalog Record</v>
      </c>
      <c r="AT998" s="6" t="str">
        <f>HYPERLINK("http://www.worldcat.org/oclc/704184","WorldCat Record")</f>
        <v>WorldCat Record</v>
      </c>
      <c r="AU998" s="3" t="s">
        <v>12939</v>
      </c>
      <c r="AV998" s="3" t="s">
        <v>12940</v>
      </c>
      <c r="AW998" s="3" t="s">
        <v>12941</v>
      </c>
      <c r="AX998" s="3" t="s">
        <v>12941</v>
      </c>
      <c r="AY998" s="3" t="s">
        <v>12942</v>
      </c>
      <c r="AZ998" s="3" t="s">
        <v>74</v>
      </c>
      <c r="BC998" s="3" t="s">
        <v>12943</v>
      </c>
      <c r="BD998" s="3" t="s">
        <v>12944</v>
      </c>
    </row>
    <row r="999" spans="1:56" ht="42.75" customHeight="1" x14ac:dyDescent="0.25">
      <c r="A999" s="7" t="s">
        <v>58</v>
      </c>
      <c r="B999" s="2" t="s">
        <v>12945</v>
      </c>
      <c r="C999" s="2" t="s">
        <v>12946</v>
      </c>
      <c r="D999" s="2" t="s">
        <v>12947</v>
      </c>
      <c r="F999" s="3" t="s">
        <v>58</v>
      </c>
      <c r="G999" s="3" t="s">
        <v>59</v>
      </c>
      <c r="H999" s="3" t="s">
        <v>58</v>
      </c>
      <c r="I999" s="3" t="s">
        <v>58</v>
      </c>
      <c r="J999" s="3" t="s">
        <v>60</v>
      </c>
      <c r="L999" s="2" t="s">
        <v>12600</v>
      </c>
      <c r="M999" s="3" t="s">
        <v>2770</v>
      </c>
      <c r="O999" s="3" t="s">
        <v>64</v>
      </c>
      <c r="P999" s="3" t="s">
        <v>115</v>
      </c>
      <c r="R999" s="3" t="s">
        <v>67</v>
      </c>
      <c r="S999" s="4">
        <v>33</v>
      </c>
      <c r="T999" s="4">
        <v>33</v>
      </c>
      <c r="U999" s="5" t="s">
        <v>12948</v>
      </c>
      <c r="V999" s="5" t="s">
        <v>12948</v>
      </c>
      <c r="W999" s="5" t="s">
        <v>4221</v>
      </c>
      <c r="X999" s="5" t="s">
        <v>4221</v>
      </c>
      <c r="Y999" s="4">
        <v>288</v>
      </c>
      <c r="Z999" s="4">
        <v>241</v>
      </c>
      <c r="AA999" s="4">
        <v>241</v>
      </c>
      <c r="AB999" s="4">
        <v>1</v>
      </c>
      <c r="AC999" s="4">
        <v>1</v>
      </c>
      <c r="AD999" s="4">
        <v>11</v>
      </c>
      <c r="AE999" s="4">
        <v>11</v>
      </c>
      <c r="AF999" s="4">
        <v>4</v>
      </c>
      <c r="AG999" s="4">
        <v>4</v>
      </c>
      <c r="AH999" s="4">
        <v>3</v>
      </c>
      <c r="AI999" s="4">
        <v>3</v>
      </c>
      <c r="AJ999" s="4">
        <v>5</v>
      </c>
      <c r="AK999" s="4">
        <v>5</v>
      </c>
      <c r="AL999" s="4">
        <v>0</v>
      </c>
      <c r="AM999" s="4">
        <v>0</v>
      </c>
      <c r="AN999" s="4">
        <v>0</v>
      </c>
      <c r="AO999" s="4">
        <v>0</v>
      </c>
      <c r="AP999" s="3" t="s">
        <v>58</v>
      </c>
      <c r="AQ999" s="3" t="s">
        <v>58</v>
      </c>
      <c r="AS999" s="6" t="str">
        <f>HYPERLINK("https://creighton-primo.hosted.exlibrisgroup.com/primo-explore/search?tab=default_tab&amp;search_scope=EVERYTHING&amp;vid=01CRU&amp;lang=en_US&amp;offset=0&amp;query=any,contains,991004318959702656","Catalog Record")</f>
        <v>Catalog Record</v>
      </c>
      <c r="AT999" s="6" t="str">
        <f>HYPERLINK("http://www.worldcat.org/oclc/3016351","WorldCat Record")</f>
        <v>WorldCat Record</v>
      </c>
      <c r="AU999" s="3" t="s">
        <v>12949</v>
      </c>
      <c r="AV999" s="3" t="s">
        <v>12950</v>
      </c>
      <c r="AW999" s="3" t="s">
        <v>12951</v>
      </c>
      <c r="AX999" s="3" t="s">
        <v>12951</v>
      </c>
      <c r="AY999" s="3" t="s">
        <v>12952</v>
      </c>
      <c r="AZ999" s="3" t="s">
        <v>74</v>
      </c>
      <c r="BB999" s="3" t="s">
        <v>12953</v>
      </c>
      <c r="BC999" s="3" t="s">
        <v>12954</v>
      </c>
      <c r="BD999" s="3" t="s">
        <v>12955</v>
      </c>
    </row>
    <row r="1000" spans="1:56" ht="42.75" customHeight="1" x14ac:dyDescent="0.25">
      <c r="A1000" s="7" t="s">
        <v>58</v>
      </c>
      <c r="B1000" s="2" t="s">
        <v>12956</v>
      </c>
      <c r="C1000" s="2" t="s">
        <v>12957</v>
      </c>
      <c r="D1000" s="2" t="s">
        <v>12958</v>
      </c>
      <c r="F1000" s="3" t="s">
        <v>58</v>
      </c>
      <c r="G1000" s="3" t="s">
        <v>59</v>
      </c>
      <c r="H1000" s="3" t="s">
        <v>58</v>
      </c>
      <c r="I1000" s="3" t="s">
        <v>58</v>
      </c>
      <c r="J1000" s="3" t="s">
        <v>60</v>
      </c>
      <c r="K1000" s="2" t="s">
        <v>12959</v>
      </c>
      <c r="L1000" s="2" t="s">
        <v>6328</v>
      </c>
      <c r="M1000" s="3" t="s">
        <v>3124</v>
      </c>
      <c r="O1000" s="3" t="s">
        <v>64</v>
      </c>
      <c r="P1000" s="3" t="s">
        <v>115</v>
      </c>
      <c r="Q1000" s="2" t="s">
        <v>6863</v>
      </c>
      <c r="R1000" s="3" t="s">
        <v>67</v>
      </c>
      <c r="S1000" s="4">
        <v>22</v>
      </c>
      <c r="T1000" s="4">
        <v>22</v>
      </c>
      <c r="U1000" s="5" t="s">
        <v>12911</v>
      </c>
      <c r="V1000" s="5" t="s">
        <v>12911</v>
      </c>
      <c r="W1000" s="5" t="s">
        <v>8602</v>
      </c>
      <c r="X1000" s="5" t="s">
        <v>8602</v>
      </c>
      <c r="Y1000" s="4">
        <v>578</v>
      </c>
      <c r="Z1000" s="4">
        <v>451</v>
      </c>
      <c r="AA1000" s="4">
        <v>458</v>
      </c>
      <c r="AB1000" s="4">
        <v>7</v>
      </c>
      <c r="AC1000" s="4">
        <v>7</v>
      </c>
      <c r="AD1000" s="4">
        <v>22</v>
      </c>
      <c r="AE1000" s="4">
        <v>22</v>
      </c>
      <c r="AF1000" s="4">
        <v>10</v>
      </c>
      <c r="AG1000" s="4">
        <v>10</v>
      </c>
      <c r="AH1000" s="4">
        <v>4</v>
      </c>
      <c r="AI1000" s="4">
        <v>4</v>
      </c>
      <c r="AJ1000" s="4">
        <v>6</v>
      </c>
      <c r="AK1000" s="4">
        <v>6</v>
      </c>
      <c r="AL1000" s="4">
        <v>5</v>
      </c>
      <c r="AM1000" s="4">
        <v>5</v>
      </c>
      <c r="AN1000" s="4">
        <v>0</v>
      </c>
      <c r="AO1000" s="4">
        <v>0</v>
      </c>
      <c r="AP1000" s="3" t="s">
        <v>58</v>
      </c>
      <c r="AQ1000" s="3" t="s">
        <v>86</v>
      </c>
      <c r="AR1000" s="6" t="str">
        <f>HYPERLINK("http://catalog.hathitrust.org/Record/001565058","HathiTrust Record")</f>
        <v>HathiTrust Record</v>
      </c>
      <c r="AS1000" s="6" t="str">
        <f>HYPERLINK("https://creighton-primo.hosted.exlibrisgroup.com/primo-explore/search?tab=default_tab&amp;search_scope=EVERYTHING&amp;vid=01CRU&amp;lang=en_US&amp;offset=0&amp;query=any,contains,991000546749702656","Catalog Record")</f>
        <v>Catalog Record</v>
      </c>
      <c r="AT1000" s="6" t="str">
        <f>HYPERLINK("http://www.worldcat.org/oclc/91565","WorldCat Record")</f>
        <v>WorldCat Record</v>
      </c>
      <c r="AU1000" s="3" t="s">
        <v>12960</v>
      </c>
      <c r="AV1000" s="3" t="s">
        <v>12961</v>
      </c>
      <c r="AW1000" s="3" t="s">
        <v>12962</v>
      </c>
      <c r="AX1000" s="3" t="s">
        <v>12962</v>
      </c>
      <c r="AY1000" s="3" t="s">
        <v>12963</v>
      </c>
      <c r="AZ1000" s="3" t="s">
        <v>74</v>
      </c>
      <c r="BB1000" s="3" t="s">
        <v>12964</v>
      </c>
      <c r="BC1000" s="3" t="s">
        <v>12965</v>
      </c>
      <c r="BD1000" s="3" t="s">
        <v>12966</v>
      </c>
    </row>
    <row r="1001" spans="1:56" ht="42.75" customHeight="1" x14ac:dyDescent="0.25">
      <c r="A1001" s="7" t="s">
        <v>58</v>
      </c>
      <c r="B1001" s="2" t="s">
        <v>12967</v>
      </c>
      <c r="C1001" s="2" t="s">
        <v>12968</v>
      </c>
      <c r="D1001" s="2" t="s">
        <v>12969</v>
      </c>
      <c r="F1001" s="3" t="s">
        <v>58</v>
      </c>
      <c r="G1001" s="3" t="s">
        <v>59</v>
      </c>
      <c r="H1001" s="3" t="s">
        <v>86</v>
      </c>
      <c r="I1001" s="3" t="s">
        <v>58</v>
      </c>
      <c r="J1001" s="3" t="s">
        <v>60</v>
      </c>
      <c r="K1001" s="2" t="s">
        <v>12970</v>
      </c>
      <c r="L1001" s="2" t="s">
        <v>12971</v>
      </c>
      <c r="M1001" s="3" t="s">
        <v>4296</v>
      </c>
      <c r="O1001" s="3" t="s">
        <v>64</v>
      </c>
      <c r="P1001" s="3" t="s">
        <v>115</v>
      </c>
      <c r="Q1001" s="2" t="s">
        <v>12972</v>
      </c>
      <c r="R1001" s="3" t="s">
        <v>67</v>
      </c>
      <c r="S1001" s="4">
        <v>3</v>
      </c>
      <c r="T1001" s="4">
        <v>9</v>
      </c>
      <c r="U1001" s="5" t="s">
        <v>12973</v>
      </c>
      <c r="V1001" s="5" t="s">
        <v>12973</v>
      </c>
      <c r="W1001" s="5" t="s">
        <v>12261</v>
      </c>
      <c r="X1001" s="5" t="s">
        <v>12261</v>
      </c>
      <c r="Y1001" s="4">
        <v>255</v>
      </c>
      <c r="Z1001" s="4">
        <v>187</v>
      </c>
      <c r="AA1001" s="4">
        <v>232</v>
      </c>
      <c r="AB1001" s="4">
        <v>3</v>
      </c>
      <c r="AC1001" s="4">
        <v>3</v>
      </c>
      <c r="AD1001" s="4">
        <v>9</v>
      </c>
      <c r="AE1001" s="4">
        <v>11</v>
      </c>
      <c r="AF1001" s="4">
        <v>0</v>
      </c>
      <c r="AG1001" s="4">
        <v>1</v>
      </c>
      <c r="AH1001" s="4">
        <v>5</v>
      </c>
      <c r="AI1001" s="4">
        <v>6</v>
      </c>
      <c r="AJ1001" s="4">
        <v>6</v>
      </c>
      <c r="AK1001" s="4">
        <v>6</v>
      </c>
      <c r="AL1001" s="4">
        <v>1</v>
      </c>
      <c r="AM1001" s="4">
        <v>1</v>
      </c>
      <c r="AN1001" s="4">
        <v>0</v>
      </c>
      <c r="AO1001" s="4">
        <v>0</v>
      </c>
      <c r="AP1001" s="3" t="s">
        <v>58</v>
      </c>
      <c r="AQ1001" s="3" t="s">
        <v>86</v>
      </c>
      <c r="AR1001" s="6" t="str">
        <f>HYPERLINK("http://catalog.hathitrust.org/Record/000279649","HathiTrust Record")</f>
        <v>HathiTrust Record</v>
      </c>
      <c r="AS1001" s="6" t="str">
        <f>HYPERLINK("https://creighton-primo.hosted.exlibrisgroup.com/primo-explore/search?tab=default_tab&amp;search_scope=EVERYTHING&amp;vid=01CRU&amp;lang=en_US&amp;offset=0&amp;query=any,contains,991001786749702656","Catalog Record")</f>
        <v>Catalog Record</v>
      </c>
      <c r="AT1001" s="6" t="str">
        <f>HYPERLINK("http://www.worldcat.org/oclc/914826","WorldCat Record")</f>
        <v>WorldCat Record</v>
      </c>
      <c r="AU1001" s="3" t="s">
        <v>12974</v>
      </c>
      <c r="AV1001" s="3" t="s">
        <v>12975</v>
      </c>
      <c r="AW1001" s="3" t="s">
        <v>12976</v>
      </c>
      <c r="AX1001" s="3" t="s">
        <v>12976</v>
      </c>
      <c r="AY1001" s="3" t="s">
        <v>12977</v>
      </c>
      <c r="AZ1001" s="3" t="s">
        <v>74</v>
      </c>
      <c r="BB1001" s="3" t="s">
        <v>12978</v>
      </c>
      <c r="BC1001" s="3" t="s">
        <v>12979</v>
      </c>
      <c r="BD1001" s="3" t="s">
        <v>12980</v>
      </c>
    </row>
    <row r="1002" spans="1:56" ht="42.75" customHeight="1" x14ac:dyDescent="0.25">
      <c r="A1002" s="7" t="s">
        <v>58</v>
      </c>
      <c r="B1002" s="2" t="s">
        <v>12981</v>
      </c>
      <c r="C1002" s="2" t="s">
        <v>12982</v>
      </c>
      <c r="D1002" s="2" t="s">
        <v>12983</v>
      </c>
      <c r="F1002" s="3" t="s">
        <v>58</v>
      </c>
      <c r="G1002" s="3" t="s">
        <v>59</v>
      </c>
      <c r="H1002" s="3" t="s">
        <v>58</v>
      </c>
      <c r="I1002" s="3" t="s">
        <v>58</v>
      </c>
      <c r="J1002" s="3" t="s">
        <v>60</v>
      </c>
      <c r="K1002" s="2" t="s">
        <v>12984</v>
      </c>
      <c r="L1002" s="2" t="s">
        <v>12985</v>
      </c>
      <c r="M1002" s="3" t="s">
        <v>1181</v>
      </c>
      <c r="O1002" s="3" t="s">
        <v>64</v>
      </c>
      <c r="P1002" s="3" t="s">
        <v>2331</v>
      </c>
      <c r="R1002" s="3" t="s">
        <v>67</v>
      </c>
      <c r="S1002" s="4">
        <v>1</v>
      </c>
      <c r="T1002" s="4">
        <v>1</v>
      </c>
      <c r="U1002" s="5" t="s">
        <v>12986</v>
      </c>
      <c r="V1002" s="5" t="s">
        <v>12986</v>
      </c>
      <c r="W1002" s="5" t="s">
        <v>12986</v>
      </c>
      <c r="X1002" s="5" t="s">
        <v>12986</v>
      </c>
      <c r="Y1002" s="4">
        <v>861</v>
      </c>
      <c r="Z1002" s="4">
        <v>800</v>
      </c>
      <c r="AA1002" s="4">
        <v>897</v>
      </c>
      <c r="AB1002" s="4">
        <v>6</v>
      </c>
      <c r="AC1002" s="4">
        <v>6</v>
      </c>
      <c r="AD1002" s="4">
        <v>22</v>
      </c>
      <c r="AE1002" s="4">
        <v>22</v>
      </c>
      <c r="AF1002" s="4">
        <v>9</v>
      </c>
      <c r="AG1002" s="4">
        <v>9</v>
      </c>
      <c r="AH1002" s="4">
        <v>6</v>
      </c>
      <c r="AI1002" s="4">
        <v>6</v>
      </c>
      <c r="AJ1002" s="4">
        <v>9</v>
      </c>
      <c r="AK1002" s="4">
        <v>9</v>
      </c>
      <c r="AL1002" s="4">
        <v>4</v>
      </c>
      <c r="AM1002" s="4">
        <v>4</v>
      </c>
      <c r="AN1002" s="4">
        <v>0</v>
      </c>
      <c r="AO1002" s="4">
        <v>0</v>
      </c>
      <c r="AP1002" s="3" t="s">
        <v>58</v>
      </c>
      <c r="AQ1002" s="3" t="s">
        <v>58</v>
      </c>
      <c r="AS1002" s="6" t="str">
        <f>HYPERLINK("https://creighton-primo.hosted.exlibrisgroup.com/primo-explore/search?tab=default_tab&amp;search_scope=EVERYTHING&amp;vid=01CRU&amp;lang=en_US&amp;offset=0&amp;query=any,contains,991004380839702656","Catalog Record")</f>
        <v>Catalog Record</v>
      </c>
      <c r="AT1002" s="6" t="str">
        <f>HYPERLINK("http://www.worldcat.org/oclc/54543366","WorldCat Record")</f>
        <v>WorldCat Record</v>
      </c>
      <c r="AU1002" s="3" t="s">
        <v>12987</v>
      </c>
      <c r="AV1002" s="3" t="s">
        <v>12988</v>
      </c>
      <c r="AW1002" s="3" t="s">
        <v>12989</v>
      </c>
      <c r="AX1002" s="3" t="s">
        <v>12989</v>
      </c>
      <c r="AY1002" s="3" t="s">
        <v>12990</v>
      </c>
      <c r="AZ1002" s="3" t="s">
        <v>74</v>
      </c>
      <c r="BB1002" s="3" t="s">
        <v>12991</v>
      </c>
      <c r="BC1002" s="3" t="s">
        <v>12992</v>
      </c>
      <c r="BD1002" s="3" t="s">
        <v>12993</v>
      </c>
    </row>
    <row r="1003" spans="1:56" ht="42.75" customHeight="1" x14ac:dyDescent="0.25">
      <c r="A1003" s="7" t="s">
        <v>58</v>
      </c>
      <c r="B1003" s="2" t="s">
        <v>12994</v>
      </c>
      <c r="C1003" s="2" t="s">
        <v>12995</v>
      </c>
      <c r="D1003" s="2" t="s">
        <v>12996</v>
      </c>
      <c r="F1003" s="3" t="s">
        <v>58</v>
      </c>
      <c r="G1003" s="3" t="s">
        <v>59</v>
      </c>
      <c r="H1003" s="3" t="s">
        <v>58</v>
      </c>
      <c r="I1003" s="3" t="s">
        <v>58</v>
      </c>
      <c r="J1003" s="3" t="s">
        <v>60</v>
      </c>
      <c r="L1003" s="2" t="s">
        <v>12997</v>
      </c>
      <c r="M1003" s="3" t="s">
        <v>98</v>
      </c>
      <c r="O1003" s="3" t="s">
        <v>64</v>
      </c>
      <c r="P1003" s="3" t="s">
        <v>115</v>
      </c>
      <c r="Q1003" s="2" t="s">
        <v>12998</v>
      </c>
      <c r="R1003" s="3" t="s">
        <v>67</v>
      </c>
      <c r="S1003" s="4">
        <v>5</v>
      </c>
      <c r="T1003" s="4">
        <v>5</v>
      </c>
      <c r="U1003" s="5" t="s">
        <v>12999</v>
      </c>
      <c r="V1003" s="5" t="s">
        <v>12999</v>
      </c>
      <c r="W1003" s="5" t="s">
        <v>13000</v>
      </c>
      <c r="X1003" s="5" t="s">
        <v>13000</v>
      </c>
      <c r="Y1003" s="4">
        <v>204</v>
      </c>
      <c r="Z1003" s="4">
        <v>158</v>
      </c>
      <c r="AA1003" s="4">
        <v>158</v>
      </c>
      <c r="AB1003" s="4">
        <v>1</v>
      </c>
      <c r="AC1003" s="4">
        <v>1</v>
      </c>
      <c r="AD1003" s="4">
        <v>8</v>
      </c>
      <c r="AE1003" s="4">
        <v>8</v>
      </c>
      <c r="AF1003" s="4">
        <v>2</v>
      </c>
      <c r="AG1003" s="4">
        <v>2</v>
      </c>
      <c r="AH1003" s="4">
        <v>3</v>
      </c>
      <c r="AI1003" s="4">
        <v>3</v>
      </c>
      <c r="AJ1003" s="4">
        <v>6</v>
      </c>
      <c r="AK1003" s="4">
        <v>6</v>
      </c>
      <c r="AL1003" s="4">
        <v>0</v>
      </c>
      <c r="AM1003" s="4">
        <v>0</v>
      </c>
      <c r="AN1003" s="4">
        <v>0</v>
      </c>
      <c r="AO1003" s="4">
        <v>0</v>
      </c>
      <c r="AP1003" s="3" t="s">
        <v>58</v>
      </c>
      <c r="AQ1003" s="3" t="s">
        <v>58</v>
      </c>
      <c r="AS1003" s="6" t="str">
        <f>HYPERLINK("https://creighton-primo.hosted.exlibrisgroup.com/primo-explore/search?tab=default_tab&amp;search_scope=EVERYTHING&amp;vid=01CRU&amp;lang=en_US&amp;offset=0&amp;query=any,contains,991001051259702656","Catalog Record")</f>
        <v>Catalog Record</v>
      </c>
      <c r="AT1003" s="6" t="str">
        <f>HYPERLINK("http://www.worldcat.org/oclc/15654670","WorldCat Record")</f>
        <v>WorldCat Record</v>
      </c>
      <c r="AU1003" s="3" t="s">
        <v>13001</v>
      </c>
      <c r="AV1003" s="3" t="s">
        <v>13002</v>
      </c>
      <c r="AW1003" s="3" t="s">
        <v>13003</v>
      </c>
      <c r="AX1003" s="3" t="s">
        <v>13003</v>
      </c>
      <c r="AY1003" s="3" t="s">
        <v>13004</v>
      </c>
      <c r="AZ1003" s="3" t="s">
        <v>74</v>
      </c>
      <c r="BB1003" s="3" t="s">
        <v>13005</v>
      </c>
      <c r="BC1003" s="3" t="s">
        <v>13006</v>
      </c>
      <c r="BD1003" s="3" t="s">
        <v>13007</v>
      </c>
    </row>
    <row r="1004" spans="1:56" ht="42.75" customHeight="1" x14ac:dyDescent="0.25">
      <c r="A1004" s="7" t="s">
        <v>58</v>
      </c>
      <c r="B1004" s="2" t="s">
        <v>13008</v>
      </c>
      <c r="C1004" s="2" t="s">
        <v>13009</v>
      </c>
      <c r="D1004" s="2" t="s">
        <v>13010</v>
      </c>
      <c r="F1004" s="3" t="s">
        <v>58</v>
      </c>
      <c r="G1004" s="3" t="s">
        <v>59</v>
      </c>
      <c r="H1004" s="3" t="s">
        <v>58</v>
      </c>
      <c r="I1004" s="3" t="s">
        <v>58</v>
      </c>
      <c r="J1004" s="3" t="s">
        <v>60</v>
      </c>
      <c r="K1004" s="2" t="s">
        <v>13011</v>
      </c>
      <c r="L1004" s="2" t="s">
        <v>13012</v>
      </c>
      <c r="M1004" s="3" t="s">
        <v>3124</v>
      </c>
      <c r="O1004" s="3" t="s">
        <v>64</v>
      </c>
      <c r="P1004" s="3" t="s">
        <v>13013</v>
      </c>
      <c r="Q1004" s="2" t="s">
        <v>13014</v>
      </c>
      <c r="R1004" s="3" t="s">
        <v>67</v>
      </c>
      <c r="S1004" s="4">
        <v>2</v>
      </c>
      <c r="T1004" s="4">
        <v>2</v>
      </c>
      <c r="U1004" s="5" t="s">
        <v>13015</v>
      </c>
      <c r="V1004" s="5" t="s">
        <v>13015</v>
      </c>
      <c r="W1004" s="5" t="s">
        <v>12261</v>
      </c>
      <c r="X1004" s="5" t="s">
        <v>12261</v>
      </c>
      <c r="Y1004" s="4">
        <v>108</v>
      </c>
      <c r="Z1004" s="4">
        <v>85</v>
      </c>
      <c r="AA1004" s="4">
        <v>85</v>
      </c>
      <c r="AB1004" s="4">
        <v>2</v>
      </c>
      <c r="AC1004" s="4">
        <v>2</v>
      </c>
      <c r="AD1004" s="4">
        <v>3</v>
      </c>
      <c r="AE1004" s="4">
        <v>3</v>
      </c>
      <c r="AF1004" s="4">
        <v>1</v>
      </c>
      <c r="AG1004" s="4">
        <v>1</v>
      </c>
      <c r="AH1004" s="4">
        <v>0</v>
      </c>
      <c r="AI1004" s="4">
        <v>0</v>
      </c>
      <c r="AJ1004" s="4">
        <v>2</v>
      </c>
      <c r="AK1004" s="4">
        <v>2</v>
      </c>
      <c r="AL1004" s="4">
        <v>1</v>
      </c>
      <c r="AM1004" s="4">
        <v>1</v>
      </c>
      <c r="AN1004" s="4">
        <v>0</v>
      </c>
      <c r="AO1004" s="4">
        <v>0</v>
      </c>
      <c r="AP1004" s="3" t="s">
        <v>58</v>
      </c>
      <c r="AQ1004" s="3" t="s">
        <v>58</v>
      </c>
      <c r="AS1004" s="6" t="str">
        <f>HYPERLINK("https://creighton-primo.hosted.exlibrisgroup.com/primo-explore/search?tab=default_tab&amp;search_scope=EVERYTHING&amp;vid=01CRU&amp;lang=en_US&amp;offset=0&amp;query=any,contains,991000607899702656","Catalog Record")</f>
        <v>Catalog Record</v>
      </c>
      <c r="AT1004" s="6" t="str">
        <f>HYPERLINK("http://www.worldcat.org/oclc/99657","WorldCat Record")</f>
        <v>WorldCat Record</v>
      </c>
      <c r="AU1004" s="3" t="s">
        <v>13016</v>
      </c>
      <c r="AV1004" s="3" t="s">
        <v>13017</v>
      </c>
      <c r="AW1004" s="3" t="s">
        <v>13018</v>
      </c>
      <c r="AX1004" s="3" t="s">
        <v>13018</v>
      </c>
      <c r="AY1004" s="3" t="s">
        <v>13019</v>
      </c>
      <c r="AZ1004" s="3" t="s">
        <v>74</v>
      </c>
      <c r="BC1004" s="3" t="s">
        <v>13020</v>
      </c>
      <c r="BD1004" s="3" t="s">
        <v>13021</v>
      </c>
    </row>
    <row r="1005" spans="1:56" ht="42.75" customHeight="1" x14ac:dyDescent="0.25">
      <c r="A1005" s="7" t="s">
        <v>58</v>
      </c>
      <c r="B1005" s="2" t="s">
        <v>13022</v>
      </c>
      <c r="C1005" s="2" t="s">
        <v>13023</v>
      </c>
      <c r="D1005" s="2" t="s">
        <v>13024</v>
      </c>
      <c r="F1005" s="3" t="s">
        <v>58</v>
      </c>
      <c r="G1005" s="3" t="s">
        <v>59</v>
      </c>
      <c r="H1005" s="3" t="s">
        <v>58</v>
      </c>
      <c r="I1005" s="3" t="s">
        <v>58</v>
      </c>
      <c r="J1005" s="3" t="s">
        <v>60</v>
      </c>
      <c r="K1005" s="2" t="s">
        <v>13025</v>
      </c>
      <c r="L1005" s="2" t="s">
        <v>13026</v>
      </c>
      <c r="M1005" s="3" t="s">
        <v>63</v>
      </c>
      <c r="O1005" s="3" t="s">
        <v>64</v>
      </c>
      <c r="P1005" s="3" t="s">
        <v>115</v>
      </c>
      <c r="Q1005" s="2" t="s">
        <v>10619</v>
      </c>
      <c r="R1005" s="3" t="s">
        <v>67</v>
      </c>
      <c r="S1005" s="4">
        <v>34</v>
      </c>
      <c r="T1005" s="4">
        <v>34</v>
      </c>
      <c r="U1005" s="5" t="s">
        <v>4806</v>
      </c>
      <c r="V1005" s="5" t="s">
        <v>4806</v>
      </c>
      <c r="W1005" s="5" t="s">
        <v>6880</v>
      </c>
      <c r="X1005" s="5" t="s">
        <v>6880</v>
      </c>
      <c r="Y1005" s="4">
        <v>631</v>
      </c>
      <c r="Z1005" s="4">
        <v>546</v>
      </c>
      <c r="AA1005" s="4">
        <v>551</v>
      </c>
      <c r="AB1005" s="4">
        <v>4</v>
      </c>
      <c r="AC1005" s="4">
        <v>4</v>
      </c>
      <c r="AD1005" s="4">
        <v>14</v>
      </c>
      <c r="AE1005" s="4">
        <v>14</v>
      </c>
      <c r="AF1005" s="4">
        <v>6</v>
      </c>
      <c r="AG1005" s="4">
        <v>6</v>
      </c>
      <c r="AH1005" s="4">
        <v>2</v>
      </c>
      <c r="AI1005" s="4">
        <v>2</v>
      </c>
      <c r="AJ1005" s="4">
        <v>9</v>
      </c>
      <c r="AK1005" s="4">
        <v>9</v>
      </c>
      <c r="AL1005" s="4">
        <v>1</v>
      </c>
      <c r="AM1005" s="4">
        <v>1</v>
      </c>
      <c r="AN1005" s="4">
        <v>0</v>
      </c>
      <c r="AO1005" s="4">
        <v>0</v>
      </c>
      <c r="AP1005" s="3" t="s">
        <v>58</v>
      </c>
      <c r="AQ1005" s="3" t="s">
        <v>58</v>
      </c>
      <c r="AS1005" s="6" t="str">
        <f>HYPERLINK("https://creighton-primo.hosted.exlibrisgroup.com/primo-explore/search?tab=default_tab&amp;search_scope=EVERYTHING&amp;vid=01CRU&amp;lang=en_US&amp;offset=0&amp;query=any,contains,991000219399702656","Catalog Record")</f>
        <v>Catalog Record</v>
      </c>
      <c r="AT1005" s="6" t="str">
        <f>HYPERLINK("http://www.worldcat.org/oclc/9575576","WorldCat Record")</f>
        <v>WorldCat Record</v>
      </c>
      <c r="AU1005" s="3" t="s">
        <v>13027</v>
      </c>
      <c r="AV1005" s="3" t="s">
        <v>13028</v>
      </c>
      <c r="AW1005" s="3" t="s">
        <v>13029</v>
      </c>
      <c r="AX1005" s="3" t="s">
        <v>13029</v>
      </c>
      <c r="AY1005" s="3" t="s">
        <v>13030</v>
      </c>
      <c r="AZ1005" s="3" t="s">
        <v>74</v>
      </c>
      <c r="BB1005" s="3" t="s">
        <v>13031</v>
      </c>
      <c r="BC1005" s="3" t="s">
        <v>13032</v>
      </c>
      <c r="BD1005" s="3" t="s">
        <v>13033</v>
      </c>
    </row>
    <row r="1006" spans="1:56" ht="42.75" customHeight="1" x14ac:dyDescent="0.25">
      <c r="A1006" s="7" t="s">
        <v>58</v>
      </c>
      <c r="B1006" s="2" t="s">
        <v>13034</v>
      </c>
      <c r="C1006" s="2" t="s">
        <v>13035</v>
      </c>
      <c r="D1006" s="2" t="s">
        <v>13036</v>
      </c>
      <c r="F1006" s="3" t="s">
        <v>58</v>
      </c>
      <c r="G1006" s="3" t="s">
        <v>59</v>
      </c>
      <c r="H1006" s="3" t="s">
        <v>58</v>
      </c>
      <c r="I1006" s="3" t="s">
        <v>58</v>
      </c>
      <c r="J1006" s="3" t="s">
        <v>60</v>
      </c>
      <c r="K1006" s="2" t="s">
        <v>13025</v>
      </c>
      <c r="L1006" s="2" t="s">
        <v>13037</v>
      </c>
      <c r="M1006" s="3" t="s">
        <v>586</v>
      </c>
      <c r="O1006" s="3" t="s">
        <v>64</v>
      </c>
      <c r="P1006" s="3" t="s">
        <v>115</v>
      </c>
      <c r="R1006" s="3" t="s">
        <v>67</v>
      </c>
      <c r="S1006" s="4">
        <v>51</v>
      </c>
      <c r="T1006" s="4">
        <v>51</v>
      </c>
      <c r="U1006" s="5" t="s">
        <v>13038</v>
      </c>
      <c r="V1006" s="5" t="s">
        <v>13038</v>
      </c>
      <c r="W1006" s="5" t="s">
        <v>13039</v>
      </c>
      <c r="X1006" s="5" t="s">
        <v>13039</v>
      </c>
      <c r="Y1006" s="4">
        <v>488</v>
      </c>
      <c r="Z1006" s="4">
        <v>397</v>
      </c>
      <c r="AA1006" s="4">
        <v>399</v>
      </c>
      <c r="AB1006" s="4">
        <v>2</v>
      </c>
      <c r="AC1006" s="4">
        <v>2</v>
      </c>
      <c r="AD1006" s="4">
        <v>9</v>
      </c>
      <c r="AE1006" s="4">
        <v>9</v>
      </c>
      <c r="AF1006" s="4">
        <v>3</v>
      </c>
      <c r="AG1006" s="4">
        <v>3</v>
      </c>
      <c r="AH1006" s="4">
        <v>2</v>
      </c>
      <c r="AI1006" s="4">
        <v>2</v>
      </c>
      <c r="AJ1006" s="4">
        <v>8</v>
      </c>
      <c r="AK1006" s="4">
        <v>8</v>
      </c>
      <c r="AL1006" s="4">
        <v>0</v>
      </c>
      <c r="AM1006" s="4">
        <v>0</v>
      </c>
      <c r="AN1006" s="4">
        <v>0</v>
      </c>
      <c r="AO1006" s="4">
        <v>0</v>
      </c>
      <c r="AP1006" s="3" t="s">
        <v>58</v>
      </c>
      <c r="AQ1006" s="3" t="s">
        <v>58</v>
      </c>
      <c r="AS1006" s="6" t="str">
        <f>HYPERLINK("https://creighton-primo.hosted.exlibrisgroup.com/primo-explore/search?tab=default_tab&amp;search_scope=EVERYTHING&amp;vid=01CRU&amp;lang=en_US&amp;offset=0&amp;query=any,contains,991001812519702656","Catalog Record")</f>
        <v>Catalog Record</v>
      </c>
      <c r="AT1006" s="6" t="str">
        <f>HYPERLINK("http://www.worldcat.org/oclc/22765113","WorldCat Record")</f>
        <v>WorldCat Record</v>
      </c>
      <c r="AU1006" s="3" t="s">
        <v>13040</v>
      </c>
      <c r="AV1006" s="3" t="s">
        <v>13041</v>
      </c>
      <c r="AW1006" s="3" t="s">
        <v>13042</v>
      </c>
      <c r="AX1006" s="3" t="s">
        <v>13042</v>
      </c>
      <c r="AY1006" s="3" t="s">
        <v>13043</v>
      </c>
      <c r="AZ1006" s="3" t="s">
        <v>74</v>
      </c>
      <c r="BB1006" s="3" t="s">
        <v>13044</v>
      </c>
      <c r="BC1006" s="3" t="s">
        <v>13045</v>
      </c>
      <c r="BD1006" s="3" t="s">
        <v>13046</v>
      </c>
    </row>
    <row r="1007" spans="1:56" ht="42.75" customHeight="1" x14ac:dyDescent="0.25">
      <c r="A1007" s="7" t="s">
        <v>58</v>
      </c>
      <c r="B1007" s="2" t="s">
        <v>13047</v>
      </c>
      <c r="C1007" s="2" t="s">
        <v>13048</v>
      </c>
      <c r="D1007" s="2" t="s">
        <v>13049</v>
      </c>
      <c r="F1007" s="3" t="s">
        <v>58</v>
      </c>
      <c r="G1007" s="3" t="s">
        <v>59</v>
      </c>
      <c r="H1007" s="3" t="s">
        <v>86</v>
      </c>
      <c r="I1007" s="3" t="s">
        <v>58</v>
      </c>
      <c r="J1007" s="3" t="s">
        <v>60</v>
      </c>
      <c r="L1007" s="2" t="s">
        <v>13050</v>
      </c>
      <c r="M1007" s="3" t="s">
        <v>737</v>
      </c>
      <c r="O1007" s="3" t="s">
        <v>64</v>
      </c>
      <c r="P1007" s="3" t="s">
        <v>1898</v>
      </c>
      <c r="R1007" s="3" t="s">
        <v>67</v>
      </c>
      <c r="S1007" s="4">
        <v>18</v>
      </c>
      <c r="T1007" s="4">
        <v>18</v>
      </c>
      <c r="U1007" s="5" t="s">
        <v>13051</v>
      </c>
      <c r="V1007" s="5" t="s">
        <v>13051</v>
      </c>
      <c r="W1007" s="5" t="s">
        <v>6798</v>
      </c>
      <c r="X1007" s="5" t="s">
        <v>6798</v>
      </c>
      <c r="Y1007" s="4">
        <v>1718</v>
      </c>
      <c r="Z1007" s="4">
        <v>1716</v>
      </c>
      <c r="AA1007" s="4">
        <v>1950</v>
      </c>
      <c r="AB1007" s="4">
        <v>20</v>
      </c>
      <c r="AC1007" s="4">
        <v>23</v>
      </c>
      <c r="AD1007" s="4">
        <v>41</v>
      </c>
      <c r="AE1007" s="4">
        <v>42</v>
      </c>
      <c r="AF1007" s="4">
        <v>12</v>
      </c>
      <c r="AG1007" s="4">
        <v>12</v>
      </c>
      <c r="AH1007" s="4">
        <v>4</v>
      </c>
      <c r="AI1007" s="4">
        <v>4</v>
      </c>
      <c r="AJ1007" s="4">
        <v>16</v>
      </c>
      <c r="AK1007" s="4">
        <v>16</v>
      </c>
      <c r="AL1007" s="4">
        <v>10</v>
      </c>
      <c r="AM1007" s="4">
        <v>11</v>
      </c>
      <c r="AN1007" s="4">
        <v>5</v>
      </c>
      <c r="AO1007" s="4">
        <v>5</v>
      </c>
      <c r="AP1007" s="3" t="s">
        <v>58</v>
      </c>
      <c r="AQ1007" s="3" t="s">
        <v>86</v>
      </c>
      <c r="AR1007" s="6" t="str">
        <f>HYPERLINK("http://catalog.hathitrust.org/Record/003049561","HathiTrust Record")</f>
        <v>HathiTrust Record</v>
      </c>
      <c r="AS1007" s="6" t="str">
        <f>HYPERLINK("https://creighton-primo.hosted.exlibrisgroup.com/primo-explore/search?tab=default_tab&amp;search_scope=EVERYTHING&amp;vid=01CRU&amp;lang=en_US&amp;offset=0&amp;query=any,contains,991002575359702656","Catalog Record")</f>
        <v>Catalog Record</v>
      </c>
      <c r="AT1007" s="6" t="str">
        <f>HYPERLINK("http://www.worldcat.org/oclc/33489978","WorldCat Record")</f>
        <v>WorldCat Record</v>
      </c>
      <c r="AU1007" s="3" t="s">
        <v>13052</v>
      </c>
      <c r="AV1007" s="3" t="s">
        <v>13053</v>
      </c>
      <c r="AW1007" s="3" t="s">
        <v>13054</v>
      </c>
      <c r="AX1007" s="3" t="s">
        <v>13054</v>
      </c>
      <c r="AY1007" s="3" t="s">
        <v>13055</v>
      </c>
      <c r="AZ1007" s="3" t="s">
        <v>74</v>
      </c>
      <c r="BC1007" s="3" t="s">
        <v>13056</v>
      </c>
      <c r="BD1007" s="3" t="s">
        <v>13057</v>
      </c>
    </row>
    <row r="1008" spans="1:56" ht="42.75" customHeight="1" x14ac:dyDescent="0.25">
      <c r="A1008" s="7" t="s">
        <v>58</v>
      </c>
      <c r="B1008" s="2" t="s">
        <v>13058</v>
      </c>
      <c r="C1008" s="2" t="s">
        <v>13059</v>
      </c>
      <c r="D1008" s="2" t="s">
        <v>13060</v>
      </c>
      <c r="F1008" s="3" t="s">
        <v>58</v>
      </c>
      <c r="G1008" s="3" t="s">
        <v>59</v>
      </c>
      <c r="H1008" s="3" t="s">
        <v>58</v>
      </c>
      <c r="I1008" s="3" t="s">
        <v>58</v>
      </c>
      <c r="J1008" s="3" t="s">
        <v>60</v>
      </c>
      <c r="L1008" s="2" t="s">
        <v>13061</v>
      </c>
      <c r="M1008" s="3" t="s">
        <v>82</v>
      </c>
      <c r="O1008" s="3" t="s">
        <v>64</v>
      </c>
      <c r="P1008" s="3" t="s">
        <v>359</v>
      </c>
      <c r="R1008" s="3" t="s">
        <v>67</v>
      </c>
      <c r="S1008" s="4">
        <v>44</v>
      </c>
      <c r="T1008" s="4">
        <v>44</v>
      </c>
      <c r="U1008" s="5" t="s">
        <v>13062</v>
      </c>
      <c r="V1008" s="5" t="s">
        <v>13062</v>
      </c>
      <c r="W1008" s="5" t="s">
        <v>13063</v>
      </c>
      <c r="X1008" s="5" t="s">
        <v>13063</v>
      </c>
      <c r="Y1008" s="4">
        <v>451</v>
      </c>
      <c r="Z1008" s="4">
        <v>401</v>
      </c>
      <c r="AA1008" s="4">
        <v>403</v>
      </c>
      <c r="AB1008" s="4">
        <v>4</v>
      </c>
      <c r="AC1008" s="4">
        <v>4</v>
      </c>
      <c r="AD1008" s="4">
        <v>13</v>
      </c>
      <c r="AE1008" s="4">
        <v>13</v>
      </c>
      <c r="AF1008" s="4">
        <v>8</v>
      </c>
      <c r="AG1008" s="4">
        <v>8</v>
      </c>
      <c r="AH1008" s="4">
        <v>2</v>
      </c>
      <c r="AI1008" s="4">
        <v>2</v>
      </c>
      <c r="AJ1008" s="4">
        <v>4</v>
      </c>
      <c r="AK1008" s="4">
        <v>4</v>
      </c>
      <c r="AL1008" s="4">
        <v>2</v>
      </c>
      <c r="AM1008" s="4">
        <v>2</v>
      </c>
      <c r="AN1008" s="4">
        <v>0</v>
      </c>
      <c r="AO1008" s="4">
        <v>0</v>
      </c>
      <c r="AP1008" s="3" t="s">
        <v>58</v>
      </c>
      <c r="AQ1008" s="3" t="s">
        <v>86</v>
      </c>
      <c r="AR1008" s="6" t="str">
        <f>HYPERLINK("http://catalog.hathitrust.org/Record/000916602","HathiTrust Record")</f>
        <v>HathiTrust Record</v>
      </c>
      <c r="AS1008" s="6" t="str">
        <f>HYPERLINK("https://creighton-primo.hosted.exlibrisgroup.com/primo-explore/search?tab=default_tab&amp;search_scope=EVERYTHING&amp;vid=01CRU&amp;lang=en_US&amp;offset=0&amp;query=any,contains,991001147479702656","Catalog Record")</f>
        <v>Catalog Record</v>
      </c>
      <c r="AT1008" s="6" t="str">
        <f>HYPERLINK("http://www.worldcat.org/oclc/16794488","WorldCat Record")</f>
        <v>WorldCat Record</v>
      </c>
      <c r="AU1008" s="3" t="s">
        <v>13064</v>
      </c>
      <c r="AV1008" s="3" t="s">
        <v>13065</v>
      </c>
      <c r="AW1008" s="3" t="s">
        <v>13066</v>
      </c>
      <c r="AX1008" s="3" t="s">
        <v>13066</v>
      </c>
      <c r="AY1008" s="3" t="s">
        <v>13067</v>
      </c>
      <c r="AZ1008" s="3" t="s">
        <v>74</v>
      </c>
      <c r="BB1008" s="3" t="s">
        <v>13068</v>
      </c>
      <c r="BC1008" s="3" t="s">
        <v>13069</v>
      </c>
      <c r="BD1008" s="3" t="s">
        <v>13070</v>
      </c>
    </row>
    <row r="1009" spans="1:56" ht="42.75" customHeight="1" x14ac:dyDescent="0.25">
      <c r="A1009" s="7" t="s">
        <v>58</v>
      </c>
      <c r="B1009" s="2" t="s">
        <v>13071</v>
      </c>
      <c r="C1009" s="2" t="s">
        <v>13072</v>
      </c>
      <c r="D1009" s="2" t="s">
        <v>13073</v>
      </c>
      <c r="F1009" s="3" t="s">
        <v>58</v>
      </c>
      <c r="G1009" s="3" t="s">
        <v>59</v>
      </c>
      <c r="H1009" s="3" t="s">
        <v>58</v>
      </c>
      <c r="I1009" s="3" t="s">
        <v>58</v>
      </c>
      <c r="J1009" s="3" t="s">
        <v>60</v>
      </c>
      <c r="K1009" s="2" t="s">
        <v>13074</v>
      </c>
      <c r="L1009" s="2" t="s">
        <v>13075</v>
      </c>
      <c r="M1009" s="3" t="s">
        <v>1404</v>
      </c>
      <c r="O1009" s="3" t="s">
        <v>64</v>
      </c>
      <c r="P1009" s="3" t="s">
        <v>359</v>
      </c>
      <c r="R1009" s="3" t="s">
        <v>67</v>
      </c>
      <c r="S1009" s="4">
        <v>6</v>
      </c>
      <c r="T1009" s="4">
        <v>6</v>
      </c>
      <c r="U1009" s="5" t="s">
        <v>13038</v>
      </c>
      <c r="V1009" s="5" t="s">
        <v>13038</v>
      </c>
      <c r="W1009" s="5" t="s">
        <v>13076</v>
      </c>
      <c r="X1009" s="5" t="s">
        <v>13076</v>
      </c>
      <c r="Y1009" s="4">
        <v>271</v>
      </c>
      <c r="Z1009" s="4">
        <v>216</v>
      </c>
      <c r="AA1009" s="4">
        <v>229</v>
      </c>
      <c r="AB1009" s="4">
        <v>3</v>
      </c>
      <c r="AC1009" s="4">
        <v>4</v>
      </c>
      <c r="AD1009" s="4">
        <v>7</v>
      </c>
      <c r="AE1009" s="4">
        <v>8</v>
      </c>
      <c r="AF1009" s="4">
        <v>2</v>
      </c>
      <c r="AG1009" s="4">
        <v>3</v>
      </c>
      <c r="AH1009" s="4">
        <v>2</v>
      </c>
      <c r="AI1009" s="4">
        <v>3</v>
      </c>
      <c r="AJ1009" s="4">
        <v>3</v>
      </c>
      <c r="AK1009" s="4">
        <v>3</v>
      </c>
      <c r="AL1009" s="4">
        <v>1</v>
      </c>
      <c r="AM1009" s="4">
        <v>1</v>
      </c>
      <c r="AN1009" s="4">
        <v>0</v>
      </c>
      <c r="AO1009" s="4">
        <v>0</v>
      </c>
      <c r="AP1009" s="3" t="s">
        <v>58</v>
      </c>
      <c r="AQ1009" s="3" t="s">
        <v>58</v>
      </c>
      <c r="AS1009" s="6" t="str">
        <f>HYPERLINK("https://creighton-primo.hosted.exlibrisgroup.com/primo-explore/search?tab=default_tab&amp;search_scope=EVERYTHING&amp;vid=01CRU&amp;lang=en_US&amp;offset=0&amp;query=any,contains,991005306949702656","Catalog Record")</f>
        <v>Catalog Record</v>
      </c>
      <c r="AT1009" s="6" t="str">
        <f>HYPERLINK("http://www.worldcat.org/oclc/169452515","WorldCat Record")</f>
        <v>WorldCat Record</v>
      </c>
      <c r="AU1009" s="3" t="s">
        <v>13077</v>
      </c>
      <c r="AV1009" s="3" t="s">
        <v>13078</v>
      </c>
      <c r="AW1009" s="3" t="s">
        <v>13079</v>
      </c>
      <c r="AX1009" s="3" t="s">
        <v>13079</v>
      </c>
      <c r="AY1009" s="3" t="s">
        <v>13080</v>
      </c>
      <c r="AZ1009" s="3" t="s">
        <v>74</v>
      </c>
      <c r="BB1009" s="3" t="s">
        <v>13081</v>
      </c>
      <c r="BC1009" s="3" t="s">
        <v>13082</v>
      </c>
      <c r="BD1009" s="3" t="s">
        <v>13083</v>
      </c>
    </row>
    <row r="1010" spans="1:56" ht="42.75" customHeight="1" x14ac:dyDescent="0.25">
      <c r="A1010" s="7" t="s">
        <v>58</v>
      </c>
      <c r="B1010" s="2" t="s">
        <v>13084</v>
      </c>
      <c r="C1010" s="2" t="s">
        <v>13085</v>
      </c>
      <c r="D1010" s="2" t="s">
        <v>13086</v>
      </c>
      <c r="F1010" s="3" t="s">
        <v>58</v>
      </c>
      <c r="G1010" s="3" t="s">
        <v>59</v>
      </c>
      <c r="H1010" s="3" t="s">
        <v>58</v>
      </c>
      <c r="I1010" s="3" t="s">
        <v>58</v>
      </c>
      <c r="J1010" s="3" t="s">
        <v>60</v>
      </c>
      <c r="L1010" s="2" t="s">
        <v>13087</v>
      </c>
      <c r="M1010" s="3" t="s">
        <v>888</v>
      </c>
      <c r="O1010" s="3" t="s">
        <v>64</v>
      </c>
      <c r="P1010" s="3" t="s">
        <v>359</v>
      </c>
      <c r="R1010" s="3" t="s">
        <v>67</v>
      </c>
      <c r="S1010" s="4">
        <v>9</v>
      </c>
      <c r="T1010" s="4">
        <v>9</v>
      </c>
      <c r="U1010" s="5" t="s">
        <v>13088</v>
      </c>
      <c r="V1010" s="5" t="s">
        <v>13088</v>
      </c>
      <c r="W1010" s="5" t="s">
        <v>13089</v>
      </c>
      <c r="X1010" s="5" t="s">
        <v>13089</v>
      </c>
      <c r="Y1010" s="4">
        <v>251</v>
      </c>
      <c r="Z1010" s="4">
        <v>215</v>
      </c>
      <c r="AA1010" s="4">
        <v>218</v>
      </c>
      <c r="AB1010" s="4">
        <v>1</v>
      </c>
      <c r="AC1010" s="4">
        <v>1</v>
      </c>
      <c r="AD1010" s="4">
        <v>15</v>
      </c>
      <c r="AE1010" s="4">
        <v>15</v>
      </c>
      <c r="AF1010" s="4">
        <v>4</v>
      </c>
      <c r="AG1010" s="4">
        <v>4</v>
      </c>
      <c r="AH1010" s="4">
        <v>6</v>
      </c>
      <c r="AI1010" s="4">
        <v>6</v>
      </c>
      <c r="AJ1010" s="4">
        <v>10</v>
      </c>
      <c r="AK1010" s="4">
        <v>10</v>
      </c>
      <c r="AL1010" s="4">
        <v>0</v>
      </c>
      <c r="AM1010" s="4">
        <v>0</v>
      </c>
      <c r="AN1010" s="4">
        <v>0</v>
      </c>
      <c r="AO1010" s="4">
        <v>0</v>
      </c>
      <c r="AP1010" s="3" t="s">
        <v>58</v>
      </c>
      <c r="AQ1010" s="3" t="s">
        <v>86</v>
      </c>
      <c r="AR1010" s="6" t="str">
        <f>HYPERLINK("http://catalog.hathitrust.org/Record/003997994","HathiTrust Record")</f>
        <v>HathiTrust Record</v>
      </c>
      <c r="AS1010" s="6" t="str">
        <f>HYPERLINK("https://creighton-primo.hosted.exlibrisgroup.com/primo-explore/search?tab=default_tab&amp;search_scope=EVERYTHING&amp;vid=01CRU&amp;lang=en_US&amp;offset=0&amp;query=any,contains,991003214569702656","Catalog Record")</f>
        <v>Catalog Record</v>
      </c>
      <c r="AT1010" s="6" t="str">
        <f>HYPERLINK("http://www.worldcat.org/oclc/37910801","WorldCat Record")</f>
        <v>WorldCat Record</v>
      </c>
      <c r="AU1010" s="3" t="s">
        <v>13090</v>
      </c>
      <c r="AV1010" s="3" t="s">
        <v>13091</v>
      </c>
      <c r="AW1010" s="3" t="s">
        <v>13092</v>
      </c>
      <c r="AX1010" s="3" t="s">
        <v>13092</v>
      </c>
      <c r="AY1010" s="3" t="s">
        <v>13093</v>
      </c>
      <c r="AZ1010" s="3" t="s">
        <v>74</v>
      </c>
      <c r="BB1010" s="3" t="s">
        <v>13094</v>
      </c>
      <c r="BC1010" s="3" t="s">
        <v>13095</v>
      </c>
      <c r="BD1010" s="3" t="s">
        <v>13096</v>
      </c>
    </row>
    <row r="1011" spans="1:56" ht="42.75" customHeight="1" x14ac:dyDescent="0.25">
      <c r="A1011" s="7" t="s">
        <v>58</v>
      </c>
      <c r="B1011" s="2" t="s">
        <v>13097</v>
      </c>
      <c r="C1011" s="2" t="s">
        <v>13098</v>
      </c>
      <c r="D1011" s="2" t="s">
        <v>13099</v>
      </c>
      <c r="F1011" s="3" t="s">
        <v>58</v>
      </c>
      <c r="G1011" s="3" t="s">
        <v>59</v>
      </c>
      <c r="H1011" s="3" t="s">
        <v>58</v>
      </c>
      <c r="I1011" s="3" t="s">
        <v>58</v>
      </c>
      <c r="J1011" s="3" t="s">
        <v>60</v>
      </c>
      <c r="K1011" s="2" t="s">
        <v>13100</v>
      </c>
      <c r="L1011" s="2" t="s">
        <v>13101</v>
      </c>
      <c r="M1011" s="3" t="s">
        <v>1448</v>
      </c>
      <c r="N1011" s="2" t="s">
        <v>13102</v>
      </c>
      <c r="O1011" s="3" t="s">
        <v>64</v>
      </c>
      <c r="P1011" s="3" t="s">
        <v>115</v>
      </c>
      <c r="R1011" s="3" t="s">
        <v>67</v>
      </c>
      <c r="S1011" s="4">
        <v>2</v>
      </c>
      <c r="T1011" s="4">
        <v>2</v>
      </c>
      <c r="U1011" s="5" t="s">
        <v>6931</v>
      </c>
      <c r="V1011" s="5" t="s">
        <v>6931</v>
      </c>
      <c r="W1011" s="5" t="s">
        <v>13103</v>
      </c>
      <c r="X1011" s="5" t="s">
        <v>13103</v>
      </c>
      <c r="Y1011" s="4">
        <v>557</v>
      </c>
      <c r="Z1011" s="4">
        <v>542</v>
      </c>
      <c r="AA1011" s="4">
        <v>663</v>
      </c>
      <c r="AB1011" s="4">
        <v>6</v>
      </c>
      <c r="AC1011" s="4">
        <v>6</v>
      </c>
      <c r="AD1011" s="4">
        <v>3</v>
      </c>
      <c r="AE1011" s="4">
        <v>3</v>
      </c>
      <c r="AF1011" s="4">
        <v>2</v>
      </c>
      <c r="AG1011" s="4">
        <v>2</v>
      </c>
      <c r="AH1011" s="4">
        <v>1</v>
      </c>
      <c r="AI1011" s="4">
        <v>1</v>
      </c>
      <c r="AJ1011" s="4">
        <v>0</v>
      </c>
      <c r="AK1011" s="4">
        <v>0</v>
      </c>
      <c r="AL1011" s="4">
        <v>0</v>
      </c>
      <c r="AM1011" s="4">
        <v>0</v>
      </c>
      <c r="AN1011" s="4">
        <v>0</v>
      </c>
      <c r="AO1011" s="4">
        <v>0</v>
      </c>
      <c r="AP1011" s="3" t="s">
        <v>58</v>
      </c>
      <c r="AQ1011" s="3" t="s">
        <v>58</v>
      </c>
      <c r="AS1011" s="6" t="str">
        <f>HYPERLINK("https://creighton-primo.hosted.exlibrisgroup.com/primo-explore/search?tab=default_tab&amp;search_scope=EVERYTHING&amp;vid=01CRU&amp;lang=en_US&amp;offset=0&amp;query=any,contains,991000081689702656","Catalog Record")</f>
        <v>Catalog Record</v>
      </c>
      <c r="AT1011" s="6" t="str">
        <f>HYPERLINK("http://www.worldcat.org/oclc/505417104","WorldCat Record")</f>
        <v>WorldCat Record</v>
      </c>
      <c r="AU1011" s="3" t="s">
        <v>13104</v>
      </c>
      <c r="AV1011" s="3" t="s">
        <v>13105</v>
      </c>
      <c r="AW1011" s="3" t="s">
        <v>13106</v>
      </c>
      <c r="AX1011" s="3" t="s">
        <v>13106</v>
      </c>
      <c r="AY1011" s="3" t="s">
        <v>13107</v>
      </c>
      <c r="AZ1011" s="3" t="s">
        <v>74</v>
      </c>
      <c r="BB1011" s="3" t="s">
        <v>13108</v>
      </c>
      <c r="BC1011" s="3" t="s">
        <v>13109</v>
      </c>
      <c r="BD1011" s="3" t="s">
        <v>13110</v>
      </c>
    </row>
    <row r="1012" spans="1:56" ht="42.75" customHeight="1" x14ac:dyDescent="0.25">
      <c r="A1012" s="7" t="s">
        <v>58</v>
      </c>
      <c r="B1012" s="2" t="s">
        <v>13111</v>
      </c>
      <c r="C1012" s="2" t="s">
        <v>13112</v>
      </c>
      <c r="D1012" s="2" t="s">
        <v>13113</v>
      </c>
      <c r="F1012" s="3" t="s">
        <v>58</v>
      </c>
      <c r="G1012" s="3" t="s">
        <v>59</v>
      </c>
      <c r="H1012" s="3" t="s">
        <v>58</v>
      </c>
      <c r="I1012" s="3" t="s">
        <v>58</v>
      </c>
      <c r="J1012" s="3" t="s">
        <v>60</v>
      </c>
      <c r="K1012" s="2" t="s">
        <v>13114</v>
      </c>
      <c r="L1012" s="2" t="s">
        <v>13115</v>
      </c>
      <c r="M1012" s="3" t="s">
        <v>371</v>
      </c>
      <c r="O1012" s="3" t="s">
        <v>64</v>
      </c>
      <c r="P1012" s="3" t="s">
        <v>2331</v>
      </c>
      <c r="Q1012" s="2" t="s">
        <v>13116</v>
      </c>
      <c r="R1012" s="3" t="s">
        <v>67</v>
      </c>
      <c r="S1012" s="4">
        <v>34</v>
      </c>
      <c r="T1012" s="4">
        <v>34</v>
      </c>
      <c r="U1012" s="5" t="s">
        <v>13117</v>
      </c>
      <c r="V1012" s="5" t="s">
        <v>13117</v>
      </c>
      <c r="W1012" s="5" t="s">
        <v>13063</v>
      </c>
      <c r="X1012" s="5" t="s">
        <v>13063</v>
      </c>
      <c r="Y1012" s="4">
        <v>191</v>
      </c>
      <c r="Z1012" s="4">
        <v>148</v>
      </c>
      <c r="AA1012" s="4">
        <v>149</v>
      </c>
      <c r="AB1012" s="4">
        <v>1</v>
      </c>
      <c r="AC1012" s="4">
        <v>1</v>
      </c>
      <c r="AD1012" s="4">
        <v>7</v>
      </c>
      <c r="AE1012" s="4">
        <v>7</v>
      </c>
      <c r="AF1012" s="4">
        <v>2</v>
      </c>
      <c r="AG1012" s="4">
        <v>2</v>
      </c>
      <c r="AH1012" s="4">
        <v>3</v>
      </c>
      <c r="AI1012" s="4">
        <v>3</v>
      </c>
      <c r="AJ1012" s="4">
        <v>5</v>
      </c>
      <c r="AK1012" s="4">
        <v>5</v>
      </c>
      <c r="AL1012" s="4">
        <v>0</v>
      </c>
      <c r="AM1012" s="4">
        <v>0</v>
      </c>
      <c r="AN1012" s="4">
        <v>0</v>
      </c>
      <c r="AO1012" s="4">
        <v>0</v>
      </c>
      <c r="AP1012" s="3" t="s">
        <v>58</v>
      </c>
      <c r="AQ1012" s="3" t="s">
        <v>58</v>
      </c>
      <c r="AS1012" s="6" t="str">
        <f>HYPERLINK("https://creighton-primo.hosted.exlibrisgroup.com/primo-explore/search?tab=default_tab&amp;search_scope=EVERYTHING&amp;vid=01CRU&amp;lang=en_US&amp;offset=0&amp;query=any,contains,991000871569702656","Catalog Record")</f>
        <v>Catalog Record</v>
      </c>
      <c r="AT1012" s="6" t="str">
        <f>HYPERLINK("http://www.worldcat.org/oclc/13793200","WorldCat Record")</f>
        <v>WorldCat Record</v>
      </c>
      <c r="AU1012" s="3" t="s">
        <v>13118</v>
      </c>
      <c r="AV1012" s="3" t="s">
        <v>13119</v>
      </c>
      <c r="AW1012" s="3" t="s">
        <v>13120</v>
      </c>
      <c r="AX1012" s="3" t="s">
        <v>13120</v>
      </c>
      <c r="AY1012" s="3" t="s">
        <v>13121</v>
      </c>
      <c r="AZ1012" s="3" t="s">
        <v>74</v>
      </c>
      <c r="BB1012" s="3" t="s">
        <v>13122</v>
      </c>
      <c r="BC1012" s="3" t="s">
        <v>13123</v>
      </c>
      <c r="BD1012" s="3" t="s">
        <v>13124</v>
      </c>
    </row>
    <row r="1013" spans="1:56" ht="42.75" customHeight="1" x14ac:dyDescent="0.25">
      <c r="A1013" s="7" t="s">
        <v>58</v>
      </c>
      <c r="B1013" s="2" t="s">
        <v>13125</v>
      </c>
      <c r="C1013" s="2" t="s">
        <v>13126</v>
      </c>
      <c r="D1013" s="2" t="s">
        <v>13127</v>
      </c>
      <c r="F1013" s="3" t="s">
        <v>58</v>
      </c>
      <c r="G1013" s="3" t="s">
        <v>59</v>
      </c>
      <c r="H1013" s="3" t="s">
        <v>58</v>
      </c>
      <c r="I1013" s="3" t="s">
        <v>86</v>
      </c>
      <c r="J1013" s="3" t="s">
        <v>60</v>
      </c>
      <c r="K1013" s="2" t="s">
        <v>13128</v>
      </c>
      <c r="L1013" s="2" t="s">
        <v>13129</v>
      </c>
      <c r="M1013" s="3" t="s">
        <v>586</v>
      </c>
      <c r="N1013" s="2" t="s">
        <v>9332</v>
      </c>
      <c r="O1013" s="3" t="s">
        <v>64</v>
      </c>
      <c r="P1013" s="3" t="s">
        <v>359</v>
      </c>
      <c r="R1013" s="3" t="s">
        <v>67</v>
      </c>
      <c r="S1013" s="4">
        <v>54</v>
      </c>
      <c r="T1013" s="4">
        <v>54</v>
      </c>
      <c r="U1013" s="5" t="s">
        <v>13130</v>
      </c>
      <c r="V1013" s="5" t="s">
        <v>13130</v>
      </c>
      <c r="W1013" s="5" t="s">
        <v>13131</v>
      </c>
      <c r="X1013" s="5" t="s">
        <v>13131</v>
      </c>
      <c r="Y1013" s="4">
        <v>998</v>
      </c>
      <c r="Z1013" s="4">
        <v>915</v>
      </c>
      <c r="AA1013" s="4">
        <v>2051</v>
      </c>
      <c r="AB1013" s="4">
        <v>9</v>
      </c>
      <c r="AC1013" s="4">
        <v>27</v>
      </c>
      <c r="AD1013" s="4">
        <v>17</v>
      </c>
      <c r="AE1013" s="4">
        <v>31</v>
      </c>
      <c r="AF1013" s="4">
        <v>4</v>
      </c>
      <c r="AG1013" s="4">
        <v>9</v>
      </c>
      <c r="AH1013" s="4">
        <v>4</v>
      </c>
      <c r="AI1013" s="4">
        <v>5</v>
      </c>
      <c r="AJ1013" s="4">
        <v>7</v>
      </c>
      <c r="AK1013" s="4">
        <v>16</v>
      </c>
      <c r="AL1013" s="4">
        <v>4</v>
      </c>
      <c r="AM1013" s="4">
        <v>5</v>
      </c>
      <c r="AN1013" s="4">
        <v>1</v>
      </c>
      <c r="AO1013" s="4">
        <v>1</v>
      </c>
      <c r="AP1013" s="3" t="s">
        <v>58</v>
      </c>
      <c r="AQ1013" s="3" t="s">
        <v>86</v>
      </c>
      <c r="AR1013" s="6" t="str">
        <f>HYPERLINK("http://catalog.hathitrust.org/Record/002446636","HathiTrust Record")</f>
        <v>HathiTrust Record</v>
      </c>
      <c r="AS1013" s="6" t="str">
        <f>HYPERLINK("https://creighton-primo.hosted.exlibrisgroup.com/primo-explore/search?tab=default_tab&amp;search_scope=EVERYTHING&amp;vid=01CRU&amp;lang=en_US&amp;offset=0&amp;query=any,contains,991001786909702656","Catalog Record")</f>
        <v>Catalog Record</v>
      </c>
      <c r="AT1013" s="6" t="str">
        <f>HYPERLINK("http://www.worldcat.org/oclc/22508083","WorldCat Record")</f>
        <v>WorldCat Record</v>
      </c>
      <c r="AU1013" s="3" t="s">
        <v>13132</v>
      </c>
      <c r="AV1013" s="3" t="s">
        <v>13133</v>
      </c>
      <c r="AW1013" s="3" t="s">
        <v>13134</v>
      </c>
      <c r="AX1013" s="3" t="s">
        <v>13134</v>
      </c>
      <c r="AY1013" s="3" t="s">
        <v>13135</v>
      </c>
      <c r="AZ1013" s="3" t="s">
        <v>74</v>
      </c>
      <c r="BB1013" s="3" t="s">
        <v>13136</v>
      </c>
      <c r="BC1013" s="3" t="s">
        <v>13137</v>
      </c>
      <c r="BD1013" s="3" t="s">
        <v>13138</v>
      </c>
    </row>
    <row r="1014" spans="1:56" ht="42.75" customHeight="1" x14ac:dyDescent="0.25">
      <c r="A1014" s="7" t="s">
        <v>58</v>
      </c>
      <c r="B1014" s="2" t="s">
        <v>13139</v>
      </c>
      <c r="C1014" s="2" t="s">
        <v>13140</v>
      </c>
      <c r="D1014" s="2" t="s">
        <v>13141</v>
      </c>
      <c r="F1014" s="3" t="s">
        <v>58</v>
      </c>
      <c r="G1014" s="3" t="s">
        <v>59</v>
      </c>
      <c r="H1014" s="3" t="s">
        <v>58</v>
      </c>
      <c r="I1014" s="3" t="s">
        <v>58</v>
      </c>
      <c r="J1014" s="3" t="s">
        <v>60</v>
      </c>
      <c r="L1014" s="2" t="s">
        <v>13142</v>
      </c>
      <c r="M1014" s="3" t="s">
        <v>642</v>
      </c>
      <c r="O1014" s="3" t="s">
        <v>64</v>
      </c>
      <c r="P1014" s="3" t="s">
        <v>239</v>
      </c>
      <c r="Q1014" s="2" t="s">
        <v>13143</v>
      </c>
      <c r="R1014" s="3" t="s">
        <v>67</v>
      </c>
      <c r="S1014" s="4">
        <v>15</v>
      </c>
      <c r="T1014" s="4">
        <v>15</v>
      </c>
      <c r="U1014" s="5" t="s">
        <v>4806</v>
      </c>
      <c r="V1014" s="5" t="s">
        <v>4806</v>
      </c>
      <c r="W1014" s="5" t="s">
        <v>13144</v>
      </c>
      <c r="X1014" s="5" t="s">
        <v>13144</v>
      </c>
      <c r="Y1014" s="4">
        <v>164</v>
      </c>
      <c r="Z1014" s="4">
        <v>98</v>
      </c>
      <c r="AA1014" s="4">
        <v>136</v>
      </c>
      <c r="AB1014" s="4">
        <v>2</v>
      </c>
      <c r="AC1014" s="4">
        <v>2</v>
      </c>
      <c r="AD1014" s="4">
        <v>5</v>
      </c>
      <c r="AE1014" s="4">
        <v>7</v>
      </c>
      <c r="AF1014" s="4">
        <v>0</v>
      </c>
      <c r="AG1014" s="4">
        <v>1</v>
      </c>
      <c r="AH1014" s="4">
        <v>2</v>
      </c>
      <c r="AI1014" s="4">
        <v>3</v>
      </c>
      <c r="AJ1014" s="4">
        <v>2</v>
      </c>
      <c r="AK1014" s="4">
        <v>2</v>
      </c>
      <c r="AL1014" s="4">
        <v>1</v>
      </c>
      <c r="AM1014" s="4">
        <v>1</v>
      </c>
      <c r="AN1014" s="4">
        <v>0</v>
      </c>
      <c r="AO1014" s="4">
        <v>0</v>
      </c>
      <c r="AP1014" s="3" t="s">
        <v>58</v>
      </c>
      <c r="AQ1014" s="3" t="s">
        <v>86</v>
      </c>
      <c r="AR1014" s="6" t="str">
        <f>HYPERLINK("http://catalog.hathitrust.org/Record/002566793","HathiTrust Record")</f>
        <v>HathiTrust Record</v>
      </c>
      <c r="AS1014" s="6" t="str">
        <f>HYPERLINK("https://creighton-primo.hosted.exlibrisgroup.com/primo-explore/search?tab=default_tab&amp;search_scope=EVERYTHING&amp;vid=01CRU&amp;lang=en_US&amp;offset=0&amp;query=any,contains,991002019619702656","Catalog Record")</f>
        <v>Catalog Record</v>
      </c>
      <c r="AT1014" s="6" t="str">
        <f>HYPERLINK("http://www.worldcat.org/oclc/25676948","WorldCat Record")</f>
        <v>WorldCat Record</v>
      </c>
      <c r="AU1014" s="3" t="s">
        <v>13145</v>
      </c>
      <c r="AV1014" s="3" t="s">
        <v>13146</v>
      </c>
      <c r="AW1014" s="3" t="s">
        <v>13147</v>
      </c>
      <c r="AX1014" s="3" t="s">
        <v>13147</v>
      </c>
      <c r="AY1014" s="3" t="s">
        <v>13148</v>
      </c>
      <c r="AZ1014" s="3" t="s">
        <v>74</v>
      </c>
      <c r="BB1014" s="3" t="s">
        <v>13149</v>
      </c>
      <c r="BC1014" s="3" t="s">
        <v>13150</v>
      </c>
      <c r="BD1014" s="3" t="s">
        <v>13151</v>
      </c>
    </row>
    <row r="1015" spans="1:56" ht="42.75" customHeight="1" x14ac:dyDescent="0.25">
      <c r="A1015" s="7" t="s">
        <v>58</v>
      </c>
      <c r="B1015" s="2" t="s">
        <v>13152</v>
      </c>
      <c r="C1015" s="2" t="s">
        <v>13153</v>
      </c>
      <c r="D1015" s="2" t="s">
        <v>13154</v>
      </c>
      <c r="F1015" s="3" t="s">
        <v>58</v>
      </c>
      <c r="G1015" s="3" t="s">
        <v>59</v>
      </c>
      <c r="H1015" s="3" t="s">
        <v>58</v>
      </c>
      <c r="I1015" s="3" t="s">
        <v>58</v>
      </c>
      <c r="J1015" s="3" t="s">
        <v>60</v>
      </c>
      <c r="L1015" s="2" t="s">
        <v>10534</v>
      </c>
      <c r="M1015" s="3" t="s">
        <v>98</v>
      </c>
      <c r="O1015" s="3" t="s">
        <v>64</v>
      </c>
      <c r="P1015" s="3" t="s">
        <v>115</v>
      </c>
      <c r="Q1015" s="2" t="s">
        <v>13155</v>
      </c>
      <c r="R1015" s="3" t="s">
        <v>67</v>
      </c>
      <c r="S1015" s="4">
        <v>36</v>
      </c>
      <c r="T1015" s="4">
        <v>36</v>
      </c>
      <c r="U1015" s="5" t="s">
        <v>13156</v>
      </c>
      <c r="V1015" s="5" t="s">
        <v>13156</v>
      </c>
      <c r="W1015" s="5" t="s">
        <v>13157</v>
      </c>
      <c r="X1015" s="5" t="s">
        <v>13157</v>
      </c>
      <c r="Y1015" s="4">
        <v>281</v>
      </c>
      <c r="Z1015" s="4">
        <v>228</v>
      </c>
      <c r="AA1015" s="4">
        <v>228</v>
      </c>
      <c r="AB1015" s="4">
        <v>2</v>
      </c>
      <c r="AC1015" s="4">
        <v>2</v>
      </c>
      <c r="AD1015" s="4">
        <v>9</v>
      </c>
      <c r="AE1015" s="4">
        <v>9</v>
      </c>
      <c r="AF1015" s="4">
        <v>1</v>
      </c>
      <c r="AG1015" s="4">
        <v>1</v>
      </c>
      <c r="AH1015" s="4">
        <v>4</v>
      </c>
      <c r="AI1015" s="4">
        <v>4</v>
      </c>
      <c r="AJ1015" s="4">
        <v>6</v>
      </c>
      <c r="AK1015" s="4">
        <v>6</v>
      </c>
      <c r="AL1015" s="4">
        <v>1</v>
      </c>
      <c r="AM1015" s="4">
        <v>1</v>
      </c>
      <c r="AN1015" s="4">
        <v>0</v>
      </c>
      <c r="AO1015" s="4">
        <v>0</v>
      </c>
      <c r="AP1015" s="3" t="s">
        <v>58</v>
      </c>
      <c r="AQ1015" s="3" t="s">
        <v>58</v>
      </c>
      <c r="AS1015" s="6" t="str">
        <f>HYPERLINK("https://creighton-primo.hosted.exlibrisgroup.com/primo-explore/search?tab=default_tab&amp;search_scope=EVERYTHING&amp;vid=01CRU&amp;lang=en_US&amp;offset=0&amp;query=any,contains,991001285819702656","Catalog Record")</f>
        <v>Catalog Record</v>
      </c>
      <c r="AT1015" s="6" t="str">
        <f>HYPERLINK("http://www.worldcat.org/oclc/17953985","WorldCat Record")</f>
        <v>WorldCat Record</v>
      </c>
      <c r="AU1015" s="3" t="s">
        <v>13158</v>
      </c>
      <c r="AV1015" s="3" t="s">
        <v>13159</v>
      </c>
      <c r="AW1015" s="3" t="s">
        <v>13160</v>
      </c>
      <c r="AX1015" s="3" t="s">
        <v>13160</v>
      </c>
      <c r="AY1015" s="3" t="s">
        <v>13161</v>
      </c>
      <c r="AZ1015" s="3" t="s">
        <v>74</v>
      </c>
      <c r="BB1015" s="3" t="s">
        <v>13162</v>
      </c>
      <c r="BC1015" s="3" t="s">
        <v>13163</v>
      </c>
      <c r="BD1015" s="3" t="s">
        <v>13164</v>
      </c>
    </row>
    <row r="1016" spans="1:56" ht="42.75" customHeight="1" x14ac:dyDescent="0.25">
      <c r="A1016" s="7" t="s">
        <v>58</v>
      </c>
      <c r="B1016" s="2" t="s">
        <v>13165</v>
      </c>
      <c r="C1016" s="2" t="s">
        <v>13166</v>
      </c>
      <c r="D1016" s="2" t="s">
        <v>13167</v>
      </c>
      <c r="F1016" s="3" t="s">
        <v>58</v>
      </c>
      <c r="G1016" s="3" t="s">
        <v>59</v>
      </c>
      <c r="H1016" s="3" t="s">
        <v>86</v>
      </c>
      <c r="I1016" s="3" t="s">
        <v>86</v>
      </c>
      <c r="J1016" s="3" t="s">
        <v>60</v>
      </c>
      <c r="K1016" s="2" t="s">
        <v>13168</v>
      </c>
      <c r="L1016" s="2" t="s">
        <v>13169</v>
      </c>
      <c r="M1016" s="3" t="s">
        <v>1035</v>
      </c>
      <c r="N1016" s="2" t="s">
        <v>1736</v>
      </c>
      <c r="O1016" s="3" t="s">
        <v>64</v>
      </c>
      <c r="P1016" s="3" t="s">
        <v>115</v>
      </c>
      <c r="R1016" s="3" t="s">
        <v>67</v>
      </c>
      <c r="S1016" s="4">
        <v>5</v>
      </c>
      <c r="T1016" s="4">
        <v>20</v>
      </c>
      <c r="U1016" s="5" t="s">
        <v>13170</v>
      </c>
      <c r="V1016" s="5" t="s">
        <v>13171</v>
      </c>
      <c r="W1016" s="5" t="s">
        <v>13172</v>
      </c>
      <c r="X1016" s="5" t="s">
        <v>6146</v>
      </c>
      <c r="Y1016" s="4">
        <v>1776</v>
      </c>
      <c r="Z1016" s="4">
        <v>1693</v>
      </c>
      <c r="AA1016" s="4">
        <v>1978</v>
      </c>
      <c r="AB1016" s="4">
        <v>14</v>
      </c>
      <c r="AC1016" s="4">
        <v>17</v>
      </c>
      <c r="AD1016" s="4">
        <v>41</v>
      </c>
      <c r="AE1016" s="4">
        <v>50</v>
      </c>
      <c r="AF1016" s="4">
        <v>18</v>
      </c>
      <c r="AG1016" s="4">
        <v>23</v>
      </c>
      <c r="AH1016" s="4">
        <v>7</v>
      </c>
      <c r="AI1016" s="4">
        <v>7</v>
      </c>
      <c r="AJ1016" s="4">
        <v>16</v>
      </c>
      <c r="AK1016" s="4">
        <v>18</v>
      </c>
      <c r="AL1016" s="4">
        <v>9</v>
      </c>
      <c r="AM1016" s="4">
        <v>10</v>
      </c>
      <c r="AN1016" s="4">
        <v>0</v>
      </c>
      <c r="AO1016" s="4">
        <v>1</v>
      </c>
      <c r="AP1016" s="3" t="s">
        <v>58</v>
      </c>
      <c r="AQ1016" s="3" t="s">
        <v>86</v>
      </c>
      <c r="AR1016" s="6" t="str">
        <f>HYPERLINK("http://catalog.hathitrust.org/Record/004284204","HathiTrust Record")</f>
        <v>HathiTrust Record</v>
      </c>
      <c r="AS1016" s="6" t="str">
        <f>HYPERLINK("https://creighton-primo.hosted.exlibrisgroup.com/primo-explore/search?tab=default_tab&amp;search_scope=EVERYTHING&amp;vid=01CRU&amp;lang=en_US&amp;offset=0&amp;query=any,contains,991001707649702656","Catalog Record")</f>
        <v>Catalog Record</v>
      </c>
      <c r="AT1016" s="6" t="str">
        <f>HYPERLINK("http://www.worldcat.org/oclc/45888939","WorldCat Record")</f>
        <v>WorldCat Record</v>
      </c>
      <c r="AU1016" s="3" t="s">
        <v>13173</v>
      </c>
      <c r="AV1016" s="3" t="s">
        <v>13174</v>
      </c>
      <c r="AW1016" s="3" t="s">
        <v>13175</v>
      </c>
      <c r="AX1016" s="3" t="s">
        <v>13175</v>
      </c>
      <c r="AY1016" s="3" t="s">
        <v>13176</v>
      </c>
      <c r="AZ1016" s="3" t="s">
        <v>74</v>
      </c>
      <c r="BB1016" s="3" t="s">
        <v>13177</v>
      </c>
      <c r="BC1016" s="3" t="s">
        <v>13178</v>
      </c>
      <c r="BD1016" s="3" t="s">
        <v>13179</v>
      </c>
    </row>
    <row r="1017" spans="1:56" ht="42.75" customHeight="1" x14ac:dyDescent="0.25">
      <c r="A1017" s="7" t="s">
        <v>58</v>
      </c>
      <c r="B1017" s="2" t="s">
        <v>13180</v>
      </c>
      <c r="C1017" s="2" t="s">
        <v>13181</v>
      </c>
      <c r="D1017" s="2" t="s">
        <v>13167</v>
      </c>
      <c r="F1017" s="3" t="s">
        <v>58</v>
      </c>
      <c r="G1017" s="3" t="s">
        <v>59</v>
      </c>
      <c r="H1017" s="3" t="s">
        <v>58</v>
      </c>
      <c r="I1017" s="3" t="s">
        <v>86</v>
      </c>
      <c r="J1017" s="3" t="s">
        <v>60</v>
      </c>
      <c r="K1017" s="2" t="s">
        <v>13182</v>
      </c>
      <c r="L1017" s="2" t="s">
        <v>13183</v>
      </c>
      <c r="M1017" s="3" t="s">
        <v>1141</v>
      </c>
      <c r="N1017" s="2" t="s">
        <v>13184</v>
      </c>
      <c r="O1017" s="3" t="s">
        <v>64</v>
      </c>
      <c r="P1017" s="3" t="s">
        <v>115</v>
      </c>
      <c r="R1017" s="3" t="s">
        <v>67</v>
      </c>
      <c r="S1017" s="4">
        <v>6</v>
      </c>
      <c r="T1017" s="4">
        <v>6</v>
      </c>
      <c r="U1017" s="5" t="s">
        <v>13185</v>
      </c>
      <c r="V1017" s="5" t="s">
        <v>13185</v>
      </c>
      <c r="W1017" s="5" t="s">
        <v>13186</v>
      </c>
      <c r="X1017" s="5" t="s">
        <v>13186</v>
      </c>
      <c r="Y1017" s="4">
        <v>320</v>
      </c>
      <c r="Z1017" s="4">
        <v>283</v>
      </c>
      <c r="AA1017" s="4">
        <v>1978</v>
      </c>
      <c r="AB1017" s="4">
        <v>2</v>
      </c>
      <c r="AC1017" s="4">
        <v>17</v>
      </c>
      <c r="AD1017" s="4">
        <v>8</v>
      </c>
      <c r="AE1017" s="4">
        <v>50</v>
      </c>
      <c r="AF1017" s="4">
        <v>5</v>
      </c>
      <c r="AG1017" s="4">
        <v>23</v>
      </c>
      <c r="AH1017" s="4">
        <v>0</v>
      </c>
      <c r="AI1017" s="4">
        <v>7</v>
      </c>
      <c r="AJ1017" s="4">
        <v>2</v>
      </c>
      <c r="AK1017" s="4">
        <v>18</v>
      </c>
      <c r="AL1017" s="4">
        <v>0</v>
      </c>
      <c r="AM1017" s="4">
        <v>10</v>
      </c>
      <c r="AN1017" s="4">
        <v>1</v>
      </c>
      <c r="AO1017" s="4">
        <v>1</v>
      </c>
      <c r="AP1017" s="3" t="s">
        <v>58</v>
      </c>
      <c r="AQ1017" s="3" t="s">
        <v>58</v>
      </c>
      <c r="AS1017" s="6" t="str">
        <f>HYPERLINK("https://creighton-primo.hosted.exlibrisgroup.com/primo-explore/search?tab=default_tab&amp;search_scope=EVERYTHING&amp;vid=01CRU&amp;lang=en_US&amp;offset=0&amp;query=any,contains,991004396799702656","Catalog Record")</f>
        <v>Catalog Record</v>
      </c>
      <c r="AT1017" s="6" t="str">
        <f>HYPERLINK("http://www.worldcat.org/oclc/51619921","WorldCat Record")</f>
        <v>WorldCat Record</v>
      </c>
      <c r="AU1017" s="3" t="s">
        <v>13173</v>
      </c>
      <c r="AV1017" s="3" t="s">
        <v>13187</v>
      </c>
      <c r="AW1017" s="3" t="s">
        <v>13188</v>
      </c>
      <c r="AX1017" s="3" t="s">
        <v>13188</v>
      </c>
      <c r="AY1017" s="3" t="s">
        <v>13189</v>
      </c>
      <c r="AZ1017" s="3" t="s">
        <v>74</v>
      </c>
      <c r="BB1017" s="3" t="s">
        <v>13190</v>
      </c>
      <c r="BC1017" s="3" t="s">
        <v>13191</v>
      </c>
      <c r="BD1017" s="3" t="s">
        <v>13192</v>
      </c>
    </row>
    <row r="1018" spans="1:56" ht="42.75" customHeight="1" x14ac:dyDescent="0.25">
      <c r="A1018" s="7" t="s">
        <v>58</v>
      </c>
      <c r="B1018" s="2" t="s">
        <v>13193</v>
      </c>
      <c r="C1018" s="2" t="s">
        <v>13194</v>
      </c>
      <c r="D1018" s="2" t="s">
        <v>13195</v>
      </c>
      <c r="F1018" s="3" t="s">
        <v>58</v>
      </c>
      <c r="G1018" s="3" t="s">
        <v>59</v>
      </c>
      <c r="H1018" s="3" t="s">
        <v>58</v>
      </c>
      <c r="I1018" s="3" t="s">
        <v>58</v>
      </c>
      <c r="J1018" s="3" t="s">
        <v>60</v>
      </c>
      <c r="K1018" s="2" t="s">
        <v>13196</v>
      </c>
      <c r="L1018" s="2" t="s">
        <v>13197</v>
      </c>
      <c r="M1018" s="3" t="s">
        <v>1141</v>
      </c>
      <c r="N1018" s="2" t="s">
        <v>1736</v>
      </c>
      <c r="O1018" s="3" t="s">
        <v>64</v>
      </c>
      <c r="P1018" s="3" t="s">
        <v>115</v>
      </c>
      <c r="R1018" s="3" t="s">
        <v>67</v>
      </c>
      <c r="S1018" s="4">
        <v>2</v>
      </c>
      <c r="T1018" s="4">
        <v>2</v>
      </c>
      <c r="U1018" s="5" t="s">
        <v>5585</v>
      </c>
      <c r="V1018" s="5" t="s">
        <v>5585</v>
      </c>
      <c r="W1018" s="5" t="s">
        <v>5585</v>
      </c>
      <c r="X1018" s="5" t="s">
        <v>5585</v>
      </c>
      <c r="Y1018" s="4">
        <v>628</v>
      </c>
      <c r="Z1018" s="4">
        <v>605</v>
      </c>
      <c r="AA1018" s="4">
        <v>723</v>
      </c>
      <c r="AB1018" s="4">
        <v>4</v>
      </c>
      <c r="AC1018" s="4">
        <v>6</v>
      </c>
      <c r="AD1018" s="4">
        <v>8</v>
      </c>
      <c r="AE1018" s="4">
        <v>8</v>
      </c>
      <c r="AF1018" s="4">
        <v>0</v>
      </c>
      <c r="AG1018" s="4">
        <v>0</v>
      </c>
      <c r="AH1018" s="4">
        <v>3</v>
      </c>
      <c r="AI1018" s="4">
        <v>3</v>
      </c>
      <c r="AJ1018" s="4">
        <v>4</v>
      </c>
      <c r="AK1018" s="4">
        <v>4</v>
      </c>
      <c r="AL1018" s="4">
        <v>2</v>
      </c>
      <c r="AM1018" s="4">
        <v>2</v>
      </c>
      <c r="AN1018" s="4">
        <v>0</v>
      </c>
      <c r="AO1018" s="4">
        <v>0</v>
      </c>
      <c r="AP1018" s="3" t="s">
        <v>58</v>
      </c>
      <c r="AQ1018" s="3" t="s">
        <v>86</v>
      </c>
      <c r="AR1018" s="6" t="str">
        <f>HYPERLINK("http://catalog.hathitrust.org/Record/102026748","HathiTrust Record")</f>
        <v>HathiTrust Record</v>
      </c>
      <c r="AS1018" s="6" t="str">
        <f>HYPERLINK("https://creighton-primo.hosted.exlibrisgroup.com/primo-explore/search?tab=default_tab&amp;search_scope=EVERYTHING&amp;vid=01CRU&amp;lang=en_US&amp;offset=0&amp;query=any,contains,991004175449702656","Catalog Record")</f>
        <v>Catalog Record</v>
      </c>
      <c r="AT1018" s="6" t="str">
        <f>HYPERLINK("http://www.worldcat.org/oclc/50851583","WorldCat Record")</f>
        <v>WorldCat Record</v>
      </c>
      <c r="AU1018" s="3" t="s">
        <v>13198</v>
      </c>
      <c r="AV1018" s="3" t="s">
        <v>13199</v>
      </c>
      <c r="AW1018" s="3" t="s">
        <v>13200</v>
      </c>
      <c r="AX1018" s="3" t="s">
        <v>13200</v>
      </c>
      <c r="AY1018" s="3" t="s">
        <v>13201</v>
      </c>
      <c r="AZ1018" s="3" t="s">
        <v>74</v>
      </c>
      <c r="BB1018" s="3" t="s">
        <v>13202</v>
      </c>
      <c r="BC1018" s="3" t="s">
        <v>13203</v>
      </c>
      <c r="BD1018" s="3" t="s">
        <v>13204</v>
      </c>
    </row>
    <row r="1019" spans="1:56" ht="42.75" customHeight="1" x14ac:dyDescent="0.25">
      <c r="A1019" s="7" t="s">
        <v>58</v>
      </c>
      <c r="B1019" s="2" t="s">
        <v>13205</v>
      </c>
      <c r="C1019" s="2" t="s">
        <v>13206</v>
      </c>
      <c r="D1019" s="2" t="s">
        <v>13207</v>
      </c>
      <c r="F1019" s="3" t="s">
        <v>58</v>
      </c>
      <c r="G1019" s="3" t="s">
        <v>59</v>
      </c>
      <c r="H1019" s="3" t="s">
        <v>58</v>
      </c>
      <c r="I1019" s="3" t="s">
        <v>58</v>
      </c>
      <c r="J1019" s="3" t="s">
        <v>60</v>
      </c>
      <c r="L1019" s="2" t="s">
        <v>13208</v>
      </c>
      <c r="M1019" s="3" t="s">
        <v>207</v>
      </c>
      <c r="O1019" s="3" t="s">
        <v>64</v>
      </c>
      <c r="P1019" s="3" t="s">
        <v>115</v>
      </c>
      <c r="Q1019" s="2" t="s">
        <v>13209</v>
      </c>
      <c r="R1019" s="3" t="s">
        <v>67</v>
      </c>
      <c r="S1019" s="4">
        <v>12</v>
      </c>
      <c r="T1019" s="4">
        <v>12</v>
      </c>
      <c r="U1019" s="5" t="s">
        <v>4806</v>
      </c>
      <c r="V1019" s="5" t="s">
        <v>4806</v>
      </c>
      <c r="W1019" s="5" t="s">
        <v>13210</v>
      </c>
      <c r="X1019" s="5" t="s">
        <v>13210</v>
      </c>
      <c r="Y1019" s="4">
        <v>254</v>
      </c>
      <c r="Z1019" s="4">
        <v>188</v>
      </c>
      <c r="AA1019" s="4">
        <v>193</v>
      </c>
      <c r="AB1019" s="4">
        <v>3</v>
      </c>
      <c r="AC1019" s="4">
        <v>3</v>
      </c>
      <c r="AD1019" s="4">
        <v>5</v>
      </c>
      <c r="AE1019" s="4">
        <v>5</v>
      </c>
      <c r="AF1019" s="4">
        <v>0</v>
      </c>
      <c r="AG1019" s="4">
        <v>0</v>
      </c>
      <c r="AH1019" s="4">
        <v>0</v>
      </c>
      <c r="AI1019" s="4">
        <v>0</v>
      </c>
      <c r="AJ1019" s="4">
        <v>3</v>
      </c>
      <c r="AK1019" s="4">
        <v>3</v>
      </c>
      <c r="AL1019" s="4">
        <v>2</v>
      </c>
      <c r="AM1019" s="4">
        <v>2</v>
      </c>
      <c r="AN1019" s="4">
        <v>0</v>
      </c>
      <c r="AO1019" s="4">
        <v>0</v>
      </c>
      <c r="AP1019" s="3" t="s">
        <v>58</v>
      </c>
      <c r="AQ1019" s="3" t="s">
        <v>58</v>
      </c>
      <c r="AS1019" s="6" t="str">
        <f>HYPERLINK("https://creighton-primo.hosted.exlibrisgroup.com/primo-explore/search?tab=default_tab&amp;search_scope=EVERYTHING&amp;vid=01CRU&amp;lang=en_US&amp;offset=0&amp;query=any,contains,991005097349702656","Catalog Record")</f>
        <v>Catalog Record</v>
      </c>
      <c r="AT1019" s="6" t="str">
        <f>HYPERLINK("http://www.worldcat.org/oclc/7275946","WorldCat Record")</f>
        <v>WorldCat Record</v>
      </c>
      <c r="AU1019" s="3" t="s">
        <v>13211</v>
      </c>
      <c r="AV1019" s="3" t="s">
        <v>13212</v>
      </c>
      <c r="AW1019" s="3" t="s">
        <v>13213</v>
      </c>
      <c r="AX1019" s="3" t="s">
        <v>13213</v>
      </c>
      <c r="AY1019" s="3" t="s">
        <v>13214</v>
      </c>
      <c r="AZ1019" s="3" t="s">
        <v>74</v>
      </c>
      <c r="BB1019" s="3" t="s">
        <v>13215</v>
      </c>
      <c r="BC1019" s="3" t="s">
        <v>13216</v>
      </c>
      <c r="BD1019" s="3" t="s">
        <v>13217</v>
      </c>
    </row>
    <row r="1020" spans="1:56" ht="42.75" customHeight="1" x14ac:dyDescent="0.25">
      <c r="A1020" s="7" t="s">
        <v>58</v>
      </c>
      <c r="B1020" s="2" t="s">
        <v>13218</v>
      </c>
      <c r="C1020" s="2" t="s">
        <v>13219</v>
      </c>
      <c r="D1020" s="2" t="s">
        <v>13220</v>
      </c>
      <c r="F1020" s="3" t="s">
        <v>58</v>
      </c>
      <c r="G1020" s="3" t="s">
        <v>59</v>
      </c>
      <c r="H1020" s="3" t="s">
        <v>58</v>
      </c>
      <c r="I1020" s="3" t="s">
        <v>58</v>
      </c>
      <c r="J1020" s="3" t="s">
        <v>60</v>
      </c>
      <c r="K1020" s="2" t="s">
        <v>13221</v>
      </c>
      <c r="L1020" s="2" t="s">
        <v>13222</v>
      </c>
      <c r="M1020" s="3" t="s">
        <v>207</v>
      </c>
      <c r="O1020" s="3" t="s">
        <v>64</v>
      </c>
      <c r="P1020" s="3" t="s">
        <v>115</v>
      </c>
      <c r="R1020" s="3" t="s">
        <v>67</v>
      </c>
      <c r="S1020" s="4">
        <v>9</v>
      </c>
      <c r="T1020" s="4">
        <v>9</v>
      </c>
      <c r="U1020" s="5" t="s">
        <v>13223</v>
      </c>
      <c r="V1020" s="5" t="s">
        <v>13223</v>
      </c>
      <c r="W1020" s="5" t="s">
        <v>12722</v>
      </c>
      <c r="X1020" s="5" t="s">
        <v>12722</v>
      </c>
      <c r="Y1020" s="4">
        <v>366</v>
      </c>
      <c r="Z1020" s="4">
        <v>315</v>
      </c>
      <c r="AA1020" s="4">
        <v>318</v>
      </c>
      <c r="AB1020" s="4">
        <v>2</v>
      </c>
      <c r="AC1020" s="4">
        <v>2</v>
      </c>
      <c r="AD1020" s="4">
        <v>9</v>
      </c>
      <c r="AE1020" s="4">
        <v>9</v>
      </c>
      <c r="AF1020" s="4">
        <v>3</v>
      </c>
      <c r="AG1020" s="4">
        <v>3</v>
      </c>
      <c r="AH1020" s="4">
        <v>3</v>
      </c>
      <c r="AI1020" s="4">
        <v>3</v>
      </c>
      <c r="AJ1020" s="4">
        <v>7</v>
      </c>
      <c r="AK1020" s="4">
        <v>7</v>
      </c>
      <c r="AL1020" s="4">
        <v>1</v>
      </c>
      <c r="AM1020" s="4">
        <v>1</v>
      </c>
      <c r="AN1020" s="4">
        <v>0</v>
      </c>
      <c r="AO1020" s="4">
        <v>0</v>
      </c>
      <c r="AP1020" s="3" t="s">
        <v>58</v>
      </c>
      <c r="AQ1020" s="3" t="s">
        <v>86</v>
      </c>
      <c r="AR1020" s="6" t="str">
        <f>HYPERLINK("http://catalog.hathitrust.org/Record/000266191","HathiTrust Record")</f>
        <v>HathiTrust Record</v>
      </c>
      <c r="AS1020" s="6" t="str">
        <f>HYPERLINK("https://creighton-primo.hosted.exlibrisgroup.com/primo-explore/search?tab=default_tab&amp;search_scope=EVERYTHING&amp;vid=01CRU&amp;lang=en_US&amp;offset=0&amp;query=any,contains,991005138029702656","Catalog Record")</f>
        <v>Catalog Record</v>
      </c>
      <c r="AT1020" s="6" t="str">
        <f>HYPERLINK("http://www.worldcat.org/oclc/7590852","WorldCat Record")</f>
        <v>WorldCat Record</v>
      </c>
      <c r="AU1020" s="3" t="s">
        <v>13224</v>
      </c>
      <c r="AV1020" s="3" t="s">
        <v>13225</v>
      </c>
      <c r="AW1020" s="3" t="s">
        <v>13226</v>
      </c>
      <c r="AX1020" s="3" t="s">
        <v>13226</v>
      </c>
      <c r="AY1020" s="3" t="s">
        <v>13227</v>
      </c>
      <c r="AZ1020" s="3" t="s">
        <v>74</v>
      </c>
      <c r="BB1020" s="3" t="s">
        <v>13228</v>
      </c>
      <c r="BC1020" s="3" t="s">
        <v>13229</v>
      </c>
      <c r="BD1020" s="3" t="s">
        <v>13230</v>
      </c>
    </row>
    <row r="1021" spans="1:56" ht="42.75" customHeight="1" x14ac:dyDescent="0.25">
      <c r="A1021" s="7" t="s">
        <v>58</v>
      </c>
      <c r="B1021" s="2" t="s">
        <v>13231</v>
      </c>
      <c r="C1021" s="2" t="s">
        <v>13232</v>
      </c>
      <c r="D1021" s="2" t="s">
        <v>13233</v>
      </c>
      <c r="F1021" s="3" t="s">
        <v>58</v>
      </c>
      <c r="G1021" s="3" t="s">
        <v>59</v>
      </c>
      <c r="H1021" s="3" t="s">
        <v>58</v>
      </c>
      <c r="I1021" s="3" t="s">
        <v>58</v>
      </c>
      <c r="J1021" s="3" t="s">
        <v>60</v>
      </c>
      <c r="K1021" s="2" t="s">
        <v>13234</v>
      </c>
      <c r="L1021" s="2" t="s">
        <v>13235</v>
      </c>
      <c r="M1021" s="3" t="s">
        <v>3069</v>
      </c>
      <c r="N1021" s="2" t="s">
        <v>3823</v>
      </c>
      <c r="O1021" s="3" t="s">
        <v>64</v>
      </c>
      <c r="P1021" s="3" t="s">
        <v>99</v>
      </c>
      <c r="R1021" s="3" t="s">
        <v>67</v>
      </c>
      <c r="S1021" s="4">
        <v>0</v>
      </c>
      <c r="T1021" s="4">
        <v>0</v>
      </c>
      <c r="U1021" s="5" t="s">
        <v>13236</v>
      </c>
      <c r="V1021" s="5" t="s">
        <v>13236</v>
      </c>
      <c r="W1021" s="5" t="s">
        <v>165</v>
      </c>
      <c r="X1021" s="5" t="s">
        <v>165</v>
      </c>
      <c r="Y1021" s="4">
        <v>664</v>
      </c>
      <c r="Z1021" s="4">
        <v>602</v>
      </c>
      <c r="AA1021" s="4">
        <v>668</v>
      </c>
      <c r="AB1021" s="4">
        <v>6</v>
      </c>
      <c r="AC1021" s="4">
        <v>6</v>
      </c>
      <c r="AD1021" s="4">
        <v>27</v>
      </c>
      <c r="AE1021" s="4">
        <v>27</v>
      </c>
      <c r="AF1021" s="4">
        <v>12</v>
      </c>
      <c r="AG1021" s="4">
        <v>12</v>
      </c>
      <c r="AH1021" s="4">
        <v>5</v>
      </c>
      <c r="AI1021" s="4">
        <v>5</v>
      </c>
      <c r="AJ1021" s="4">
        <v>12</v>
      </c>
      <c r="AK1021" s="4">
        <v>12</v>
      </c>
      <c r="AL1021" s="4">
        <v>5</v>
      </c>
      <c r="AM1021" s="4">
        <v>5</v>
      </c>
      <c r="AN1021" s="4">
        <v>0</v>
      </c>
      <c r="AO1021" s="4">
        <v>0</v>
      </c>
      <c r="AP1021" s="3" t="s">
        <v>58</v>
      </c>
      <c r="AQ1021" s="3" t="s">
        <v>86</v>
      </c>
      <c r="AR1021" s="6" t="str">
        <f>HYPERLINK("http://catalog.hathitrust.org/Record/001565078","HathiTrust Record")</f>
        <v>HathiTrust Record</v>
      </c>
      <c r="AS1021" s="6" t="str">
        <f>HYPERLINK("https://creighton-primo.hosted.exlibrisgroup.com/primo-explore/search?tab=default_tab&amp;search_scope=EVERYTHING&amp;vid=01CRU&amp;lang=en_US&amp;offset=0&amp;query=any,contains,991002741449702656","Catalog Record")</f>
        <v>Catalog Record</v>
      </c>
      <c r="AT1021" s="6" t="str">
        <f>HYPERLINK("http://www.worldcat.org/oclc/421273","WorldCat Record")</f>
        <v>WorldCat Record</v>
      </c>
      <c r="AU1021" s="3" t="s">
        <v>13237</v>
      </c>
      <c r="AV1021" s="3" t="s">
        <v>13238</v>
      </c>
      <c r="AW1021" s="3" t="s">
        <v>13239</v>
      </c>
      <c r="AX1021" s="3" t="s">
        <v>13239</v>
      </c>
      <c r="AY1021" s="3" t="s">
        <v>13240</v>
      </c>
      <c r="AZ1021" s="3" t="s">
        <v>74</v>
      </c>
      <c r="BC1021" s="3" t="s">
        <v>13241</v>
      </c>
      <c r="BD1021" s="3" t="s">
        <v>13242</v>
      </c>
    </row>
    <row r="1022" spans="1:56" ht="42.75" customHeight="1" x14ac:dyDescent="0.25">
      <c r="A1022" s="7" t="s">
        <v>58</v>
      </c>
      <c r="B1022" s="2" t="s">
        <v>13243</v>
      </c>
      <c r="C1022" s="2" t="s">
        <v>13244</v>
      </c>
      <c r="D1022" s="2" t="s">
        <v>13245</v>
      </c>
      <c r="F1022" s="3" t="s">
        <v>58</v>
      </c>
      <c r="G1022" s="3" t="s">
        <v>59</v>
      </c>
      <c r="H1022" s="3" t="s">
        <v>58</v>
      </c>
      <c r="I1022" s="3" t="s">
        <v>58</v>
      </c>
      <c r="J1022" s="3" t="s">
        <v>60</v>
      </c>
      <c r="K1022" s="2" t="s">
        <v>13246</v>
      </c>
      <c r="L1022" s="2" t="s">
        <v>13247</v>
      </c>
      <c r="M1022" s="3" t="s">
        <v>223</v>
      </c>
      <c r="O1022" s="3" t="s">
        <v>64</v>
      </c>
      <c r="P1022" s="3" t="s">
        <v>316</v>
      </c>
      <c r="R1022" s="3" t="s">
        <v>67</v>
      </c>
      <c r="S1022" s="4">
        <v>3</v>
      </c>
      <c r="T1022" s="4">
        <v>3</v>
      </c>
      <c r="U1022" s="5" t="s">
        <v>7026</v>
      </c>
      <c r="V1022" s="5" t="s">
        <v>7026</v>
      </c>
      <c r="W1022" s="5" t="s">
        <v>4730</v>
      </c>
      <c r="X1022" s="5" t="s">
        <v>4730</v>
      </c>
      <c r="Y1022" s="4">
        <v>558</v>
      </c>
      <c r="Z1022" s="4">
        <v>494</v>
      </c>
      <c r="AA1022" s="4">
        <v>513</v>
      </c>
      <c r="AB1022" s="4">
        <v>5</v>
      </c>
      <c r="AC1022" s="4">
        <v>5</v>
      </c>
      <c r="AD1022" s="4">
        <v>18</v>
      </c>
      <c r="AE1022" s="4">
        <v>18</v>
      </c>
      <c r="AF1022" s="4">
        <v>6</v>
      </c>
      <c r="AG1022" s="4">
        <v>6</v>
      </c>
      <c r="AH1022" s="4">
        <v>3</v>
      </c>
      <c r="AI1022" s="4">
        <v>3</v>
      </c>
      <c r="AJ1022" s="4">
        <v>5</v>
      </c>
      <c r="AK1022" s="4">
        <v>5</v>
      </c>
      <c r="AL1022" s="4">
        <v>4</v>
      </c>
      <c r="AM1022" s="4">
        <v>4</v>
      </c>
      <c r="AN1022" s="4">
        <v>0</v>
      </c>
      <c r="AO1022" s="4">
        <v>0</v>
      </c>
      <c r="AP1022" s="3" t="s">
        <v>58</v>
      </c>
      <c r="AQ1022" s="3" t="s">
        <v>86</v>
      </c>
      <c r="AR1022" s="6" t="str">
        <f>HYPERLINK("http://catalog.hathitrust.org/Record/000089767","HathiTrust Record")</f>
        <v>HathiTrust Record</v>
      </c>
      <c r="AS1022" s="6" t="str">
        <f>HYPERLINK("https://creighton-primo.hosted.exlibrisgroup.com/primo-explore/search?tab=default_tab&amp;search_scope=EVERYTHING&amp;vid=01CRU&amp;lang=en_US&amp;offset=0&amp;query=any,contains,991004461469702656","Catalog Record")</f>
        <v>Catalog Record</v>
      </c>
      <c r="AT1022" s="6" t="str">
        <f>HYPERLINK("http://www.worldcat.org/oclc/3543598","WorldCat Record")</f>
        <v>WorldCat Record</v>
      </c>
      <c r="AU1022" s="3" t="s">
        <v>13248</v>
      </c>
      <c r="AV1022" s="3" t="s">
        <v>13249</v>
      </c>
      <c r="AW1022" s="3" t="s">
        <v>13250</v>
      </c>
      <c r="AX1022" s="3" t="s">
        <v>13250</v>
      </c>
      <c r="AY1022" s="3" t="s">
        <v>13251</v>
      </c>
      <c r="AZ1022" s="3" t="s">
        <v>74</v>
      </c>
      <c r="BB1022" s="3" t="s">
        <v>13252</v>
      </c>
      <c r="BC1022" s="3" t="s">
        <v>13253</v>
      </c>
      <c r="BD1022" s="3" t="s">
        <v>13254</v>
      </c>
    </row>
    <row r="1023" spans="1:56" ht="42.75" customHeight="1" x14ac:dyDescent="0.25">
      <c r="A1023" s="7" t="s">
        <v>58</v>
      </c>
      <c r="B1023" s="2" t="s">
        <v>13255</v>
      </c>
      <c r="C1023" s="2" t="s">
        <v>13256</v>
      </c>
      <c r="D1023" s="2" t="s">
        <v>13257</v>
      </c>
      <c r="F1023" s="3" t="s">
        <v>58</v>
      </c>
      <c r="G1023" s="3" t="s">
        <v>59</v>
      </c>
      <c r="H1023" s="3" t="s">
        <v>58</v>
      </c>
      <c r="I1023" s="3" t="s">
        <v>58</v>
      </c>
      <c r="J1023" s="3" t="s">
        <v>60</v>
      </c>
      <c r="K1023" s="2" t="s">
        <v>13258</v>
      </c>
      <c r="L1023" s="2" t="s">
        <v>13259</v>
      </c>
      <c r="M1023" s="3" t="s">
        <v>3124</v>
      </c>
      <c r="O1023" s="3" t="s">
        <v>64</v>
      </c>
      <c r="P1023" s="3" t="s">
        <v>1898</v>
      </c>
      <c r="Q1023" s="2" t="s">
        <v>8521</v>
      </c>
      <c r="R1023" s="3" t="s">
        <v>67</v>
      </c>
      <c r="S1023" s="4">
        <v>13</v>
      </c>
      <c r="T1023" s="4">
        <v>13</v>
      </c>
      <c r="U1023" s="5" t="s">
        <v>13260</v>
      </c>
      <c r="V1023" s="5" t="s">
        <v>13260</v>
      </c>
      <c r="W1023" s="5" t="s">
        <v>6280</v>
      </c>
      <c r="X1023" s="5" t="s">
        <v>6280</v>
      </c>
      <c r="Y1023" s="4">
        <v>400</v>
      </c>
      <c r="Z1023" s="4">
        <v>303</v>
      </c>
      <c r="AA1023" s="4">
        <v>311</v>
      </c>
      <c r="AB1023" s="4">
        <v>2</v>
      </c>
      <c r="AC1023" s="4">
        <v>2</v>
      </c>
      <c r="AD1023" s="4">
        <v>11</v>
      </c>
      <c r="AE1023" s="4">
        <v>11</v>
      </c>
      <c r="AF1023" s="4">
        <v>4</v>
      </c>
      <c r="AG1023" s="4">
        <v>4</v>
      </c>
      <c r="AH1023" s="4">
        <v>3</v>
      </c>
      <c r="AI1023" s="4">
        <v>3</v>
      </c>
      <c r="AJ1023" s="4">
        <v>6</v>
      </c>
      <c r="AK1023" s="4">
        <v>6</v>
      </c>
      <c r="AL1023" s="4">
        <v>1</v>
      </c>
      <c r="AM1023" s="4">
        <v>1</v>
      </c>
      <c r="AN1023" s="4">
        <v>0</v>
      </c>
      <c r="AO1023" s="4">
        <v>0</v>
      </c>
      <c r="AP1023" s="3" t="s">
        <v>58</v>
      </c>
      <c r="AQ1023" s="3" t="s">
        <v>86</v>
      </c>
      <c r="AR1023" s="6" t="str">
        <f>HYPERLINK("http://catalog.hathitrust.org/Record/001565087","HathiTrust Record")</f>
        <v>HathiTrust Record</v>
      </c>
      <c r="AS1023" s="6" t="str">
        <f>HYPERLINK("https://creighton-primo.hosted.exlibrisgroup.com/primo-explore/search?tab=default_tab&amp;search_scope=EVERYTHING&amp;vid=01CRU&amp;lang=en_US&amp;offset=0&amp;query=any,contains,991000597249702656","Catalog Record")</f>
        <v>Catalog Record</v>
      </c>
      <c r="AT1023" s="6" t="str">
        <f>HYPERLINK("http://www.worldcat.org/oclc/97389","WorldCat Record")</f>
        <v>WorldCat Record</v>
      </c>
      <c r="AU1023" s="3" t="s">
        <v>13261</v>
      </c>
      <c r="AV1023" s="3" t="s">
        <v>13262</v>
      </c>
      <c r="AW1023" s="3" t="s">
        <v>13263</v>
      </c>
      <c r="AX1023" s="3" t="s">
        <v>13263</v>
      </c>
      <c r="AY1023" s="3" t="s">
        <v>13264</v>
      </c>
      <c r="AZ1023" s="3" t="s">
        <v>74</v>
      </c>
      <c r="BB1023" s="3" t="s">
        <v>13265</v>
      </c>
      <c r="BC1023" s="3" t="s">
        <v>13266</v>
      </c>
      <c r="BD1023" s="3" t="s">
        <v>13267</v>
      </c>
    </row>
    <row r="1024" spans="1:56" ht="42.75" customHeight="1" x14ac:dyDescent="0.25">
      <c r="A1024" s="7" t="s">
        <v>58</v>
      </c>
      <c r="B1024" s="2" t="s">
        <v>13268</v>
      </c>
      <c r="C1024" s="2" t="s">
        <v>13269</v>
      </c>
      <c r="D1024" s="2" t="s">
        <v>13270</v>
      </c>
      <c r="F1024" s="3" t="s">
        <v>58</v>
      </c>
      <c r="G1024" s="3" t="s">
        <v>59</v>
      </c>
      <c r="H1024" s="3" t="s">
        <v>58</v>
      </c>
      <c r="I1024" s="3" t="s">
        <v>58</v>
      </c>
      <c r="J1024" s="3" t="s">
        <v>60</v>
      </c>
      <c r="K1024" s="2" t="s">
        <v>13271</v>
      </c>
      <c r="L1024" s="2" t="s">
        <v>13272</v>
      </c>
      <c r="M1024" s="3" t="s">
        <v>82</v>
      </c>
      <c r="O1024" s="3" t="s">
        <v>64</v>
      </c>
      <c r="P1024" s="3" t="s">
        <v>115</v>
      </c>
      <c r="R1024" s="3" t="s">
        <v>67</v>
      </c>
      <c r="S1024" s="4">
        <v>2</v>
      </c>
      <c r="T1024" s="4">
        <v>2</v>
      </c>
      <c r="U1024" s="5" t="s">
        <v>13273</v>
      </c>
      <c r="V1024" s="5" t="s">
        <v>13273</v>
      </c>
      <c r="W1024" s="5" t="s">
        <v>4730</v>
      </c>
      <c r="X1024" s="5" t="s">
        <v>4730</v>
      </c>
      <c r="Y1024" s="4">
        <v>229</v>
      </c>
      <c r="Z1024" s="4">
        <v>173</v>
      </c>
      <c r="AA1024" s="4">
        <v>175</v>
      </c>
      <c r="AB1024" s="4">
        <v>2</v>
      </c>
      <c r="AC1024" s="4">
        <v>2</v>
      </c>
      <c r="AD1024" s="4">
        <v>10</v>
      </c>
      <c r="AE1024" s="4">
        <v>10</v>
      </c>
      <c r="AF1024" s="4">
        <v>4</v>
      </c>
      <c r="AG1024" s="4">
        <v>4</v>
      </c>
      <c r="AH1024" s="4">
        <v>3</v>
      </c>
      <c r="AI1024" s="4">
        <v>3</v>
      </c>
      <c r="AJ1024" s="4">
        <v>7</v>
      </c>
      <c r="AK1024" s="4">
        <v>7</v>
      </c>
      <c r="AL1024" s="4">
        <v>1</v>
      </c>
      <c r="AM1024" s="4">
        <v>1</v>
      </c>
      <c r="AN1024" s="4">
        <v>0</v>
      </c>
      <c r="AO1024" s="4">
        <v>0</v>
      </c>
      <c r="AP1024" s="3" t="s">
        <v>58</v>
      </c>
      <c r="AQ1024" s="3" t="s">
        <v>86</v>
      </c>
      <c r="AR1024" s="6" t="str">
        <f>HYPERLINK("http://catalog.hathitrust.org/Record/007551439","HathiTrust Record")</f>
        <v>HathiTrust Record</v>
      </c>
      <c r="AS1024" s="6" t="str">
        <f>HYPERLINK("https://creighton-primo.hosted.exlibrisgroup.com/primo-explore/search?tab=default_tab&amp;search_scope=EVERYTHING&amp;vid=01CRU&amp;lang=en_US&amp;offset=0&amp;query=any,contains,991000705189702656","Catalog Record")</f>
        <v>Catalog Record</v>
      </c>
      <c r="AT1024" s="6" t="str">
        <f>HYPERLINK("http://www.worldcat.org/oclc/12556688","WorldCat Record")</f>
        <v>WorldCat Record</v>
      </c>
      <c r="AU1024" s="3" t="s">
        <v>13274</v>
      </c>
      <c r="AV1024" s="3" t="s">
        <v>13275</v>
      </c>
      <c r="AW1024" s="3" t="s">
        <v>13276</v>
      </c>
      <c r="AX1024" s="3" t="s">
        <v>13276</v>
      </c>
      <c r="AY1024" s="3" t="s">
        <v>13277</v>
      </c>
      <c r="AZ1024" s="3" t="s">
        <v>74</v>
      </c>
      <c r="BB1024" s="3" t="s">
        <v>13278</v>
      </c>
      <c r="BC1024" s="3" t="s">
        <v>13279</v>
      </c>
      <c r="BD1024" s="3" t="s">
        <v>13280</v>
      </c>
    </row>
    <row r="1025" spans="1:56" ht="42.75" customHeight="1" x14ac:dyDescent="0.25">
      <c r="A1025" s="7" t="s">
        <v>58</v>
      </c>
      <c r="B1025" s="2" t="s">
        <v>13281</v>
      </c>
      <c r="C1025" s="2" t="s">
        <v>13282</v>
      </c>
      <c r="D1025" s="2" t="s">
        <v>13283</v>
      </c>
      <c r="F1025" s="3" t="s">
        <v>58</v>
      </c>
      <c r="G1025" s="3" t="s">
        <v>59</v>
      </c>
      <c r="H1025" s="3" t="s">
        <v>58</v>
      </c>
      <c r="I1025" s="3" t="s">
        <v>58</v>
      </c>
      <c r="J1025" s="3" t="s">
        <v>60</v>
      </c>
      <c r="K1025" s="2" t="s">
        <v>13284</v>
      </c>
      <c r="L1025" s="2" t="s">
        <v>13285</v>
      </c>
      <c r="M1025" s="3" t="s">
        <v>2907</v>
      </c>
      <c r="O1025" s="3" t="s">
        <v>64</v>
      </c>
      <c r="P1025" s="3" t="s">
        <v>115</v>
      </c>
      <c r="R1025" s="3" t="s">
        <v>67</v>
      </c>
      <c r="S1025" s="4">
        <v>2</v>
      </c>
      <c r="T1025" s="4">
        <v>2</v>
      </c>
      <c r="U1025" s="5" t="s">
        <v>7026</v>
      </c>
      <c r="V1025" s="5" t="s">
        <v>7026</v>
      </c>
      <c r="W1025" s="5" t="s">
        <v>2078</v>
      </c>
      <c r="X1025" s="5" t="s">
        <v>2078</v>
      </c>
      <c r="Y1025" s="4">
        <v>439</v>
      </c>
      <c r="Z1025" s="4">
        <v>390</v>
      </c>
      <c r="AA1025" s="4">
        <v>411</v>
      </c>
      <c r="AB1025" s="4">
        <v>2</v>
      </c>
      <c r="AC1025" s="4">
        <v>2</v>
      </c>
      <c r="AD1025" s="4">
        <v>12</v>
      </c>
      <c r="AE1025" s="4">
        <v>14</v>
      </c>
      <c r="AF1025" s="4">
        <v>3</v>
      </c>
      <c r="AG1025" s="4">
        <v>4</v>
      </c>
      <c r="AH1025" s="4">
        <v>3</v>
      </c>
      <c r="AI1025" s="4">
        <v>4</v>
      </c>
      <c r="AJ1025" s="4">
        <v>8</v>
      </c>
      <c r="AK1025" s="4">
        <v>8</v>
      </c>
      <c r="AL1025" s="4">
        <v>1</v>
      </c>
      <c r="AM1025" s="4">
        <v>1</v>
      </c>
      <c r="AN1025" s="4">
        <v>0</v>
      </c>
      <c r="AO1025" s="4">
        <v>0</v>
      </c>
      <c r="AP1025" s="3" t="s">
        <v>58</v>
      </c>
      <c r="AQ1025" s="3" t="s">
        <v>86</v>
      </c>
      <c r="AR1025" s="6" t="str">
        <f>HYPERLINK("http://catalog.hathitrust.org/Record/001565090","HathiTrust Record")</f>
        <v>HathiTrust Record</v>
      </c>
      <c r="AS1025" s="6" t="str">
        <f>HYPERLINK("https://creighton-primo.hosted.exlibrisgroup.com/primo-explore/search?tab=default_tab&amp;search_scope=EVERYTHING&amp;vid=01CRU&amp;lang=en_US&amp;offset=0&amp;query=any,contains,991002836829702656","Catalog Record")</f>
        <v>Catalog Record</v>
      </c>
      <c r="AT1025" s="6" t="str">
        <f>HYPERLINK("http://www.worldcat.org/oclc/480373","WorldCat Record")</f>
        <v>WorldCat Record</v>
      </c>
      <c r="AU1025" s="3" t="s">
        <v>13286</v>
      </c>
      <c r="AV1025" s="3" t="s">
        <v>13287</v>
      </c>
      <c r="AW1025" s="3" t="s">
        <v>13288</v>
      </c>
      <c r="AX1025" s="3" t="s">
        <v>13288</v>
      </c>
      <c r="AY1025" s="3" t="s">
        <v>13289</v>
      </c>
      <c r="AZ1025" s="3" t="s">
        <v>74</v>
      </c>
      <c r="BC1025" s="3" t="s">
        <v>13290</v>
      </c>
      <c r="BD1025" s="3" t="s">
        <v>13291</v>
      </c>
    </row>
    <row r="1026" spans="1:56" ht="42.75" customHeight="1" x14ac:dyDescent="0.25">
      <c r="A1026" s="7" t="s">
        <v>58</v>
      </c>
      <c r="B1026" s="2" t="s">
        <v>13292</v>
      </c>
      <c r="C1026" s="2" t="s">
        <v>13293</v>
      </c>
      <c r="D1026" s="2" t="s">
        <v>13294</v>
      </c>
      <c r="F1026" s="3" t="s">
        <v>58</v>
      </c>
      <c r="G1026" s="3" t="s">
        <v>59</v>
      </c>
      <c r="H1026" s="3" t="s">
        <v>58</v>
      </c>
      <c r="I1026" s="3" t="s">
        <v>58</v>
      </c>
      <c r="J1026" s="3" t="s">
        <v>60</v>
      </c>
      <c r="K1026" s="2" t="s">
        <v>13295</v>
      </c>
      <c r="L1026" s="2" t="s">
        <v>13296</v>
      </c>
      <c r="M1026" s="3" t="s">
        <v>1574</v>
      </c>
      <c r="N1026" s="2" t="s">
        <v>1736</v>
      </c>
      <c r="O1026" s="3" t="s">
        <v>64</v>
      </c>
      <c r="P1026" s="3" t="s">
        <v>115</v>
      </c>
      <c r="R1026" s="3" t="s">
        <v>67</v>
      </c>
      <c r="S1026" s="4">
        <v>4</v>
      </c>
      <c r="T1026" s="4">
        <v>4</v>
      </c>
      <c r="U1026" s="5" t="s">
        <v>7026</v>
      </c>
      <c r="V1026" s="5" t="s">
        <v>7026</v>
      </c>
      <c r="W1026" s="5" t="s">
        <v>5462</v>
      </c>
      <c r="X1026" s="5" t="s">
        <v>5462</v>
      </c>
      <c r="Y1026" s="4">
        <v>216</v>
      </c>
      <c r="Z1026" s="4">
        <v>195</v>
      </c>
      <c r="AA1026" s="4">
        <v>201</v>
      </c>
      <c r="AB1026" s="4">
        <v>3</v>
      </c>
      <c r="AC1026" s="4">
        <v>3</v>
      </c>
      <c r="AD1026" s="4">
        <v>8</v>
      </c>
      <c r="AE1026" s="4">
        <v>8</v>
      </c>
      <c r="AF1026" s="4">
        <v>2</v>
      </c>
      <c r="AG1026" s="4">
        <v>2</v>
      </c>
      <c r="AH1026" s="4">
        <v>2</v>
      </c>
      <c r="AI1026" s="4">
        <v>2</v>
      </c>
      <c r="AJ1026" s="4">
        <v>2</v>
      </c>
      <c r="AK1026" s="4">
        <v>2</v>
      </c>
      <c r="AL1026" s="4">
        <v>2</v>
      </c>
      <c r="AM1026" s="4">
        <v>2</v>
      </c>
      <c r="AN1026" s="4">
        <v>0</v>
      </c>
      <c r="AO1026" s="4">
        <v>0</v>
      </c>
      <c r="AP1026" s="3" t="s">
        <v>58</v>
      </c>
      <c r="AQ1026" s="3" t="s">
        <v>86</v>
      </c>
      <c r="AR1026" s="6" t="str">
        <f>HYPERLINK("http://catalog.hathitrust.org/Record/000312171","HathiTrust Record")</f>
        <v>HathiTrust Record</v>
      </c>
      <c r="AS1026" s="6" t="str">
        <f>HYPERLINK("https://creighton-primo.hosted.exlibrisgroup.com/primo-explore/search?tab=default_tab&amp;search_scope=EVERYTHING&amp;vid=01CRU&amp;lang=en_US&amp;offset=0&amp;query=any,contains,991005225549702656","Catalog Record")</f>
        <v>Catalog Record</v>
      </c>
      <c r="AT1026" s="6" t="str">
        <f>HYPERLINK("http://www.worldcat.org/oclc/8281653","WorldCat Record")</f>
        <v>WorldCat Record</v>
      </c>
      <c r="AU1026" s="3" t="s">
        <v>13297</v>
      </c>
      <c r="AV1026" s="3" t="s">
        <v>13298</v>
      </c>
      <c r="AW1026" s="3" t="s">
        <v>13299</v>
      </c>
      <c r="AX1026" s="3" t="s">
        <v>13299</v>
      </c>
      <c r="AY1026" s="3" t="s">
        <v>13300</v>
      </c>
      <c r="AZ1026" s="3" t="s">
        <v>74</v>
      </c>
      <c r="BC1026" s="3" t="s">
        <v>13301</v>
      </c>
      <c r="BD1026" s="3" t="s">
        <v>13302</v>
      </c>
    </row>
    <row r="1027" spans="1:56" ht="42.75" customHeight="1" x14ac:dyDescent="0.25">
      <c r="A1027" s="7" t="s">
        <v>58</v>
      </c>
      <c r="B1027" s="2" t="s">
        <v>13303</v>
      </c>
      <c r="C1027" s="2" t="s">
        <v>13304</v>
      </c>
      <c r="D1027" s="2" t="s">
        <v>13305</v>
      </c>
      <c r="F1027" s="3" t="s">
        <v>58</v>
      </c>
      <c r="G1027" s="3" t="s">
        <v>59</v>
      </c>
      <c r="H1027" s="3" t="s">
        <v>58</v>
      </c>
      <c r="I1027" s="3" t="s">
        <v>58</v>
      </c>
      <c r="J1027" s="3" t="s">
        <v>60</v>
      </c>
      <c r="L1027" s="2" t="s">
        <v>13306</v>
      </c>
      <c r="M1027" s="3" t="s">
        <v>765</v>
      </c>
      <c r="O1027" s="3" t="s">
        <v>64</v>
      </c>
      <c r="P1027" s="3" t="s">
        <v>99</v>
      </c>
      <c r="Q1027" s="2" t="s">
        <v>13307</v>
      </c>
      <c r="R1027" s="3" t="s">
        <v>67</v>
      </c>
      <c r="S1027" s="4">
        <v>47</v>
      </c>
      <c r="T1027" s="4">
        <v>47</v>
      </c>
      <c r="U1027" s="5" t="s">
        <v>13308</v>
      </c>
      <c r="V1027" s="5" t="s">
        <v>13308</v>
      </c>
      <c r="W1027" s="5" t="s">
        <v>13309</v>
      </c>
      <c r="X1027" s="5" t="s">
        <v>13309</v>
      </c>
      <c r="Y1027" s="4">
        <v>326</v>
      </c>
      <c r="Z1027" s="4">
        <v>214</v>
      </c>
      <c r="AA1027" s="4">
        <v>217</v>
      </c>
      <c r="AB1027" s="4">
        <v>2</v>
      </c>
      <c r="AC1027" s="4">
        <v>2</v>
      </c>
      <c r="AD1027" s="4">
        <v>12</v>
      </c>
      <c r="AE1027" s="4">
        <v>12</v>
      </c>
      <c r="AF1027" s="4">
        <v>4</v>
      </c>
      <c r="AG1027" s="4">
        <v>4</v>
      </c>
      <c r="AH1027" s="4">
        <v>3</v>
      </c>
      <c r="AI1027" s="4">
        <v>3</v>
      </c>
      <c r="AJ1027" s="4">
        <v>6</v>
      </c>
      <c r="AK1027" s="4">
        <v>6</v>
      </c>
      <c r="AL1027" s="4">
        <v>1</v>
      </c>
      <c r="AM1027" s="4">
        <v>1</v>
      </c>
      <c r="AN1027" s="4">
        <v>0</v>
      </c>
      <c r="AO1027" s="4">
        <v>0</v>
      </c>
      <c r="AP1027" s="3" t="s">
        <v>58</v>
      </c>
      <c r="AQ1027" s="3" t="s">
        <v>86</v>
      </c>
      <c r="AR1027" s="6" t="str">
        <f>HYPERLINK("http://catalog.hathitrust.org/Record/002977290","HathiTrust Record")</f>
        <v>HathiTrust Record</v>
      </c>
      <c r="AS1027" s="6" t="str">
        <f>HYPERLINK("https://creighton-primo.hosted.exlibrisgroup.com/primo-explore/search?tab=default_tab&amp;search_scope=EVERYTHING&amp;vid=01CRU&amp;lang=en_US&amp;offset=0&amp;query=any,contains,991002414499702656","Catalog Record")</f>
        <v>Catalog Record</v>
      </c>
      <c r="AT1027" s="6" t="str">
        <f>HYPERLINK("http://www.worldcat.org/oclc/31434046","WorldCat Record")</f>
        <v>WorldCat Record</v>
      </c>
      <c r="AU1027" s="3" t="s">
        <v>13310</v>
      </c>
      <c r="AV1027" s="3" t="s">
        <v>13311</v>
      </c>
      <c r="AW1027" s="3" t="s">
        <v>13312</v>
      </c>
      <c r="AX1027" s="3" t="s">
        <v>13312</v>
      </c>
      <c r="AY1027" s="3" t="s">
        <v>13313</v>
      </c>
      <c r="AZ1027" s="3" t="s">
        <v>74</v>
      </c>
      <c r="BB1027" s="3" t="s">
        <v>13314</v>
      </c>
      <c r="BC1027" s="3" t="s">
        <v>13315</v>
      </c>
      <c r="BD1027" s="3" t="s">
        <v>13316</v>
      </c>
    </row>
    <row r="1028" spans="1:56" ht="42.75" customHeight="1" x14ac:dyDescent="0.25">
      <c r="A1028" s="7" t="s">
        <v>58</v>
      </c>
      <c r="B1028" s="2" t="s">
        <v>13317</v>
      </c>
      <c r="C1028" s="2" t="s">
        <v>13318</v>
      </c>
      <c r="D1028" s="2" t="s">
        <v>13319</v>
      </c>
      <c r="F1028" s="3" t="s">
        <v>58</v>
      </c>
      <c r="G1028" s="3" t="s">
        <v>59</v>
      </c>
      <c r="H1028" s="3" t="s">
        <v>58</v>
      </c>
      <c r="I1028" s="3" t="s">
        <v>58</v>
      </c>
      <c r="J1028" s="3" t="s">
        <v>60</v>
      </c>
      <c r="L1028" s="2" t="s">
        <v>7639</v>
      </c>
      <c r="M1028" s="3" t="s">
        <v>82</v>
      </c>
      <c r="O1028" s="3" t="s">
        <v>64</v>
      </c>
      <c r="P1028" s="3" t="s">
        <v>115</v>
      </c>
      <c r="R1028" s="3" t="s">
        <v>67</v>
      </c>
      <c r="S1028" s="4">
        <v>48</v>
      </c>
      <c r="T1028" s="4">
        <v>48</v>
      </c>
      <c r="U1028" s="5" t="s">
        <v>13320</v>
      </c>
      <c r="V1028" s="5" t="s">
        <v>13320</v>
      </c>
      <c r="W1028" s="5" t="s">
        <v>13321</v>
      </c>
      <c r="X1028" s="5" t="s">
        <v>13321</v>
      </c>
      <c r="Y1028" s="4">
        <v>478</v>
      </c>
      <c r="Z1028" s="4">
        <v>376</v>
      </c>
      <c r="AA1028" s="4">
        <v>377</v>
      </c>
      <c r="AB1028" s="4">
        <v>2</v>
      </c>
      <c r="AC1028" s="4">
        <v>2</v>
      </c>
      <c r="AD1028" s="4">
        <v>17</v>
      </c>
      <c r="AE1028" s="4">
        <v>17</v>
      </c>
      <c r="AF1028" s="4">
        <v>9</v>
      </c>
      <c r="AG1028" s="4">
        <v>9</v>
      </c>
      <c r="AH1028" s="4">
        <v>5</v>
      </c>
      <c r="AI1028" s="4">
        <v>5</v>
      </c>
      <c r="AJ1028" s="4">
        <v>8</v>
      </c>
      <c r="AK1028" s="4">
        <v>8</v>
      </c>
      <c r="AL1028" s="4">
        <v>1</v>
      </c>
      <c r="AM1028" s="4">
        <v>1</v>
      </c>
      <c r="AN1028" s="4">
        <v>0</v>
      </c>
      <c r="AO1028" s="4">
        <v>0</v>
      </c>
      <c r="AP1028" s="3" t="s">
        <v>58</v>
      </c>
      <c r="AQ1028" s="3" t="s">
        <v>58</v>
      </c>
      <c r="AS1028" s="6" t="str">
        <f>HYPERLINK("https://creighton-primo.hosted.exlibrisgroup.com/primo-explore/search?tab=default_tab&amp;search_scope=EVERYTHING&amp;vid=01CRU&amp;lang=en_US&amp;offset=0&amp;query=any,contains,991000969929702656","Catalog Record")</f>
        <v>Catalog Record</v>
      </c>
      <c r="AT1028" s="6" t="str">
        <f>HYPERLINK("http://www.worldcat.org/oclc/14933042","WorldCat Record")</f>
        <v>WorldCat Record</v>
      </c>
      <c r="AU1028" s="3" t="s">
        <v>13322</v>
      </c>
      <c r="AV1028" s="3" t="s">
        <v>13323</v>
      </c>
      <c r="AW1028" s="3" t="s">
        <v>13324</v>
      </c>
      <c r="AX1028" s="3" t="s">
        <v>13324</v>
      </c>
      <c r="AY1028" s="3" t="s">
        <v>13325</v>
      </c>
      <c r="AZ1028" s="3" t="s">
        <v>74</v>
      </c>
      <c r="BB1028" s="3" t="s">
        <v>13326</v>
      </c>
      <c r="BC1028" s="3" t="s">
        <v>13327</v>
      </c>
      <c r="BD1028" s="3" t="s">
        <v>13328</v>
      </c>
    </row>
    <row r="1029" spans="1:56" ht="42.75" customHeight="1" x14ac:dyDescent="0.25">
      <c r="A1029" s="7" t="s">
        <v>58</v>
      </c>
      <c r="B1029" s="2" t="s">
        <v>13329</v>
      </c>
      <c r="C1029" s="2" t="s">
        <v>13330</v>
      </c>
      <c r="D1029" s="2" t="s">
        <v>13331</v>
      </c>
      <c r="F1029" s="3" t="s">
        <v>58</v>
      </c>
      <c r="G1029" s="3" t="s">
        <v>59</v>
      </c>
      <c r="H1029" s="3" t="s">
        <v>58</v>
      </c>
      <c r="I1029" s="3" t="s">
        <v>58</v>
      </c>
      <c r="J1029" s="3" t="s">
        <v>60</v>
      </c>
      <c r="L1029" s="2" t="s">
        <v>4604</v>
      </c>
      <c r="M1029" s="3" t="s">
        <v>737</v>
      </c>
      <c r="O1029" s="3" t="s">
        <v>64</v>
      </c>
      <c r="P1029" s="3" t="s">
        <v>115</v>
      </c>
      <c r="R1029" s="3" t="s">
        <v>67</v>
      </c>
      <c r="S1029" s="4">
        <v>13</v>
      </c>
      <c r="T1029" s="4">
        <v>13</v>
      </c>
      <c r="U1029" s="5" t="s">
        <v>13332</v>
      </c>
      <c r="V1029" s="5" t="s">
        <v>13332</v>
      </c>
      <c r="W1029" s="5" t="s">
        <v>13333</v>
      </c>
      <c r="X1029" s="5" t="s">
        <v>13333</v>
      </c>
      <c r="Y1029" s="4">
        <v>209</v>
      </c>
      <c r="Z1029" s="4">
        <v>199</v>
      </c>
      <c r="AA1029" s="4">
        <v>201</v>
      </c>
      <c r="AB1029" s="4">
        <v>2</v>
      </c>
      <c r="AC1029" s="4">
        <v>2</v>
      </c>
      <c r="AD1029" s="4">
        <v>9</v>
      </c>
      <c r="AE1029" s="4">
        <v>9</v>
      </c>
      <c r="AF1029" s="4">
        <v>1</v>
      </c>
      <c r="AG1029" s="4">
        <v>1</v>
      </c>
      <c r="AH1029" s="4">
        <v>3</v>
      </c>
      <c r="AI1029" s="4">
        <v>3</v>
      </c>
      <c r="AJ1029" s="4">
        <v>6</v>
      </c>
      <c r="AK1029" s="4">
        <v>6</v>
      </c>
      <c r="AL1029" s="4">
        <v>1</v>
      </c>
      <c r="AM1029" s="4">
        <v>1</v>
      </c>
      <c r="AN1029" s="4">
        <v>0</v>
      </c>
      <c r="AO1029" s="4">
        <v>0</v>
      </c>
      <c r="AP1029" s="3" t="s">
        <v>58</v>
      </c>
      <c r="AQ1029" s="3" t="s">
        <v>86</v>
      </c>
      <c r="AR1029" s="6" t="str">
        <f>HYPERLINK("http://catalog.hathitrust.org/Record/002905709","HathiTrust Record")</f>
        <v>HathiTrust Record</v>
      </c>
      <c r="AS1029" s="6" t="str">
        <f>HYPERLINK("https://creighton-primo.hosted.exlibrisgroup.com/primo-explore/search?tab=default_tab&amp;search_scope=EVERYTHING&amp;vid=01CRU&amp;lang=en_US&amp;offset=0&amp;query=any,contains,991002349169702656","Catalog Record")</f>
        <v>Catalog Record</v>
      </c>
      <c r="AT1029" s="6" t="str">
        <f>HYPERLINK("http://www.worldcat.org/oclc/30593987","WorldCat Record")</f>
        <v>WorldCat Record</v>
      </c>
      <c r="AU1029" s="3" t="s">
        <v>13334</v>
      </c>
      <c r="AV1029" s="3" t="s">
        <v>13335</v>
      </c>
      <c r="AW1029" s="3" t="s">
        <v>13336</v>
      </c>
      <c r="AX1029" s="3" t="s">
        <v>13336</v>
      </c>
      <c r="AY1029" s="3" t="s">
        <v>13337</v>
      </c>
      <c r="AZ1029" s="3" t="s">
        <v>74</v>
      </c>
      <c r="BB1029" s="3" t="s">
        <v>13338</v>
      </c>
      <c r="BC1029" s="3" t="s">
        <v>13339</v>
      </c>
      <c r="BD1029" s="3" t="s">
        <v>13340</v>
      </c>
    </row>
    <row r="1030" spans="1:56" ht="42.75" customHeight="1" x14ac:dyDescent="0.25">
      <c r="A1030" s="7" t="s">
        <v>58</v>
      </c>
      <c r="B1030" s="2" t="s">
        <v>13341</v>
      </c>
      <c r="C1030" s="2" t="s">
        <v>13342</v>
      </c>
      <c r="D1030" s="2" t="s">
        <v>13343</v>
      </c>
      <c r="F1030" s="3" t="s">
        <v>58</v>
      </c>
      <c r="G1030" s="3" t="s">
        <v>59</v>
      </c>
      <c r="H1030" s="3" t="s">
        <v>58</v>
      </c>
      <c r="I1030" s="3" t="s">
        <v>58</v>
      </c>
      <c r="J1030" s="3" t="s">
        <v>60</v>
      </c>
      <c r="L1030" s="2" t="s">
        <v>13344</v>
      </c>
      <c r="M1030" s="3" t="s">
        <v>695</v>
      </c>
      <c r="N1030" s="2" t="s">
        <v>1736</v>
      </c>
      <c r="O1030" s="3" t="s">
        <v>64</v>
      </c>
      <c r="P1030" s="3" t="s">
        <v>145</v>
      </c>
      <c r="Q1030" s="2" t="s">
        <v>13345</v>
      </c>
      <c r="R1030" s="3" t="s">
        <v>67</v>
      </c>
      <c r="S1030" s="4">
        <v>18</v>
      </c>
      <c r="T1030" s="4">
        <v>18</v>
      </c>
      <c r="U1030" s="5" t="s">
        <v>3735</v>
      </c>
      <c r="V1030" s="5" t="s">
        <v>3735</v>
      </c>
      <c r="W1030" s="5" t="s">
        <v>13346</v>
      </c>
      <c r="X1030" s="5" t="s">
        <v>13346</v>
      </c>
      <c r="Y1030" s="4">
        <v>173</v>
      </c>
      <c r="Z1030" s="4">
        <v>136</v>
      </c>
      <c r="AA1030" s="4">
        <v>138</v>
      </c>
      <c r="AB1030" s="4">
        <v>2</v>
      </c>
      <c r="AC1030" s="4">
        <v>2</v>
      </c>
      <c r="AD1030" s="4">
        <v>6</v>
      </c>
      <c r="AE1030" s="4">
        <v>6</v>
      </c>
      <c r="AF1030" s="4">
        <v>2</v>
      </c>
      <c r="AG1030" s="4">
        <v>2</v>
      </c>
      <c r="AH1030" s="4">
        <v>1</v>
      </c>
      <c r="AI1030" s="4">
        <v>1</v>
      </c>
      <c r="AJ1030" s="4">
        <v>4</v>
      </c>
      <c r="AK1030" s="4">
        <v>4</v>
      </c>
      <c r="AL1030" s="4">
        <v>1</v>
      </c>
      <c r="AM1030" s="4">
        <v>1</v>
      </c>
      <c r="AN1030" s="4">
        <v>0</v>
      </c>
      <c r="AO1030" s="4">
        <v>0</v>
      </c>
      <c r="AP1030" s="3" t="s">
        <v>58</v>
      </c>
      <c r="AQ1030" s="3" t="s">
        <v>86</v>
      </c>
      <c r="AR1030" s="6" t="str">
        <f>HYPERLINK("http://catalog.hathitrust.org/Record/002615450","HathiTrust Record")</f>
        <v>HathiTrust Record</v>
      </c>
      <c r="AS1030" s="6" t="str">
        <f>HYPERLINK("https://creighton-primo.hosted.exlibrisgroup.com/primo-explore/search?tab=default_tab&amp;search_scope=EVERYTHING&amp;vid=01CRU&amp;lang=en_US&amp;offset=0&amp;query=any,contains,991002032899702656","Catalog Record")</f>
        <v>Catalog Record</v>
      </c>
      <c r="AT1030" s="6" t="str">
        <f>HYPERLINK("http://www.worldcat.org/oclc/25874391","WorldCat Record")</f>
        <v>WorldCat Record</v>
      </c>
      <c r="AU1030" s="3" t="s">
        <v>13347</v>
      </c>
      <c r="AV1030" s="3" t="s">
        <v>13348</v>
      </c>
      <c r="AW1030" s="3" t="s">
        <v>13349</v>
      </c>
      <c r="AX1030" s="3" t="s">
        <v>13349</v>
      </c>
      <c r="AY1030" s="3" t="s">
        <v>13350</v>
      </c>
      <c r="AZ1030" s="3" t="s">
        <v>74</v>
      </c>
      <c r="BB1030" s="3" t="s">
        <v>13351</v>
      </c>
      <c r="BC1030" s="3" t="s">
        <v>13352</v>
      </c>
      <c r="BD1030" s="3" t="s">
        <v>13353</v>
      </c>
    </row>
    <row r="1031" spans="1:56" ht="42.75" customHeight="1" x14ac:dyDescent="0.25">
      <c r="A1031" s="7" t="s">
        <v>58</v>
      </c>
      <c r="B1031" s="2" t="s">
        <v>13354</v>
      </c>
      <c r="C1031" s="2" t="s">
        <v>13355</v>
      </c>
      <c r="D1031" s="2" t="s">
        <v>13356</v>
      </c>
      <c r="F1031" s="3" t="s">
        <v>58</v>
      </c>
      <c r="G1031" s="3" t="s">
        <v>59</v>
      </c>
      <c r="H1031" s="3" t="s">
        <v>58</v>
      </c>
      <c r="I1031" s="3" t="s">
        <v>58</v>
      </c>
      <c r="J1031" s="3" t="s">
        <v>60</v>
      </c>
      <c r="K1031" s="2" t="s">
        <v>13357</v>
      </c>
      <c r="L1031" s="2" t="s">
        <v>13358</v>
      </c>
      <c r="M1031" s="3" t="s">
        <v>2853</v>
      </c>
      <c r="O1031" s="3" t="s">
        <v>64</v>
      </c>
      <c r="P1031" s="3" t="s">
        <v>115</v>
      </c>
      <c r="R1031" s="3" t="s">
        <v>67</v>
      </c>
      <c r="S1031" s="4">
        <v>2</v>
      </c>
      <c r="T1031" s="4">
        <v>2</v>
      </c>
      <c r="U1031" s="5" t="s">
        <v>13359</v>
      </c>
      <c r="V1031" s="5" t="s">
        <v>13359</v>
      </c>
      <c r="W1031" s="5" t="s">
        <v>12938</v>
      </c>
      <c r="X1031" s="5" t="s">
        <v>12938</v>
      </c>
      <c r="Y1031" s="4">
        <v>537</v>
      </c>
      <c r="Z1031" s="4">
        <v>464</v>
      </c>
      <c r="AA1031" s="4">
        <v>611</v>
      </c>
      <c r="AB1031" s="4">
        <v>4</v>
      </c>
      <c r="AC1031" s="4">
        <v>4</v>
      </c>
      <c r="AD1031" s="4">
        <v>17</v>
      </c>
      <c r="AE1031" s="4">
        <v>21</v>
      </c>
      <c r="AF1031" s="4">
        <v>8</v>
      </c>
      <c r="AG1031" s="4">
        <v>10</v>
      </c>
      <c r="AH1031" s="4">
        <v>3</v>
      </c>
      <c r="AI1031" s="4">
        <v>3</v>
      </c>
      <c r="AJ1031" s="4">
        <v>8</v>
      </c>
      <c r="AK1031" s="4">
        <v>11</v>
      </c>
      <c r="AL1031" s="4">
        <v>3</v>
      </c>
      <c r="AM1031" s="4">
        <v>3</v>
      </c>
      <c r="AN1031" s="4">
        <v>0</v>
      </c>
      <c r="AO1031" s="4">
        <v>0</v>
      </c>
      <c r="AP1031" s="3" t="s">
        <v>58</v>
      </c>
      <c r="AQ1031" s="3" t="s">
        <v>86</v>
      </c>
      <c r="AR1031" s="6" t="str">
        <f>HYPERLINK("http://catalog.hathitrust.org/Record/001578168","HathiTrust Record")</f>
        <v>HathiTrust Record</v>
      </c>
      <c r="AS1031" s="6" t="str">
        <f>HYPERLINK("https://creighton-primo.hosted.exlibrisgroup.com/primo-explore/search?tab=default_tab&amp;search_scope=EVERYTHING&amp;vid=01CRU&amp;lang=en_US&amp;offset=0&amp;query=any,contains,991002955529702656","Catalog Record")</f>
        <v>Catalog Record</v>
      </c>
      <c r="AT1031" s="6" t="str">
        <f>HYPERLINK("http://www.worldcat.org/oclc/541877","WorldCat Record")</f>
        <v>WorldCat Record</v>
      </c>
      <c r="AU1031" s="3" t="s">
        <v>13360</v>
      </c>
      <c r="AV1031" s="3" t="s">
        <v>13361</v>
      </c>
      <c r="AW1031" s="3" t="s">
        <v>13362</v>
      </c>
      <c r="AX1031" s="3" t="s">
        <v>13362</v>
      </c>
      <c r="AY1031" s="3" t="s">
        <v>13363</v>
      </c>
      <c r="AZ1031" s="3" t="s">
        <v>74</v>
      </c>
      <c r="BC1031" s="3" t="s">
        <v>13364</v>
      </c>
      <c r="BD1031" s="3" t="s">
        <v>13365</v>
      </c>
    </row>
    <row r="1032" spans="1:56" ht="42.75" customHeight="1" x14ac:dyDescent="0.25">
      <c r="A1032" s="7" t="s">
        <v>58</v>
      </c>
      <c r="B1032" s="2" t="s">
        <v>13366</v>
      </c>
      <c r="C1032" s="2" t="s">
        <v>13367</v>
      </c>
      <c r="D1032" s="2" t="s">
        <v>13368</v>
      </c>
      <c r="F1032" s="3" t="s">
        <v>58</v>
      </c>
      <c r="G1032" s="3" t="s">
        <v>59</v>
      </c>
      <c r="H1032" s="3" t="s">
        <v>58</v>
      </c>
      <c r="I1032" s="3" t="s">
        <v>58</v>
      </c>
      <c r="J1032" s="3" t="s">
        <v>60</v>
      </c>
      <c r="K1032" s="2" t="s">
        <v>13369</v>
      </c>
      <c r="L1032" s="2" t="s">
        <v>3747</v>
      </c>
      <c r="M1032" s="3" t="s">
        <v>238</v>
      </c>
      <c r="O1032" s="3" t="s">
        <v>64</v>
      </c>
      <c r="P1032" s="3" t="s">
        <v>83</v>
      </c>
      <c r="Q1032" s="2" t="s">
        <v>13370</v>
      </c>
      <c r="R1032" s="3" t="s">
        <v>67</v>
      </c>
      <c r="S1032" s="4">
        <v>15</v>
      </c>
      <c r="T1032" s="4">
        <v>15</v>
      </c>
      <c r="U1032" s="5" t="s">
        <v>12325</v>
      </c>
      <c r="V1032" s="5" t="s">
        <v>12325</v>
      </c>
      <c r="W1032" s="5" t="s">
        <v>3457</v>
      </c>
      <c r="X1032" s="5" t="s">
        <v>3457</v>
      </c>
      <c r="Y1032" s="4">
        <v>252</v>
      </c>
      <c r="Z1032" s="4">
        <v>205</v>
      </c>
      <c r="AA1032" s="4">
        <v>215</v>
      </c>
      <c r="AB1032" s="4">
        <v>2</v>
      </c>
      <c r="AC1032" s="4">
        <v>2</v>
      </c>
      <c r="AD1032" s="4">
        <v>6</v>
      </c>
      <c r="AE1032" s="4">
        <v>6</v>
      </c>
      <c r="AF1032" s="4">
        <v>2</v>
      </c>
      <c r="AG1032" s="4">
        <v>2</v>
      </c>
      <c r="AH1032" s="4">
        <v>1</v>
      </c>
      <c r="AI1032" s="4">
        <v>1</v>
      </c>
      <c r="AJ1032" s="4">
        <v>3</v>
      </c>
      <c r="AK1032" s="4">
        <v>3</v>
      </c>
      <c r="AL1032" s="4">
        <v>1</v>
      </c>
      <c r="AM1032" s="4">
        <v>1</v>
      </c>
      <c r="AN1032" s="4">
        <v>0</v>
      </c>
      <c r="AO1032" s="4">
        <v>0</v>
      </c>
      <c r="AP1032" s="3" t="s">
        <v>58</v>
      </c>
      <c r="AQ1032" s="3" t="s">
        <v>58</v>
      </c>
      <c r="AS1032" s="6" t="str">
        <f>HYPERLINK("https://creighton-primo.hosted.exlibrisgroup.com/primo-explore/search?tab=default_tab&amp;search_scope=EVERYTHING&amp;vid=01CRU&amp;lang=en_US&amp;offset=0&amp;query=any,contains,991004693779702656","Catalog Record")</f>
        <v>Catalog Record</v>
      </c>
      <c r="AT1032" s="6" t="str">
        <f>HYPERLINK("http://www.worldcat.org/oclc/4638129","WorldCat Record")</f>
        <v>WorldCat Record</v>
      </c>
      <c r="AU1032" s="3" t="s">
        <v>13371</v>
      </c>
      <c r="AV1032" s="3" t="s">
        <v>13372</v>
      </c>
      <c r="AW1032" s="3" t="s">
        <v>13373</v>
      </c>
      <c r="AX1032" s="3" t="s">
        <v>13373</v>
      </c>
      <c r="AY1032" s="3" t="s">
        <v>13374</v>
      </c>
      <c r="AZ1032" s="3" t="s">
        <v>74</v>
      </c>
      <c r="BB1032" s="3" t="s">
        <v>13375</v>
      </c>
      <c r="BC1032" s="3" t="s">
        <v>13376</v>
      </c>
      <c r="BD1032" s="3" t="s">
        <v>13377</v>
      </c>
    </row>
    <row r="1033" spans="1:56" ht="42.75" customHeight="1" x14ac:dyDescent="0.25">
      <c r="A1033" s="7" t="s">
        <v>58</v>
      </c>
      <c r="B1033" s="2" t="s">
        <v>13378</v>
      </c>
      <c r="C1033" s="2" t="s">
        <v>13379</v>
      </c>
      <c r="D1033" s="2" t="s">
        <v>13380</v>
      </c>
      <c r="F1033" s="3" t="s">
        <v>58</v>
      </c>
      <c r="G1033" s="3" t="s">
        <v>59</v>
      </c>
      <c r="H1033" s="3" t="s">
        <v>58</v>
      </c>
      <c r="I1033" s="3" t="s">
        <v>58</v>
      </c>
      <c r="J1033" s="3" t="s">
        <v>60</v>
      </c>
      <c r="L1033" s="2" t="s">
        <v>13381</v>
      </c>
      <c r="M1033" s="3" t="s">
        <v>480</v>
      </c>
      <c r="O1033" s="3" t="s">
        <v>64</v>
      </c>
      <c r="P1033" s="3" t="s">
        <v>65</v>
      </c>
      <c r="Q1033" s="2" t="s">
        <v>13382</v>
      </c>
      <c r="R1033" s="3" t="s">
        <v>67</v>
      </c>
      <c r="S1033" s="4">
        <v>33</v>
      </c>
      <c r="T1033" s="4">
        <v>33</v>
      </c>
      <c r="U1033" s="5" t="s">
        <v>13383</v>
      </c>
      <c r="V1033" s="5" t="s">
        <v>13383</v>
      </c>
      <c r="W1033" s="5" t="s">
        <v>4231</v>
      </c>
      <c r="X1033" s="5" t="s">
        <v>4231</v>
      </c>
      <c r="Y1033" s="4">
        <v>367</v>
      </c>
      <c r="Z1033" s="4">
        <v>240</v>
      </c>
      <c r="AA1033" s="4">
        <v>248</v>
      </c>
      <c r="AB1033" s="4">
        <v>1</v>
      </c>
      <c r="AC1033" s="4">
        <v>1</v>
      </c>
      <c r="AD1033" s="4">
        <v>10</v>
      </c>
      <c r="AE1033" s="4">
        <v>10</v>
      </c>
      <c r="AF1033" s="4">
        <v>2</v>
      </c>
      <c r="AG1033" s="4">
        <v>2</v>
      </c>
      <c r="AH1033" s="4">
        <v>3</v>
      </c>
      <c r="AI1033" s="4">
        <v>3</v>
      </c>
      <c r="AJ1033" s="4">
        <v>8</v>
      </c>
      <c r="AK1033" s="4">
        <v>8</v>
      </c>
      <c r="AL1033" s="4">
        <v>0</v>
      </c>
      <c r="AM1033" s="4">
        <v>0</v>
      </c>
      <c r="AN1033" s="4">
        <v>0</v>
      </c>
      <c r="AO1033" s="4">
        <v>0</v>
      </c>
      <c r="AP1033" s="3" t="s">
        <v>58</v>
      </c>
      <c r="AQ1033" s="3" t="s">
        <v>86</v>
      </c>
      <c r="AR1033" s="6" t="str">
        <f>HYPERLINK("http://catalog.hathitrust.org/Record/001828240","HathiTrust Record")</f>
        <v>HathiTrust Record</v>
      </c>
      <c r="AS1033" s="6" t="str">
        <f>HYPERLINK("https://creighton-primo.hosted.exlibrisgroup.com/primo-explore/search?tab=default_tab&amp;search_scope=EVERYTHING&amp;vid=01CRU&amp;lang=en_US&amp;offset=0&amp;query=any,contains,991001721819702656","Catalog Record")</f>
        <v>Catalog Record</v>
      </c>
      <c r="AT1033" s="6" t="str">
        <f>HYPERLINK("http://www.worldcat.org/oclc/21765395","WorldCat Record")</f>
        <v>WorldCat Record</v>
      </c>
      <c r="AU1033" s="3" t="s">
        <v>13384</v>
      </c>
      <c r="AV1033" s="3" t="s">
        <v>13385</v>
      </c>
      <c r="AW1033" s="3" t="s">
        <v>13386</v>
      </c>
      <c r="AX1033" s="3" t="s">
        <v>13386</v>
      </c>
      <c r="AY1033" s="3" t="s">
        <v>13387</v>
      </c>
      <c r="AZ1033" s="3" t="s">
        <v>74</v>
      </c>
      <c r="BB1033" s="3" t="s">
        <v>13388</v>
      </c>
      <c r="BC1033" s="3" t="s">
        <v>13389</v>
      </c>
      <c r="BD1033" s="3" t="s">
        <v>13390</v>
      </c>
    </row>
    <row r="1034" spans="1:56" ht="42.75" customHeight="1" x14ac:dyDescent="0.25">
      <c r="A1034" s="7" t="s">
        <v>58</v>
      </c>
      <c r="B1034" s="2" t="s">
        <v>13391</v>
      </c>
      <c r="C1034" s="2" t="s">
        <v>13392</v>
      </c>
      <c r="D1034" s="2" t="s">
        <v>13393</v>
      </c>
      <c r="F1034" s="3" t="s">
        <v>58</v>
      </c>
      <c r="G1034" s="3" t="s">
        <v>59</v>
      </c>
      <c r="H1034" s="3" t="s">
        <v>58</v>
      </c>
      <c r="I1034" s="3" t="s">
        <v>58</v>
      </c>
      <c r="J1034" s="3" t="s">
        <v>60</v>
      </c>
      <c r="K1034" s="2" t="s">
        <v>13394</v>
      </c>
      <c r="L1034" s="2" t="s">
        <v>7233</v>
      </c>
      <c r="M1034" s="3" t="s">
        <v>1235</v>
      </c>
      <c r="N1034" s="2" t="s">
        <v>1736</v>
      </c>
      <c r="O1034" s="3" t="s">
        <v>64</v>
      </c>
      <c r="P1034" s="3" t="s">
        <v>145</v>
      </c>
      <c r="R1034" s="3" t="s">
        <v>67</v>
      </c>
      <c r="S1034" s="4">
        <v>8</v>
      </c>
      <c r="T1034" s="4">
        <v>8</v>
      </c>
      <c r="U1034" s="5" t="s">
        <v>13395</v>
      </c>
      <c r="V1034" s="5" t="s">
        <v>13395</v>
      </c>
      <c r="W1034" s="5" t="s">
        <v>13396</v>
      </c>
      <c r="X1034" s="5" t="s">
        <v>13396</v>
      </c>
      <c r="Y1034" s="4">
        <v>318</v>
      </c>
      <c r="Z1034" s="4">
        <v>251</v>
      </c>
      <c r="AA1034" s="4">
        <v>333</v>
      </c>
      <c r="AB1034" s="4">
        <v>2</v>
      </c>
      <c r="AC1034" s="4">
        <v>3</v>
      </c>
      <c r="AD1034" s="4">
        <v>6</v>
      </c>
      <c r="AE1034" s="4">
        <v>14</v>
      </c>
      <c r="AF1034" s="4">
        <v>2</v>
      </c>
      <c r="AG1034" s="4">
        <v>5</v>
      </c>
      <c r="AH1034" s="4">
        <v>0</v>
      </c>
      <c r="AI1034" s="4">
        <v>0</v>
      </c>
      <c r="AJ1034" s="4">
        <v>3</v>
      </c>
      <c r="AK1034" s="4">
        <v>8</v>
      </c>
      <c r="AL1034" s="4">
        <v>1</v>
      </c>
      <c r="AM1034" s="4">
        <v>2</v>
      </c>
      <c r="AN1034" s="4">
        <v>0</v>
      </c>
      <c r="AO1034" s="4">
        <v>0</v>
      </c>
      <c r="AP1034" s="3" t="s">
        <v>58</v>
      </c>
      <c r="AQ1034" s="3" t="s">
        <v>58</v>
      </c>
      <c r="AS1034" s="6" t="str">
        <f>HYPERLINK("https://creighton-primo.hosted.exlibrisgroup.com/primo-explore/search?tab=default_tab&amp;search_scope=EVERYTHING&amp;vid=01CRU&amp;lang=en_US&amp;offset=0&amp;query=any,contains,991004759449702656","Catalog Record")</f>
        <v>Catalog Record</v>
      </c>
      <c r="AT1034" s="6" t="str">
        <f>HYPERLINK("http://www.worldcat.org/oclc/56834445","WorldCat Record")</f>
        <v>WorldCat Record</v>
      </c>
      <c r="AU1034" s="3" t="s">
        <v>13397</v>
      </c>
      <c r="AV1034" s="3" t="s">
        <v>13398</v>
      </c>
      <c r="AW1034" s="3" t="s">
        <v>13399</v>
      </c>
      <c r="AX1034" s="3" t="s">
        <v>13399</v>
      </c>
      <c r="AY1034" s="3" t="s">
        <v>13400</v>
      </c>
      <c r="AZ1034" s="3" t="s">
        <v>74</v>
      </c>
      <c r="BB1034" s="3" t="s">
        <v>13401</v>
      </c>
      <c r="BC1034" s="3" t="s">
        <v>13402</v>
      </c>
      <c r="BD1034" s="3" t="s">
        <v>13403</v>
      </c>
    </row>
    <row r="1035" spans="1:56" ht="42.75" customHeight="1" x14ac:dyDescent="0.25">
      <c r="A1035" s="7" t="s">
        <v>58</v>
      </c>
      <c r="B1035" s="2" t="s">
        <v>13404</v>
      </c>
      <c r="C1035" s="2" t="s">
        <v>13405</v>
      </c>
      <c r="D1035" s="2" t="s">
        <v>13406</v>
      </c>
      <c r="F1035" s="3" t="s">
        <v>58</v>
      </c>
      <c r="G1035" s="3" t="s">
        <v>59</v>
      </c>
      <c r="H1035" s="3" t="s">
        <v>58</v>
      </c>
      <c r="I1035" s="3" t="s">
        <v>58</v>
      </c>
      <c r="J1035" s="3" t="s">
        <v>60</v>
      </c>
      <c r="K1035" s="2" t="s">
        <v>13407</v>
      </c>
      <c r="L1035" s="2" t="s">
        <v>13408</v>
      </c>
      <c r="M1035" s="3" t="s">
        <v>586</v>
      </c>
      <c r="O1035" s="3" t="s">
        <v>64</v>
      </c>
      <c r="P1035" s="3" t="s">
        <v>115</v>
      </c>
      <c r="R1035" s="3" t="s">
        <v>67</v>
      </c>
      <c r="S1035" s="4">
        <v>3</v>
      </c>
      <c r="T1035" s="4">
        <v>3</v>
      </c>
      <c r="U1035" s="5" t="s">
        <v>13409</v>
      </c>
      <c r="V1035" s="5" t="s">
        <v>13409</v>
      </c>
      <c r="W1035" s="5" t="s">
        <v>7560</v>
      </c>
      <c r="X1035" s="5" t="s">
        <v>7560</v>
      </c>
      <c r="Y1035" s="4">
        <v>509</v>
      </c>
      <c r="Z1035" s="4">
        <v>431</v>
      </c>
      <c r="AA1035" s="4">
        <v>460</v>
      </c>
      <c r="AB1035" s="4">
        <v>3</v>
      </c>
      <c r="AC1035" s="4">
        <v>4</v>
      </c>
      <c r="AD1035" s="4">
        <v>18</v>
      </c>
      <c r="AE1035" s="4">
        <v>20</v>
      </c>
      <c r="AF1035" s="4">
        <v>7</v>
      </c>
      <c r="AG1035" s="4">
        <v>7</v>
      </c>
      <c r="AH1035" s="4">
        <v>3</v>
      </c>
      <c r="AI1035" s="4">
        <v>3</v>
      </c>
      <c r="AJ1035" s="4">
        <v>10</v>
      </c>
      <c r="AK1035" s="4">
        <v>11</v>
      </c>
      <c r="AL1035" s="4">
        <v>2</v>
      </c>
      <c r="AM1035" s="4">
        <v>3</v>
      </c>
      <c r="AN1035" s="4">
        <v>0</v>
      </c>
      <c r="AO1035" s="4">
        <v>0</v>
      </c>
      <c r="AP1035" s="3" t="s">
        <v>58</v>
      </c>
      <c r="AQ1035" s="3" t="s">
        <v>86</v>
      </c>
      <c r="AR1035" s="6" t="str">
        <f>HYPERLINK("http://catalog.hathitrust.org/Record/002238486","HathiTrust Record")</f>
        <v>HathiTrust Record</v>
      </c>
      <c r="AS1035" s="6" t="str">
        <f>HYPERLINK("https://creighton-primo.hosted.exlibrisgroup.com/primo-explore/search?tab=default_tab&amp;search_scope=EVERYTHING&amp;vid=01CRU&amp;lang=en_US&amp;offset=0&amp;query=any,contains,991001735179702656","Catalog Record")</f>
        <v>Catalog Record</v>
      </c>
      <c r="AT1035" s="6" t="str">
        <f>HYPERLINK("http://www.worldcat.org/oclc/21970602","WorldCat Record")</f>
        <v>WorldCat Record</v>
      </c>
      <c r="AU1035" s="3" t="s">
        <v>13410</v>
      </c>
      <c r="AV1035" s="3" t="s">
        <v>13411</v>
      </c>
      <c r="AW1035" s="3" t="s">
        <v>13412</v>
      </c>
      <c r="AX1035" s="3" t="s">
        <v>13412</v>
      </c>
      <c r="AY1035" s="3" t="s">
        <v>13413</v>
      </c>
      <c r="AZ1035" s="3" t="s">
        <v>74</v>
      </c>
      <c r="BB1035" s="3" t="s">
        <v>13414</v>
      </c>
      <c r="BC1035" s="3" t="s">
        <v>13415</v>
      </c>
      <c r="BD1035" s="3" t="s">
        <v>13416</v>
      </c>
    </row>
    <row r="1036" spans="1:56" ht="42.75" customHeight="1" x14ac:dyDescent="0.25">
      <c r="A1036" s="7" t="s">
        <v>58</v>
      </c>
      <c r="B1036" s="2" t="s">
        <v>13417</v>
      </c>
      <c r="C1036" s="2" t="s">
        <v>13418</v>
      </c>
      <c r="D1036" s="2" t="s">
        <v>13419</v>
      </c>
      <c r="F1036" s="3" t="s">
        <v>58</v>
      </c>
      <c r="G1036" s="3" t="s">
        <v>59</v>
      </c>
      <c r="H1036" s="3" t="s">
        <v>58</v>
      </c>
      <c r="I1036" s="3" t="s">
        <v>58</v>
      </c>
      <c r="J1036" s="3" t="s">
        <v>60</v>
      </c>
      <c r="K1036" s="2" t="s">
        <v>13420</v>
      </c>
      <c r="L1036" s="2" t="s">
        <v>13421</v>
      </c>
      <c r="M1036" s="3" t="s">
        <v>586</v>
      </c>
      <c r="N1036" s="2" t="s">
        <v>1736</v>
      </c>
      <c r="O1036" s="3" t="s">
        <v>64</v>
      </c>
      <c r="P1036" s="3" t="s">
        <v>208</v>
      </c>
      <c r="R1036" s="3" t="s">
        <v>67</v>
      </c>
      <c r="S1036" s="4">
        <v>53</v>
      </c>
      <c r="T1036" s="4">
        <v>53</v>
      </c>
      <c r="U1036" s="5" t="s">
        <v>13422</v>
      </c>
      <c r="V1036" s="5" t="s">
        <v>13422</v>
      </c>
      <c r="W1036" s="5" t="s">
        <v>7573</v>
      </c>
      <c r="X1036" s="5" t="s">
        <v>7573</v>
      </c>
      <c r="Y1036" s="4">
        <v>238</v>
      </c>
      <c r="Z1036" s="4">
        <v>221</v>
      </c>
      <c r="AA1036" s="4">
        <v>565</v>
      </c>
      <c r="AB1036" s="4">
        <v>4</v>
      </c>
      <c r="AC1036" s="4">
        <v>6</v>
      </c>
      <c r="AD1036" s="4">
        <v>5</v>
      </c>
      <c r="AE1036" s="4">
        <v>8</v>
      </c>
      <c r="AF1036" s="4">
        <v>1</v>
      </c>
      <c r="AG1036" s="4">
        <v>3</v>
      </c>
      <c r="AH1036" s="4">
        <v>1</v>
      </c>
      <c r="AI1036" s="4">
        <v>2</v>
      </c>
      <c r="AJ1036" s="4">
        <v>2</v>
      </c>
      <c r="AK1036" s="4">
        <v>4</v>
      </c>
      <c r="AL1036" s="4">
        <v>1</v>
      </c>
      <c r="AM1036" s="4">
        <v>1</v>
      </c>
      <c r="AN1036" s="4">
        <v>0</v>
      </c>
      <c r="AO1036" s="4">
        <v>0</v>
      </c>
      <c r="AP1036" s="3" t="s">
        <v>58</v>
      </c>
      <c r="AQ1036" s="3" t="s">
        <v>58</v>
      </c>
      <c r="AS1036" s="6" t="str">
        <f>HYPERLINK("https://creighton-primo.hosted.exlibrisgroup.com/primo-explore/search?tab=default_tab&amp;search_scope=EVERYTHING&amp;vid=01CRU&amp;lang=en_US&amp;offset=0&amp;query=any,contains,991001818169702656","Catalog Record")</f>
        <v>Catalog Record</v>
      </c>
      <c r="AT1036" s="6" t="str">
        <f>HYPERLINK("http://www.worldcat.org/oclc/22860599","WorldCat Record")</f>
        <v>WorldCat Record</v>
      </c>
      <c r="AU1036" s="3" t="s">
        <v>13423</v>
      </c>
      <c r="AV1036" s="3" t="s">
        <v>13424</v>
      </c>
      <c r="AW1036" s="3" t="s">
        <v>13425</v>
      </c>
      <c r="AX1036" s="3" t="s">
        <v>13425</v>
      </c>
      <c r="AY1036" s="3" t="s">
        <v>13426</v>
      </c>
      <c r="AZ1036" s="3" t="s">
        <v>74</v>
      </c>
      <c r="BB1036" s="3" t="s">
        <v>13427</v>
      </c>
      <c r="BC1036" s="3" t="s">
        <v>13428</v>
      </c>
      <c r="BD1036" s="3" t="s">
        <v>13429</v>
      </c>
    </row>
    <row r="1037" spans="1:56" ht="42.75" customHeight="1" x14ac:dyDescent="0.25">
      <c r="A1037" s="7" t="s">
        <v>58</v>
      </c>
      <c r="B1037" s="2" t="s">
        <v>13430</v>
      </c>
      <c r="C1037" s="2" t="s">
        <v>13431</v>
      </c>
      <c r="D1037" s="2" t="s">
        <v>13432</v>
      </c>
      <c r="F1037" s="3" t="s">
        <v>58</v>
      </c>
      <c r="G1037" s="3" t="s">
        <v>59</v>
      </c>
      <c r="H1037" s="3" t="s">
        <v>58</v>
      </c>
      <c r="I1037" s="3" t="s">
        <v>58</v>
      </c>
      <c r="J1037" s="3" t="s">
        <v>60</v>
      </c>
      <c r="K1037" s="2" t="s">
        <v>13433</v>
      </c>
      <c r="L1037" s="2" t="s">
        <v>13434</v>
      </c>
      <c r="M1037" s="3" t="s">
        <v>534</v>
      </c>
      <c r="O1037" s="3" t="s">
        <v>64</v>
      </c>
      <c r="P1037" s="3" t="s">
        <v>178</v>
      </c>
      <c r="R1037" s="3" t="s">
        <v>67</v>
      </c>
      <c r="S1037" s="4">
        <v>44</v>
      </c>
      <c r="T1037" s="4">
        <v>44</v>
      </c>
      <c r="U1037" s="5" t="s">
        <v>13435</v>
      </c>
      <c r="V1037" s="5" t="s">
        <v>13435</v>
      </c>
      <c r="W1037" s="5" t="s">
        <v>13436</v>
      </c>
      <c r="X1037" s="5" t="s">
        <v>13436</v>
      </c>
      <c r="Y1037" s="4">
        <v>175</v>
      </c>
      <c r="Z1037" s="4">
        <v>161</v>
      </c>
      <c r="AA1037" s="4">
        <v>161</v>
      </c>
      <c r="AB1037" s="4">
        <v>3</v>
      </c>
      <c r="AC1037" s="4">
        <v>3</v>
      </c>
      <c r="AD1037" s="4">
        <v>0</v>
      </c>
      <c r="AE1037" s="4">
        <v>0</v>
      </c>
      <c r="AF1037" s="4">
        <v>0</v>
      </c>
      <c r="AG1037" s="4">
        <v>0</v>
      </c>
      <c r="AH1037" s="4">
        <v>0</v>
      </c>
      <c r="AI1037" s="4">
        <v>0</v>
      </c>
      <c r="AJ1037" s="4">
        <v>0</v>
      </c>
      <c r="AK1037" s="4">
        <v>0</v>
      </c>
      <c r="AL1037" s="4">
        <v>0</v>
      </c>
      <c r="AM1037" s="4">
        <v>0</v>
      </c>
      <c r="AN1037" s="4">
        <v>0</v>
      </c>
      <c r="AO1037" s="4">
        <v>0</v>
      </c>
      <c r="AP1037" s="3" t="s">
        <v>58</v>
      </c>
      <c r="AQ1037" s="3" t="s">
        <v>58</v>
      </c>
      <c r="AS1037" s="6" t="str">
        <f>HYPERLINK("https://creighton-primo.hosted.exlibrisgroup.com/primo-explore/search?tab=default_tab&amp;search_scope=EVERYTHING&amp;vid=01CRU&amp;lang=en_US&amp;offset=0&amp;query=any,contains,991001720049702656","Catalog Record")</f>
        <v>Catalog Record</v>
      </c>
      <c r="AT1037" s="6" t="str">
        <f>HYPERLINK("http://www.worldcat.org/oclc/21762266","WorldCat Record")</f>
        <v>WorldCat Record</v>
      </c>
      <c r="AU1037" s="3" t="s">
        <v>13437</v>
      </c>
      <c r="AV1037" s="3" t="s">
        <v>13438</v>
      </c>
      <c r="AW1037" s="3" t="s">
        <v>13439</v>
      </c>
      <c r="AX1037" s="3" t="s">
        <v>13439</v>
      </c>
      <c r="AY1037" s="3" t="s">
        <v>13440</v>
      </c>
      <c r="AZ1037" s="3" t="s">
        <v>74</v>
      </c>
      <c r="BB1037" s="3" t="s">
        <v>13441</v>
      </c>
      <c r="BC1037" s="3" t="s">
        <v>13442</v>
      </c>
      <c r="BD1037" s="3" t="s">
        <v>13443</v>
      </c>
    </row>
    <row r="1038" spans="1:56" ht="42.75" customHeight="1" x14ac:dyDescent="0.25">
      <c r="A1038" s="7" t="s">
        <v>58</v>
      </c>
      <c r="B1038" s="2" t="s">
        <v>13444</v>
      </c>
      <c r="C1038" s="2" t="s">
        <v>13445</v>
      </c>
      <c r="D1038" s="2" t="s">
        <v>13446</v>
      </c>
      <c r="F1038" s="3" t="s">
        <v>58</v>
      </c>
      <c r="G1038" s="3" t="s">
        <v>59</v>
      </c>
      <c r="H1038" s="3" t="s">
        <v>58</v>
      </c>
      <c r="I1038" s="3" t="s">
        <v>58</v>
      </c>
      <c r="J1038" s="3" t="s">
        <v>60</v>
      </c>
      <c r="K1038" s="2" t="s">
        <v>13447</v>
      </c>
      <c r="L1038" s="2" t="s">
        <v>13448</v>
      </c>
      <c r="M1038" s="3" t="s">
        <v>805</v>
      </c>
      <c r="O1038" s="3" t="s">
        <v>64</v>
      </c>
      <c r="P1038" s="3" t="s">
        <v>115</v>
      </c>
      <c r="R1038" s="3" t="s">
        <v>67</v>
      </c>
      <c r="S1038" s="4">
        <v>13</v>
      </c>
      <c r="T1038" s="4">
        <v>13</v>
      </c>
      <c r="U1038" s="5" t="s">
        <v>3013</v>
      </c>
      <c r="V1038" s="5" t="s">
        <v>3013</v>
      </c>
      <c r="W1038" s="5" t="s">
        <v>13449</v>
      </c>
      <c r="X1038" s="5" t="s">
        <v>13449</v>
      </c>
      <c r="Y1038" s="4">
        <v>189</v>
      </c>
      <c r="Z1038" s="4">
        <v>153</v>
      </c>
      <c r="AA1038" s="4">
        <v>154</v>
      </c>
      <c r="AB1038" s="4">
        <v>1</v>
      </c>
      <c r="AC1038" s="4">
        <v>1</v>
      </c>
      <c r="AD1038" s="4">
        <v>6</v>
      </c>
      <c r="AE1038" s="4">
        <v>6</v>
      </c>
      <c r="AF1038" s="4">
        <v>4</v>
      </c>
      <c r="AG1038" s="4">
        <v>4</v>
      </c>
      <c r="AH1038" s="4">
        <v>1</v>
      </c>
      <c r="AI1038" s="4">
        <v>1</v>
      </c>
      <c r="AJ1038" s="4">
        <v>4</v>
      </c>
      <c r="AK1038" s="4">
        <v>4</v>
      </c>
      <c r="AL1038" s="4">
        <v>0</v>
      </c>
      <c r="AM1038" s="4">
        <v>0</v>
      </c>
      <c r="AN1038" s="4">
        <v>0</v>
      </c>
      <c r="AO1038" s="4">
        <v>0</v>
      </c>
      <c r="AP1038" s="3" t="s">
        <v>58</v>
      </c>
      <c r="AQ1038" s="3" t="s">
        <v>58</v>
      </c>
      <c r="AS1038" s="6" t="str">
        <f>HYPERLINK("https://creighton-primo.hosted.exlibrisgroup.com/primo-explore/search?tab=default_tab&amp;search_scope=EVERYTHING&amp;vid=01CRU&amp;lang=en_US&amp;offset=0&amp;query=any,contains,991002530259702656","Catalog Record")</f>
        <v>Catalog Record</v>
      </c>
      <c r="AT1038" s="6" t="str">
        <f>HYPERLINK("http://www.worldcat.org/oclc/32892312","WorldCat Record")</f>
        <v>WorldCat Record</v>
      </c>
      <c r="AU1038" s="3" t="s">
        <v>13450</v>
      </c>
      <c r="AV1038" s="3" t="s">
        <v>13451</v>
      </c>
      <c r="AW1038" s="3" t="s">
        <v>13452</v>
      </c>
      <c r="AX1038" s="3" t="s">
        <v>13452</v>
      </c>
      <c r="AY1038" s="3" t="s">
        <v>13453</v>
      </c>
      <c r="AZ1038" s="3" t="s">
        <v>74</v>
      </c>
      <c r="BB1038" s="3" t="s">
        <v>13454</v>
      </c>
      <c r="BC1038" s="3" t="s">
        <v>13455</v>
      </c>
      <c r="BD1038" s="3" t="s">
        <v>13456</v>
      </c>
    </row>
    <row r="1039" spans="1:56" ht="42.75" customHeight="1" x14ac:dyDescent="0.25">
      <c r="A1039" s="7" t="s">
        <v>58</v>
      </c>
      <c r="B1039" s="2" t="s">
        <v>13457</v>
      </c>
      <c r="C1039" s="2" t="s">
        <v>13458</v>
      </c>
      <c r="D1039" s="2" t="s">
        <v>13459</v>
      </c>
      <c r="F1039" s="3" t="s">
        <v>58</v>
      </c>
      <c r="G1039" s="3" t="s">
        <v>59</v>
      </c>
      <c r="H1039" s="3" t="s">
        <v>58</v>
      </c>
      <c r="I1039" s="3" t="s">
        <v>58</v>
      </c>
      <c r="J1039" s="3" t="s">
        <v>60</v>
      </c>
      <c r="K1039" s="2" t="s">
        <v>13460</v>
      </c>
      <c r="L1039" s="2" t="s">
        <v>13461</v>
      </c>
      <c r="M1039" s="3" t="s">
        <v>1101</v>
      </c>
      <c r="O1039" s="3" t="s">
        <v>64</v>
      </c>
      <c r="P1039" s="3" t="s">
        <v>115</v>
      </c>
      <c r="R1039" s="3" t="s">
        <v>67</v>
      </c>
      <c r="S1039" s="4">
        <v>2</v>
      </c>
      <c r="T1039" s="4">
        <v>2</v>
      </c>
      <c r="U1039" s="5" t="s">
        <v>2105</v>
      </c>
      <c r="V1039" s="5" t="s">
        <v>2105</v>
      </c>
      <c r="W1039" s="5" t="s">
        <v>13462</v>
      </c>
      <c r="X1039" s="5" t="s">
        <v>13462</v>
      </c>
      <c r="Y1039" s="4">
        <v>533</v>
      </c>
      <c r="Z1039" s="4">
        <v>467</v>
      </c>
      <c r="AA1039" s="4">
        <v>477</v>
      </c>
      <c r="AB1039" s="4">
        <v>5</v>
      </c>
      <c r="AC1039" s="4">
        <v>5</v>
      </c>
      <c r="AD1039" s="4">
        <v>22</v>
      </c>
      <c r="AE1039" s="4">
        <v>22</v>
      </c>
      <c r="AF1039" s="4">
        <v>9</v>
      </c>
      <c r="AG1039" s="4">
        <v>9</v>
      </c>
      <c r="AH1039" s="4">
        <v>5</v>
      </c>
      <c r="AI1039" s="4">
        <v>5</v>
      </c>
      <c r="AJ1039" s="4">
        <v>10</v>
      </c>
      <c r="AK1039" s="4">
        <v>10</v>
      </c>
      <c r="AL1039" s="4">
        <v>3</v>
      </c>
      <c r="AM1039" s="4">
        <v>3</v>
      </c>
      <c r="AN1039" s="4">
        <v>0</v>
      </c>
      <c r="AO1039" s="4">
        <v>0</v>
      </c>
      <c r="AP1039" s="3" t="s">
        <v>58</v>
      </c>
      <c r="AQ1039" s="3" t="s">
        <v>86</v>
      </c>
      <c r="AR1039" s="6" t="str">
        <f>HYPERLINK("http://catalog.hathitrust.org/Record/004237547","HathiTrust Record")</f>
        <v>HathiTrust Record</v>
      </c>
      <c r="AS1039" s="6" t="str">
        <f>HYPERLINK("https://creighton-primo.hosted.exlibrisgroup.com/primo-explore/search?tab=default_tab&amp;search_scope=EVERYTHING&amp;vid=01CRU&amp;lang=en_US&amp;offset=0&amp;query=any,contains,991004000669702656","Catalog Record")</f>
        <v>Catalog Record</v>
      </c>
      <c r="AT1039" s="6" t="str">
        <f>HYPERLINK("http://www.worldcat.org/oclc/45715884","WorldCat Record")</f>
        <v>WorldCat Record</v>
      </c>
      <c r="AU1039" s="3" t="s">
        <v>13463</v>
      </c>
      <c r="AV1039" s="3" t="s">
        <v>13464</v>
      </c>
      <c r="AW1039" s="3" t="s">
        <v>13465</v>
      </c>
      <c r="AX1039" s="3" t="s">
        <v>13465</v>
      </c>
      <c r="AY1039" s="3" t="s">
        <v>13466</v>
      </c>
      <c r="AZ1039" s="3" t="s">
        <v>74</v>
      </c>
      <c r="BB1039" s="3" t="s">
        <v>13467</v>
      </c>
      <c r="BC1039" s="3" t="s">
        <v>13468</v>
      </c>
      <c r="BD1039" s="3" t="s">
        <v>13469</v>
      </c>
    </row>
    <row r="1040" spans="1:56" ht="42.75" customHeight="1" x14ac:dyDescent="0.25">
      <c r="A1040" s="7" t="s">
        <v>58</v>
      </c>
      <c r="B1040" s="2" t="s">
        <v>13470</v>
      </c>
      <c r="C1040" s="2" t="s">
        <v>13471</v>
      </c>
      <c r="D1040" s="2" t="s">
        <v>13472</v>
      </c>
      <c r="F1040" s="3" t="s">
        <v>58</v>
      </c>
      <c r="G1040" s="3" t="s">
        <v>59</v>
      </c>
      <c r="H1040" s="3" t="s">
        <v>58</v>
      </c>
      <c r="I1040" s="3" t="s">
        <v>58</v>
      </c>
      <c r="J1040" s="3" t="s">
        <v>60</v>
      </c>
      <c r="K1040" s="2" t="s">
        <v>13473</v>
      </c>
      <c r="L1040" s="2" t="s">
        <v>13474</v>
      </c>
      <c r="M1040" s="3" t="s">
        <v>82</v>
      </c>
      <c r="O1040" s="3" t="s">
        <v>64</v>
      </c>
      <c r="P1040" s="3" t="s">
        <v>208</v>
      </c>
      <c r="R1040" s="3" t="s">
        <v>67</v>
      </c>
      <c r="S1040" s="4">
        <v>2</v>
      </c>
      <c r="T1040" s="4">
        <v>2</v>
      </c>
      <c r="U1040" s="5" t="s">
        <v>8144</v>
      </c>
      <c r="V1040" s="5" t="s">
        <v>8144</v>
      </c>
      <c r="W1040" s="5" t="s">
        <v>13475</v>
      </c>
      <c r="X1040" s="5" t="s">
        <v>13475</v>
      </c>
      <c r="Y1040" s="4">
        <v>508</v>
      </c>
      <c r="Z1040" s="4">
        <v>462</v>
      </c>
      <c r="AA1040" s="4">
        <v>469</v>
      </c>
      <c r="AB1040" s="4">
        <v>3</v>
      </c>
      <c r="AC1040" s="4">
        <v>3</v>
      </c>
      <c r="AD1040" s="4">
        <v>13</v>
      </c>
      <c r="AE1040" s="4">
        <v>13</v>
      </c>
      <c r="AF1040" s="4">
        <v>4</v>
      </c>
      <c r="AG1040" s="4">
        <v>4</v>
      </c>
      <c r="AH1040" s="4">
        <v>2</v>
      </c>
      <c r="AI1040" s="4">
        <v>2</v>
      </c>
      <c r="AJ1040" s="4">
        <v>9</v>
      </c>
      <c r="AK1040" s="4">
        <v>9</v>
      </c>
      <c r="AL1040" s="4">
        <v>1</v>
      </c>
      <c r="AM1040" s="4">
        <v>1</v>
      </c>
      <c r="AN1040" s="4">
        <v>0</v>
      </c>
      <c r="AO1040" s="4">
        <v>0</v>
      </c>
      <c r="AP1040" s="3" t="s">
        <v>58</v>
      </c>
      <c r="AQ1040" s="3" t="s">
        <v>86</v>
      </c>
      <c r="AR1040" s="6" t="str">
        <f>HYPERLINK("http://catalog.hathitrust.org/Record/000810024","HathiTrust Record")</f>
        <v>HathiTrust Record</v>
      </c>
      <c r="AS1040" s="6" t="str">
        <f>HYPERLINK("https://creighton-primo.hosted.exlibrisgroup.com/primo-explore/search?tab=default_tab&amp;search_scope=EVERYTHING&amp;vid=01CRU&amp;lang=en_US&amp;offset=0&amp;query=any,contains,991003933139702656","Catalog Record")</f>
        <v>Catalog Record</v>
      </c>
      <c r="AT1040" s="6" t="str">
        <f>HYPERLINK("http://www.worldcat.org/oclc/14411661","WorldCat Record")</f>
        <v>WorldCat Record</v>
      </c>
      <c r="AU1040" s="3" t="s">
        <v>13476</v>
      </c>
      <c r="AV1040" s="3" t="s">
        <v>13477</v>
      </c>
      <c r="AW1040" s="3" t="s">
        <v>13478</v>
      </c>
      <c r="AX1040" s="3" t="s">
        <v>13478</v>
      </c>
      <c r="AY1040" s="3" t="s">
        <v>13479</v>
      </c>
      <c r="AZ1040" s="3" t="s">
        <v>74</v>
      </c>
      <c r="BB1040" s="3" t="s">
        <v>13480</v>
      </c>
      <c r="BC1040" s="3" t="s">
        <v>13481</v>
      </c>
      <c r="BD1040" s="3" t="s">
        <v>13482</v>
      </c>
    </row>
    <row r="1041" spans="1:56" ht="42.75" customHeight="1" x14ac:dyDescent="0.25">
      <c r="A1041" s="7" t="s">
        <v>58</v>
      </c>
      <c r="B1041" s="2" t="s">
        <v>13483</v>
      </c>
      <c r="C1041" s="2" t="s">
        <v>13484</v>
      </c>
      <c r="D1041" s="2" t="s">
        <v>13485</v>
      </c>
      <c r="F1041" s="3" t="s">
        <v>58</v>
      </c>
      <c r="G1041" s="3" t="s">
        <v>59</v>
      </c>
      <c r="H1041" s="3" t="s">
        <v>86</v>
      </c>
      <c r="I1041" s="3" t="s">
        <v>58</v>
      </c>
      <c r="J1041" s="3" t="s">
        <v>60</v>
      </c>
      <c r="L1041" s="2" t="s">
        <v>5148</v>
      </c>
      <c r="M1041" s="3" t="s">
        <v>2227</v>
      </c>
      <c r="O1041" s="3" t="s">
        <v>64</v>
      </c>
      <c r="P1041" s="3" t="s">
        <v>115</v>
      </c>
      <c r="R1041" s="3" t="s">
        <v>67</v>
      </c>
      <c r="S1041" s="4">
        <v>67</v>
      </c>
      <c r="T1041" s="4">
        <v>67</v>
      </c>
      <c r="U1041" s="5" t="s">
        <v>3027</v>
      </c>
      <c r="V1041" s="5" t="s">
        <v>3027</v>
      </c>
      <c r="W1041" s="5" t="s">
        <v>1576</v>
      </c>
      <c r="X1041" s="5" t="s">
        <v>1576</v>
      </c>
      <c r="Y1041" s="4">
        <v>268</v>
      </c>
      <c r="Z1041" s="4">
        <v>208</v>
      </c>
      <c r="AA1041" s="4">
        <v>222</v>
      </c>
      <c r="AB1041" s="4">
        <v>4</v>
      </c>
      <c r="AC1041" s="4">
        <v>4</v>
      </c>
      <c r="AD1041" s="4">
        <v>8</v>
      </c>
      <c r="AE1041" s="4">
        <v>8</v>
      </c>
      <c r="AF1041" s="4">
        <v>2</v>
      </c>
      <c r="AG1041" s="4">
        <v>2</v>
      </c>
      <c r="AH1041" s="4">
        <v>1</v>
      </c>
      <c r="AI1041" s="4">
        <v>1</v>
      </c>
      <c r="AJ1041" s="4">
        <v>6</v>
      </c>
      <c r="AK1041" s="4">
        <v>6</v>
      </c>
      <c r="AL1041" s="4">
        <v>2</v>
      </c>
      <c r="AM1041" s="4">
        <v>2</v>
      </c>
      <c r="AN1041" s="4">
        <v>0</v>
      </c>
      <c r="AO1041" s="4">
        <v>0</v>
      </c>
      <c r="AP1041" s="3" t="s">
        <v>58</v>
      </c>
      <c r="AQ1041" s="3" t="s">
        <v>58</v>
      </c>
      <c r="AS1041" s="6" t="str">
        <f>HYPERLINK("https://creighton-primo.hosted.exlibrisgroup.com/primo-explore/search?tab=default_tab&amp;search_scope=EVERYTHING&amp;vid=01CRU&amp;lang=en_US&amp;offset=0&amp;query=any,contains,991000549349702656","Catalog Record")</f>
        <v>Catalog Record</v>
      </c>
      <c r="AT1041" s="6" t="str">
        <f>HYPERLINK("http://www.worldcat.org/oclc/11532086","WorldCat Record")</f>
        <v>WorldCat Record</v>
      </c>
      <c r="AU1041" s="3" t="s">
        <v>13486</v>
      </c>
      <c r="AV1041" s="3" t="s">
        <v>13487</v>
      </c>
      <c r="AW1041" s="3" t="s">
        <v>13488</v>
      </c>
      <c r="AX1041" s="3" t="s">
        <v>13488</v>
      </c>
      <c r="AY1041" s="3" t="s">
        <v>13489</v>
      </c>
      <c r="AZ1041" s="3" t="s">
        <v>74</v>
      </c>
      <c r="BB1041" s="3" t="s">
        <v>13490</v>
      </c>
      <c r="BC1041" s="3" t="s">
        <v>13491</v>
      </c>
      <c r="BD1041" s="3" t="s">
        <v>13492</v>
      </c>
    </row>
    <row r="1042" spans="1:56" ht="42.75" customHeight="1" x14ac:dyDescent="0.25">
      <c r="A1042" s="7" t="s">
        <v>58</v>
      </c>
      <c r="B1042" s="2" t="s">
        <v>13493</v>
      </c>
      <c r="C1042" s="2" t="s">
        <v>13494</v>
      </c>
      <c r="D1042" s="2" t="s">
        <v>13495</v>
      </c>
      <c r="F1042" s="3" t="s">
        <v>58</v>
      </c>
      <c r="G1042" s="3" t="s">
        <v>59</v>
      </c>
      <c r="H1042" s="3" t="s">
        <v>58</v>
      </c>
      <c r="I1042" s="3" t="s">
        <v>58</v>
      </c>
      <c r="J1042" s="3" t="s">
        <v>60</v>
      </c>
      <c r="K1042" s="2" t="s">
        <v>13496</v>
      </c>
      <c r="L1042" s="2" t="s">
        <v>13497</v>
      </c>
      <c r="M1042" s="3" t="s">
        <v>642</v>
      </c>
      <c r="N1042" s="2" t="s">
        <v>13498</v>
      </c>
      <c r="O1042" s="3" t="s">
        <v>64</v>
      </c>
      <c r="P1042" s="3" t="s">
        <v>115</v>
      </c>
      <c r="R1042" s="3" t="s">
        <v>67</v>
      </c>
      <c r="S1042" s="4">
        <v>2</v>
      </c>
      <c r="T1042" s="4">
        <v>2</v>
      </c>
      <c r="U1042" s="5" t="s">
        <v>3013</v>
      </c>
      <c r="V1042" s="5" t="s">
        <v>3013</v>
      </c>
      <c r="W1042" s="5" t="s">
        <v>7707</v>
      </c>
      <c r="X1042" s="5" t="s">
        <v>7707</v>
      </c>
      <c r="Y1042" s="4">
        <v>156</v>
      </c>
      <c r="Z1042" s="4">
        <v>132</v>
      </c>
      <c r="AA1042" s="4">
        <v>631</v>
      </c>
      <c r="AB1042" s="4">
        <v>2</v>
      </c>
      <c r="AC1042" s="4">
        <v>3</v>
      </c>
      <c r="AD1042" s="4">
        <v>2</v>
      </c>
      <c r="AE1042" s="4">
        <v>8</v>
      </c>
      <c r="AF1042" s="4">
        <v>1</v>
      </c>
      <c r="AG1042" s="4">
        <v>3</v>
      </c>
      <c r="AH1042" s="4">
        <v>1</v>
      </c>
      <c r="AI1042" s="4">
        <v>2</v>
      </c>
      <c r="AJ1042" s="4">
        <v>0</v>
      </c>
      <c r="AK1042" s="4">
        <v>3</v>
      </c>
      <c r="AL1042" s="4">
        <v>1</v>
      </c>
      <c r="AM1042" s="4">
        <v>2</v>
      </c>
      <c r="AN1042" s="4">
        <v>0</v>
      </c>
      <c r="AO1042" s="4">
        <v>0</v>
      </c>
      <c r="AP1042" s="3" t="s">
        <v>58</v>
      </c>
      <c r="AQ1042" s="3" t="s">
        <v>86</v>
      </c>
      <c r="AR1042" s="6" t="str">
        <f>HYPERLINK("http://catalog.hathitrust.org/Record/002880085","HathiTrust Record")</f>
        <v>HathiTrust Record</v>
      </c>
      <c r="AS1042" s="6" t="str">
        <f>HYPERLINK("https://creighton-primo.hosted.exlibrisgroup.com/primo-explore/search?tab=default_tab&amp;search_scope=EVERYTHING&amp;vid=01CRU&amp;lang=en_US&amp;offset=0&amp;query=any,contains,991003933859702656","Catalog Record")</f>
        <v>Catalog Record</v>
      </c>
      <c r="AT1042" s="6" t="str">
        <f>HYPERLINK("http://www.worldcat.org/oclc/26500641","WorldCat Record")</f>
        <v>WorldCat Record</v>
      </c>
      <c r="AU1042" s="3" t="s">
        <v>13499</v>
      </c>
      <c r="AV1042" s="3" t="s">
        <v>13500</v>
      </c>
      <c r="AW1042" s="3" t="s">
        <v>13501</v>
      </c>
      <c r="AX1042" s="3" t="s">
        <v>13501</v>
      </c>
      <c r="AY1042" s="3" t="s">
        <v>13502</v>
      </c>
      <c r="AZ1042" s="3" t="s">
        <v>74</v>
      </c>
      <c r="BB1042" s="3" t="s">
        <v>13503</v>
      </c>
      <c r="BC1042" s="3" t="s">
        <v>13504</v>
      </c>
      <c r="BD1042" s="3" t="s">
        <v>13505</v>
      </c>
    </row>
    <row r="1043" spans="1:56" ht="42.75" customHeight="1" x14ac:dyDescent="0.25">
      <c r="A1043" s="7" t="s">
        <v>58</v>
      </c>
      <c r="B1043" s="2" t="s">
        <v>13506</v>
      </c>
      <c r="C1043" s="2" t="s">
        <v>13507</v>
      </c>
      <c r="D1043" s="2" t="s">
        <v>13508</v>
      </c>
      <c r="F1043" s="3" t="s">
        <v>58</v>
      </c>
      <c r="G1043" s="3" t="s">
        <v>59</v>
      </c>
      <c r="H1043" s="3" t="s">
        <v>58</v>
      </c>
      <c r="I1043" s="3" t="s">
        <v>58</v>
      </c>
      <c r="J1043" s="3" t="s">
        <v>60</v>
      </c>
      <c r="L1043" s="2" t="s">
        <v>13509</v>
      </c>
      <c r="M1043" s="3" t="s">
        <v>1361</v>
      </c>
      <c r="N1043" s="2" t="s">
        <v>1736</v>
      </c>
      <c r="O1043" s="3" t="s">
        <v>64</v>
      </c>
      <c r="P1043" s="3" t="s">
        <v>145</v>
      </c>
      <c r="R1043" s="3" t="s">
        <v>67</v>
      </c>
      <c r="S1043" s="4">
        <v>7</v>
      </c>
      <c r="T1043" s="4">
        <v>7</v>
      </c>
      <c r="U1043" s="5" t="s">
        <v>13510</v>
      </c>
      <c r="V1043" s="5" t="s">
        <v>13510</v>
      </c>
      <c r="W1043" s="5" t="s">
        <v>13511</v>
      </c>
      <c r="X1043" s="5" t="s">
        <v>13511</v>
      </c>
      <c r="Y1043" s="4">
        <v>402</v>
      </c>
      <c r="Z1043" s="4">
        <v>315</v>
      </c>
      <c r="AA1043" s="4">
        <v>392</v>
      </c>
      <c r="AB1043" s="4">
        <v>2</v>
      </c>
      <c r="AC1043" s="4">
        <v>3</v>
      </c>
      <c r="AD1043" s="4">
        <v>14</v>
      </c>
      <c r="AE1043" s="4">
        <v>19</v>
      </c>
      <c r="AF1043" s="4">
        <v>7</v>
      </c>
      <c r="AG1043" s="4">
        <v>9</v>
      </c>
      <c r="AH1043" s="4">
        <v>1</v>
      </c>
      <c r="AI1043" s="4">
        <v>1</v>
      </c>
      <c r="AJ1043" s="4">
        <v>10</v>
      </c>
      <c r="AK1043" s="4">
        <v>12</v>
      </c>
      <c r="AL1043" s="4">
        <v>1</v>
      </c>
      <c r="AM1043" s="4">
        <v>2</v>
      </c>
      <c r="AN1043" s="4">
        <v>0</v>
      </c>
      <c r="AO1043" s="4">
        <v>0</v>
      </c>
      <c r="AP1043" s="3" t="s">
        <v>58</v>
      </c>
      <c r="AQ1043" s="3" t="s">
        <v>86</v>
      </c>
      <c r="AR1043" s="6" t="str">
        <f>HYPERLINK("http://catalog.hathitrust.org/Record/005680495","HathiTrust Record")</f>
        <v>HathiTrust Record</v>
      </c>
      <c r="AS1043" s="6" t="str">
        <f>HYPERLINK("https://creighton-primo.hosted.exlibrisgroup.com/primo-explore/search?tab=default_tab&amp;search_scope=EVERYTHING&amp;vid=01CRU&amp;lang=en_US&amp;offset=0&amp;query=any,contains,991005199939702656","Catalog Record")</f>
        <v>Catalog Record</v>
      </c>
      <c r="AT1043" s="6" t="str">
        <f>HYPERLINK("http://www.worldcat.org/oclc/70829708","WorldCat Record")</f>
        <v>WorldCat Record</v>
      </c>
      <c r="AU1043" s="3" t="s">
        <v>13512</v>
      </c>
      <c r="AV1043" s="3" t="s">
        <v>13513</v>
      </c>
      <c r="AW1043" s="3" t="s">
        <v>13514</v>
      </c>
      <c r="AX1043" s="3" t="s">
        <v>13514</v>
      </c>
      <c r="AY1043" s="3" t="s">
        <v>13515</v>
      </c>
      <c r="AZ1043" s="3" t="s">
        <v>74</v>
      </c>
      <c r="BB1043" s="3" t="s">
        <v>13516</v>
      </c>
      <c r="BC1043" s="3" t="s">
        <v>13517</v>
      </c>
      <c r="BD1043" s="3" t="s">
        <v>13518</v>
      </c>
    </row>
    <row r="1044" spans="1:56" ht="42.75" customHeight="1" x14ac:dyDescent="0.25">
      <c r="A1044" s="7" t="s">
        <v>58</v>
      </c>
      <c r="B1044" s="2" t="s">
        <v>13519</v>
      </c>
      <c r="C1044" s="2" t="s">
        <v>13520</v>
      </c>
      <c r="D1044" s="2" t="s">
        <v>13521</v>
      </c>
      <c r="F1044" s="3" t="s">
        <v>58</v>
      </c>
      <c r="G1044" s="3" t="s">
        <v>59</v>
      </c>
      <c r="H1044" s="3" t="s">
        <v>58</v>
      </c>
      <c r="I1044" s="3" t="s">
        <v>58</v>
      </c>
      <c r="J1044" s="3" t="s">
        <v>60</v>
      </c>
      <c r="K1044" s="2" t="s">
        <v>13522</v>
      </c>
      <c r="L1044" s="2" t="s">
        <v>11755</v>
      </c>
      <c r="M1044" s="3" t="s">
        <v>480</v>
      </c>
      <c r="N1044" s="2" t="s">
        <v>1736</v>
      </c>
      <c r="O1044" s="3" t="s">
        <v>64</v>
      </c>
      <c r="P1044" s="3" t="s">
        <v>115</v>
      </c>
      <c r="R1044" s="3" t="s">
        <v>67</v>
      </c>
      <c r="S1044" s="4">
        <v>58</v>
      </c>
      <c r="T1044" s="4">
        <v>58</v>
      </c>
      <c r="U1044" s="5" t="s">
        <v>13422</v>
      </c>
      <c r="V1044" s="5" t="s">
        <v>13422</v>
      </c>
      <c r="W1044" s="5" t="s">
        <v>4459</v>
      </c>
      <c r="X1044" s="5" t="s">
        <v>4459</v>
      </c>
      <c r="Y1044" s="4">
        <v>1271</v>
      </c>
      <c r="Z1044" s="4">
        <v>1182</v>
      </c>
      <c r="AA1044" s="4">
        <v>1682</v>
      </c>
      <c r="AB1044" s="4">
        <v>10</v>
      </c>
      <c r="AC1044" s="4">
        <v>13</v>
      </c>
      <c r="AD1044" s="4">
        <v>24</v>
      </c>
      <c r="AE1044" s="4">
        <v>29</v>
      </c>
      <c r="AF1044" s="4">
        <v>10</v>
      </c>
      <c r="AG1044" s="4">
        <v>14</v>
      </c>
      <c r="AH1044" s="4">
        <v>5</v>
      </c>
      <c r="AI1044" s="4">
        <v>5</v>
      </c>
      <c r="AJ1044" s="4">
        <v>12</v>
      </c>
      <c r="AK1044" s="4">
        <v>15</v>
      </c>
      <c r="AL1044" s="4">
        <v>3</v>
      </c>
      <c r="AM1044" s="4">
        <v>3</v>
      </c>
      <c r="AN1044" s="4">
        <v>0</v>
      </c>
      <c r="AO1044" s="4">
        <v>0</v>
      </c>
      <c r="AP1044" s="3" t="s">
        <v>58</v>
      </c>
      <c r="AQ1044" s="3" t="s">
        <v>58</v>
      </c>
      <c r="AS1044" s="6" t="str">
        <f>HYPERLINK("https://creighton-primo.hosted.exlibrisgroup.com/primo-explore/search?tab=default_tab&amp;search_scope=EVERYTHING&amp;vid=01CRU&amp;lang=en_US&amp;offset=0&amp;query=any,contains,991001279999702656","Catalog Record")</f>
        <v>Catalog Record</v>
      </c>
      <c r="AT1044" s="6" t="str">
        <f>HYPERLINK("http://www.worldcat.org/oclc/17916586","WorldCat Record")</f>
        <v>WorldCat Record</v>
      </c>
      <c r="AU1044" s="3" t="s">
        <v>13523</v>
      </c>
      <c r="AV1044" s="3" t="s">
        <v>13524</v>
      </c>
      <c r="AW1044" s="3" t="s">
        <v>13525</v>
      </c>
      <c r="AX1044" s="3" t="s">
        <v>13525</v>
      </c>
      <c r="AY1044" s="3" t="s">
        <v>13526</v>
      </c>
      <c r="AZ1044" s="3" t="s">
        <v>74</v>
      </c>
      <c r="BB1044" s="3" t="s">
        <v>13527</v>
      </c>
      <c r="BC1044" s="3" t="s">
        <v>13528</v>
      </c>
      <c r="BD1044" s="3" t="s">
        <v>13529</v>
      </c>
    </row>
    <row r="1045" spans="1:56" ht="42.75" customHeight="1" x14ac:dyDescent="0.25">
      <c r="A1045" s="7" t="s">
        <v>58</v>
      </c>
      <c r="B1045" s="2" t="s">
        <v>13530</v>
      </c>
      <c r="C1045" s="2" t="s">
        <v>13531</v>
      </c>
      <c r="D1045" s="2" t="s">
        <v>13532</v>
      </c>
      <c r="F1045" s="3" t="s">
        <v>58</v>
      </c>
      <c r="G1045" s="3" t="s">
        <v>59</v>
      </c>
      <c r="H1045" s="3" t="s">
        <v>58</v>
      </c>
      <c r="I1045" s="3" t="s">
        <v>58</v>
      </c>
      <c r="J1045" s="3" t="s">
        <v>60</v>
      </c>
      <c r="K1045" s="2" t="s">
        <v>13533</v>
      </c>
      <c r="L1045" s="2" t="s">
        <v>13534</v>
      </c>
      <c r="M1045" s="3" t="s">
        <v>1035</v>
      </c>
      <c r="N1045" s="2" t="s">
        <v>9332</v>
      </c>
      <c r="O1045" s="3" t="s">
        <v>64</v>
      </c>
      <c r="P1045" s="3" t="s">
        <v>1898</v>
      </c>
      <c r="R1045" s="3" t="s">
        <v>67</v>
      </c>
      <c r="S1045" s="4">
        <v>1</v>
      </c>
      <c r="T1045" s="4">
        <v>1</v>
      </c>
      <c r="U1045" s="5" t="s">
        <v>13535</v>
      </c>
      <c r="V1045" s="5" t="s">
        <v>13535</v>
      </c>
      <c r="W1045" s="5" t="s">
        <v>13535</v>
      </c>
      <c r="X1045" s="5" t="s">
        <v>13535</v>
      </c>
      <c r="Y1045" s="4">
        <v>105</v>
      </c>
      <c r="Z1045" s="4">
        <v>97</v>
      </c>
      <c r="AA1045" s="4">
        <v>107</v>
      </c>
      <c r="AB1045" s="4">
        <v>4</v>
      </c>
      <c r="AC1045" s="4">
        <v>4</v>
      </c>
      <c r="AD1045" s="4">
        <v>0</v>
      </c>
      <c r="AE1045" s="4">
        <v>0</v>
      </c>
      <c r="AF1045" s="4">
        <v>0</v>
      </c>
      <c r="AG1045" s="4">
        <v>0</v>
      </c>
      <c r="AH1045" s="4">
        <v>0</v>
      </c>
      <c r="AI1045" s="4">
        <v>0</v>
      </c>
      <c r="AJ1045" s="4">
        <v>0</v>
      </c>
      <c r="AK1045" s="4">
        <v>0</v>
      </c>
      <c r="AL1045" s="4">
        <v>0</v>
      </c>
      <c r="AM1045" s="4">
        <v>0</v>
      </c>
      <c r="AN1045" s="4">
        <v>0</v>
      </c>
      <c r="AO1045" s="4">
        <v>0</v>
      </c>
      <c r="AP1045" s="3" t="s">
        <v>58</v>
      </c>
      <c r="AQ1045" s="3" t="s">
        <v>58</v>
      </c>
      <c r="AS1045" s="6" t="str">
        <f>HYPERLINK("https://creighton-primo.hosted.exlibrisgroup.com/primo-explore/search?tab=default_tab&amp;search_scope=EVERYTHING&amp;vid=01CRU&amp;lang=en_US&amp;offset=0&amp;query=any,contains,991003930759702656","Catalog Record")</f>
        <v>Catalog Record</v>
      </c>
      <c r="AT1045" s="6" t="str">
        <f>HYPERLINK("http://www.worldcat.org/oclc/45500023","WorldCat Record")</f>
        <v>WorldCat Record</v>
      </c>
      <c r="AU1045" s="3" t="s">
        <v>13536</v>
      </c>
      <c r="AV1045" s="3" t="s">
        <v>13537</v>
      </c>
      <c r="AW1045" s="3" t="s">
        <v>13538</v>
      </c>
      <c r="AX1045" s="3" t="s">
        <v>13538</v>
      </c>
      <c r="AY1045" s="3" t="s">
        <v>13539</v>
      </c>
      <c r="AZ1045" s="3" t="s">
        <v>74</v>
      </c>
      <c r="BB1045" s="3" t="s">
        <v>13540</v>
      </c>
      <c r="BC1045" s="3" t="s">
        <v>13541</v>
      </c>
      <c r="BD1045" s="3" t="s">
        <v>13542</v>
      </c>
    </row>
    <row r="1046" spans="1:56" ht="42.75" customHeight="1" x14ac:dyDescent="0.25">
      <c r="A1046" s="7" t="s">
        <v>58</v>
      </c>
      <c r="B1046" s="2" t="s">
        <v>13543</v>
      </c>
      <c r="C1046" s="2" t="s">
        <v>13544</v>
      </c>
      <c r="D1046" s="2" t="s">
        <v>13545</v>
      </c>
      <c r="F1046" s="3" t="s">
        <v>58</v>
      </c>
      <c r="G1046" s="3" t="s">
        <v>59</v>
      </c>
      <c r="H1046" s="3" t="s">
        <v>58</v>
      </c>
      <c r="I1046" s="3" t="s">
        <v>58</v>
      </c>
      <c r="J1046" s="3" t="s">
        <v>60</v>
      </c>
      <c r="K1046" s="2" t="s">
        <v>13546</v>
      </c>
      <c r="L1046" s="2" t="s">
        <v>13547</v>
      </c>
      <c r="M1046" s="3" t="s">
        <v>480</v>
      </c>
      <c r="N1046" s="2" t="s">
        <v>1736</v>
      </c>
      <c r="O1046" s="3" t="s">
        <v>64</v>
      </c>
      <c r="P1046" s="3" t="s">
        <v>115</v>
      </c>
      <c r="R1046" s="3" t="s">
        <v>67</v>
      </c>
      <c r="S1046" s="4">
        <v>7</v>
      </c>
      <c r="T1046" s="4">
        <v>7</v>
      </c>
      <c r="U1046" s="5" t="s">
        <v>3013</v>
      </c>
      <c r="V1046" s="5" t="s">
        <v>3013</v>
      </c>
      <c r="W1046" s="5" t="s">
        <v>8946</v>
      </c>
      <c r="X1046" s="5" t="s">
        <v>8946</v>
      </c>
      <c r="Y1046" s="4">
        <v>344</v>
      </c>
      <c r="Z1046" s="4">
        <v>328</v>
      </c>
      <c r="AA1046" s="4">
        <v>433</v>
      </c>
      <c r="AB1046" s="4">
        <v>1</v>
      </c>
      <c r="AC1046" s="4">
        <v>2</v>
      </c>
      <c r="AD1046" s="4">
        <v>8</v>
      </c>
      <c r="AE1046" s="4">
        <v>10</v>
      </c>
      <c r="AF1046" s="4">
        <v>3</v>
      </c>
      <c r="AG1046" s="4">
        <v>3</v>
      </c>
      <c r="AH1046" s="4">
        <v>1</v>
      </c>
      <c r="AI1046" s="4">
        <v>1</v>
      </c>
      <c r="AJ1046" s="4">
        <v>6</v>
      </c>
      <c r="AK1046" s="4">
        <v>7</v>
      </c>
      <c r="AL1046" s="4">
        <v>0</v>
      </c>
      <c r="AM1046" s="4">
        <v>1</v>
      </c>
      <c r="AN1046" s="4">
        <v>0</v>
      </c>
      <c r="AO1046" s="4">
        <v>0</v>
      </c>
      <c r="AP1046" s="3" t="s">
        <v>58</v>
      </c>
      <c r="AQ1046" s="3" t="s">
        <v>86</v>
      </c>
      <c r="AR1046" s="6" t="str">
        <f>HYPERLINK("http://catalog.hathitrust.org/Record/001298918","HathiTrust Record")</f>
        <v>HathiTrust Record</v>
      </c>
      <c r="AS1046" s="6" t="str">
        <f>HYPERLINK("https://creighton-primo.hosted.exlibrisgroup.com/primo-explore/search?tab=default_tab&amp;search_scope=EVERYTHING&amp;vid=01CRU&amp;lang=en_US&amp;offset=0&amp;query=any,contains,991003932939702656","Catalog Record")</f>
        <v>Catalog Record</v>
      </c>
      <c r="AT1046" s="6" t="str">
        <f>HYPERLINK("http://www.worldcat.org/oclc/19814969","WorldCat Record")</f>
        <v>WorldCat Record</v>
      </c>
      <c r="AU1046" s="3" t="s">
        <v>13548</v>
      </c>
      <c r="AV1046" s="3" t="s">
        <v>13549</v>
      </c>
      <c r="AW1046" s="3" t="s">
        <v>13550</v>
      </c>
      <c r="AX1046" s="3" t="s">
        <v>13550</v>
      </c>
      <c r="AY1046" s="3" t="s">
        <v>13551</v>
      </c>
      <c r="AZ1046" s="3" t="s">
        <v>74</v>
      </c>
      <c r="BB1046" s="3" t="s">
        <v>13552</v>
      </c>
      <c r="BC1046" s="3" t="s">
        <v>13553</v>
      </c>
      <c r="BD1046" s="3" t="s">
        <v>13554</v>
      </c>
    </row>
    <row r="1047" spans="1:56" ht="42.75" customHeight="1" x14ac:dyDescent="0.25">
      <c r="A1047" s="7" t="s">
        <v>58</v>
      </c>
      <c r="B1047" s="2" t="s">
        <v>13555</v>
      </c>
      <c r="C1047" s="2" t="s">
        <v>13556</v>
      </c>
      <c r="D1047" s="2" t="s">
        <v>13557</v>
      </c>
      <c r="F1047" s="3" t="s">
        <v>58</v>
      </c>
      <c r="G1047" s="3" t="s">
        <v>59</v>
      </c>
      <c r="H1047" s="3" t="s">
        <v>58</v>
      </c>
      <c r="I1047" s="3" t="s">
        <v>58</v>
      </c>
      <c r="J1047" s="3" t="s">
        <v>60</v>
      </c>
      <c r="L1047" s="2" t="s">
        <v>6567</v>
      </c>
      <c r="M1047" s="3" t="s">
        <v>4296</v>
      </c>
      <c r="O1047" s="3" t="s">
        <v>64</v>
      </c>
      <c r="P1047" s="3" t="s">
        <v>115</v>
      </c>
      <c r="Q1047" s="2" t="s">
        <v>13558</v>
      </c>
      <c r="R1047" s="3" t="s">
        <v>67</v>
      </c>
      <c r="S1047" s="4">
        <v>6</v>
      </c>
      <c r="T1047" s="4">
        <v>6</v>
      </c>
      <c r="U1047" s="5" t="s">
        <v>12889</v>
      </c>
      <c r="V1047" s="5" t="s">
        <v>12889</v>
      </c>
      <c r="W1047" s="5" t="s">
        <v>6584</v>
      </c>
      <c r="X1047" s="5" t="s">
        <v>6584</v>
      </c>
      <c r="Y1047" s="4">
        <v>461</v>
      </c>
      <c r="Z1047" s="4">
        <v>360</v>
      </c>
      <c r="AA1047" s="4">
        <v>362</v>
      </c>
      <c r="AB1047" s="4">
        <v>3</v>
      </c>
      <c r="AC1047" s="4">
        <v>3</v>
      </c>
      <c r="AD1047" s="4">
        <v>14</v>
      </c>
      <c r="AE1047" s="4">
        <v>14</v>
      </c>
      <c r="AF1047" s="4">
        <v>4</v>
      </c>
      <c r="AG1047" s="4">
        <v>4</v>
      </c>
      <c r="AH1047" s="4">
        <v>1</v>
      </c>
      <c r="AI1047" s="4">
        <v>1</v>
      </c>
      <c r="AJ1047" s="4">
        <v>8</v>
      </c>
      <c r="AK1047" s="4">
        <v>8</v>
      </c>
      <c r="AL1047" s="4">
        <v>2</v>
      </c>
      <c r="AM1047" s="4">
        <v>2</v>
      </c>
      <c r="AN1047" s="4">
        <v>0</v>
      </c>
      <c r="AO1047" s="4">
        <v>0</v>
      </c>
      <c r="AP1047" s="3" t="s">
        <v>58</v>
      </c>
      <c r="AQ1047" s="3" t="s">
        <v>86</v>
      </c>
      <c r="AR1047" s="6" t="str">
        <f>HYPERLINK("http://catalog.hathitrust.org/Record/000028646","HathiTrust Record")</f>
        <v>HathiTrust Record</v>
      </c>
      <c r="AS1047" s="6" t="str">
        <f>HYPERLINK("https://creighton-primo.hosted.exlibrisgroup.com/primo-explore/search?tab=default_tab&amp;search_scope=EVERYTHING&amp;vid=01CRU&amp;lang=en_US&amp;offset=0&amp;query=any,contains,991003874049702656","Catalog Record")</f>
        <v>Catalog Record</v>
      </c>
      <c r="AT1047" s="6" t="str">
        <f>HYPERLINK("http://www.worldcat.org/oclc/1701552","WorldCat Record")</f>
        <v>WorldCat Record</v>
      </c>
      <c r="AU1047" s="3" t="s">
        <v>13559</v>
      </c>
      <c r="AV1047" s="3" t="s">
        <v>13560</v>
      </c>
      <c r="AW1047" s="3" t="s">
        <v>13561</v>
      </c>
      <c r="AX1047" s="3" t="s">
        <v>13561</v>
      </c>
      <c r="AY1047" s="3" t="s">
        <v>13562</v>
      </c>
      <c r="AZ1047" s="3" t="s">
        <v>74</v>
      </c>
      <c r="BB1047" s="3" t="s">
        <v>13563</v>
      </c>
      <c r="BC1047" s="3" t="s">
        <v>13564</v>
      </c>
      <c r="BD1047" s="3" t="s">
        <v>13565</v>
      </c>
    </row>
    <row r="1048" spans="1:56" ht="42.75" customHeight="1" x14ac:dyDescent="0.25">
      <c r="A1048" s="7" t="s">
        <v>58</v>
      </c>
      <c r="B1048" s="2" t="s">
        <v>13566</v>
      </c>
      <c r="C1048" s="2" t="s">
        <v>13567</v>
      </c>
      <c r="D1048" s="2" t="s">
        <v>13568</v>
      </c>
      <c r="F1048" s="3" t="s">
        <v>58</v>
      </c>
      <c r="G1048" s="3" t="s">
        <v>59</v>
      </c>
      <c r="H1048" s="3" t="s">
        <v>58</v>
      </c>
      <c r="I1048" s="3" t="s">
        <v>58</v>
      </c>
      <c r="J1048" s="3" t="s">
        <v>60</v>
      </c>
      <c r="L1048" s="2" t="s">
        <v>9202</v>
      </c>
      <c r="M1048" s="3" t="s">
        <v>1574</v>
      </c>
      <c r="O1048" s="3" t="s">
        <v>64</v>
      </c>
      <c r="P1048" s="3" t="s">
        <v>115</v>
      </c>
      <c r="Q1048" s="2" t="s">
        <v>3985</v>
      </c>
      <c r="R1048" s="3" t="s">
        <v>67</v>
      </c>
      <c r="S1048" s="4">
        <v>23</v>
      </c>
      <c r="T1048" s="4">
        <v>23</v>
      </c>
      <c r="U1048" s="5" t="s">
        <v>8144</v>
      </c>
      <c r="V1048" s="5" t="s">
        <v>8144</v>
      </c>
      <c r="W1048" s="5" t="s">
        <v>5050</v>
      </c>
      <c r="X1048" s="5" t="s">
        <v>5050</v>
      </c>
      <c r="Y1048" s="4">
        <v>454</v>
      </c>
      <c r="Z1048" s="4">
        <v>382</v>
      </c>
      <c r="AA1048" s="4">
        <v>385</v>
      </c>
      <c r="AB1048" s="4">
        <v>3</v>
      </c>
      <c r="AC1048" s="4">
        <v>3</v>
      </c>
      <c r="AD1048" s="4">
        <v>22</v>
      </c>
      <c r="AE1048" s="4">
        <v>22</v>
      </c>
      <c r="AF1048" s="4">
        <v>7</v>
      </c>
      <c r="AG1048" s="4">
        <v>7</v>
      </c>
      <c r="AH1048" s="4">
        <v>4</v>
      </c>
      <c r="AI1048" s="4">
        <v>4</v>
      </c>
      <c r="AJ1048" s="4">
        <v>12</v>
      </c>
      <c r="AK1048" s="4">
        <v>12</v>
      </c>
      <c r="AL1048" s="4">
        <v>2</v>
      </c>
      <c r="AM1048" s="4">
        <v>2</v>
      </c>
      <c r="AN1048" s="4">
        <v>0</v>
      </c>
      <c r="AO1048" s="4">
        <v>0</v>
      </c>
      <c r="AP1048" s="3" t="s">
        <v>58</v>
      </c>
      <c r="AQ1048" s="3" t="s">
        <v>86</v>
      </c>
      <c r="AR1048" s="6" t="str">
        <f>HYPERLINK("http://catalog.hathitrust.org/Record/008580166","HathiTrust Record")</f>
        <v>HathiTrust Record</v>
      </c>
      <c r="AS1048" s="6" t="str">
        <f>HYPERLINK("https://creighton-primo.hosted.exlibrisgroup.com/primo-explore/search?tab=default_tab&amp;search_scope=EVERYTHING&amp;vid=01CRU&amp;lang=en_US&amp;offset=0&amp;query=any,contains,991005240249702656","Catalog Record")</f>
        <v>Catalog Record</v>
      </c>
      <c r="AT1048" s="6" t="str">
        <f>HYPERLINK("http://www.worldcat.org/oclc/8410421","WorldCat Record")</f>
        <v>WorldCat Record</v>
      </c>
      <c r="AU1048" s="3" t="s">
        <v>13569</v>
      </c>
      <c r="AV1048" s="3" t="s">
        <v>13570</v>
      </c>
      <c r="AW1048" s="3" t="s">
        <v>13571</v>
      </c>
      <c r="AX1048" s="3" t="s">
        <v>13571</v>
      </c>
      <c r="AY1048" s="3" t="s">
        <v>13572</v>
      </c>
      <c r="AZ1048" s="3" t="s">
        <v>74</v>
      </c>
      <c r="BB1048" s="3" t="s">
        <v>13573</v>
      </c>
      <c r="BC1048" s="3" t="s">
        <v>13574</v>
      </c>
      <c r="BD1048" s="3" t="s">
        <v>13575</v>
      </c>
    </row>
    <row r="1049" spans="1:56" ht="42.75" customHeight="1" x14ac:dyDescent="0.25">
      <c r="A1049" s="7" t="s">
        <v>58</v>
      </c>
      <c r="B1049" s="2" t="s">
        <v>13576</v>
      </c>
      <c r="C1049" s="2" t="s">
        <v>13577</v>
      </c>
      <c r="D1049" s="2" t="s">
        <v>13578</v>
      </c>
      <c r="F1049" s="3" t="s">
        <v>58</v>
      </c>
      <c r="G1049" s="3" t="s">
        <v>59</v>
      </c>
      <c r="H1049" s="3" t="s">
        <v>58</v>
      </c>
      <c r="I1049" s="3" t="s">
        <v>58</v>
      </c>
      <c r="J1049" s="3" t="s">
        <v>60</v>
      </c>
      <c r="K1049" s="2" t="s">
        <v>13579</v>
      </c>
      <c r="L1049" s="2" t="s">
        <v>13580</v>
      </c>
      <c r="M1049" s="3" t="s">
        <v>2227</v>
      </c>
      <c r="O1049" s="3" t="s">
        <v>64</v>
      </c>
      <c r="P1049" s="3" t="s">
        <v>115</v>
      </c>
      <c r="R1049" s="3" t="s">
        <v>67</v>
      </c>
      <c r="S1049" s="4">
        <v>24</v>
      </c>
      <c r="T1049" s="4">
        <v>24</v>
      </c>
      <c r="U1049" s="5" t="s">
        <v>13581</v>
      </c>
      <c r="V1049" s="5" t="s">
        <v>13581</v>
      </c>
      <c r="W1049" s="5" t="s">
        <v>2065</v>
      </c>
      <c r="X1049" s="5" t="s">
        <v>2065</v>
      </c>
      <c r="Y1049" s="4">
        <v>64</v>
      </c>
      <c r="Z1049" s="4">
        <v>59</v>
      </c>
      <c r="AA1049" s="4">
        <v>139</v>
      </c>
      <c r="AB1049" s="4">
        <v>1</v>
      </c>
      <c r="AC1049" s="4">
        <v>2</v>
      </c>
      <c r="AD1049" s="4">
        <v>3</v>
      </c>
      <c r="AE1049" s="4">
        <v>3</v>
      </c>
      <c r="AF1049" s="4">
        <v>1</v>
      </c>
      <c r="AG1049" s="4">
        <v>1</v>
      </c>
      <c r="AH1049" s="4">
        <v>0</v>
      </c>
      <c r="AI1049" s="4">
        <v>0</v>
      </c>
      <c r="AJ1049" s="4">
        <v>2</v>
      </c>
      <c r="AK1049" s="4">
        <v>2</v>
      </c>
      <c r="AL1049" s="4">
        <v>0</v>
      </c>
      <c r="AM1049" s="4">
        <v>0</v>
      </c>
      <c r="AN1049" s="4">
        <v>0</v>
      </c>
      <c r="AO1049" s="4">
        <v>0</v>
      </c>
      <c r="AP1049" s="3" t="s">
        <v>58</v>
      </c>
      <c r="AQ1049" s="3" t="s">
        <v>58</v>
      </c>
      <c r="AS1049" s="6" t="str">
        <f>HYPERLINK("https://creighton-primo.hosted.exlibrisgroup.com/primo-explore/search?tab=default_tab&amp;search_scope=EVERYTHING&amp;vid=01CRU&amp;lang=en_US&amp;offset=0&amp;query=any,contains,991000559159702656","Catalog Record")</f>
        <v>Catalog Record</v>
      </c>
      <c r="AT1049" s="6" t="str">
        <f>HYPERLINK("http://www.worldcat.org/oclc/11574335","WorldCat Record")</f>
        <v>WorldCat Record</v>
      </c>
      <c r="AU1049" s="3" t="s">
        <v>13582</v>
      </c>
      <c r="AV1049" s="3" t="s">
        <v>13583</v>
      </c>
      <c r="AW1049" s="3" t="s">
        <v>13584</v>
      </c>
      <c r="AX1049" s="3" t="s">
        <v>13584</v>
      </c>
      <c r="AY1049" s="3" t="s">
        <v>13585</v>
      </c>
      <c r="AZ1049" s="3" t="s">
        <v>74</v>
      </c>
      <c r="BB1049" s="3" t="s">
        <v>13586</v>
      </c>
      <c r="BC1049" s="3" t="s">
        <v>13587</v>
      </c>
      <c r="BD1049" s="3" t="s">
        <v>13588</v>
      </c>
    </row>
    <row r="1050" spans="1:56" ht="42.75" customHeight="1" x14ac:dyDescent="0.25">
      <c r="A1050" s="7" t="s">
        <v>58</v>
      </c>
      <c r="B1050" s="2" t="s">
        <v>13589</v>
      </c>
      <c r="C1050" s="2" t="s">
        <v>13590</v>
      </c>
      <c r="D1050" s="2" t="s">
        <v>13591</v>
      </c>
      <c r="F1050" s="3" t="s">
        <v>58</v>
      </c>
      <c r="G1050" s="3" t="s">
        <v>59</v>
      </c>
      <c r="H1050" s="3" t="s">
        <v>58</v>
      </c>
      <c r="I1050" s="3" t="s">
        <v>58</v>
      </c>
      <c r="J1050" s="3" t="s">
        <v>60</v>
      </c>
      <c r="K1050" s="2" t="s">
        <v>13592</v>
      </c>
      <c r="L1050" s="2" t="s">
        <v>13593</v>
      </c>
      <c r="M1050" s="3" t="s">
        <v>82</v>
      </c>
      <c r="O1050" s="3" t="s">
        <v>64</v>
      </c>
      <c r="P1050" s="3" t="s">
        <v>115</v>
      </c>
      <c r="R1050" s="3" t="s">
        <v>67</v>
      </c>
      <c r="S1050" s="4">
        <v>52</v>
      </c>
      <c r="T1050" s="4">
        <v>52</v>
      </c>
      <c r="U1050" s="5" t="s">
        <v>13594</v>
      </c>
      <c r="V1050" s="5" t="s">
        <v>13594</v>
      </c>
      <c r="W1050" s="5" t="s">
        <v>7013</v>
      </c>
      <c r="X1050" s="5" t="s">
        <v>7013</v>
      </c>
      <c r="Y1050" s="4">
        <v>483</v>
      </c>
      <c r="Z1050" s="4">
        <v>338</v>
      </c>
      <c r="AA1050" s="4">
        <v>678</v>
      </c>
      <c r="AB1050" s="4">
        <v>2</v>
      </c>
      <c r="AC1050" s="4">
        <v>6</v>
      </c>
      <c r="AD1050" s="4">
        <v>11</v>
      </c>
      <c r="AE1050" s="4">
        <v>30</v>
      </c>
      <c r="AF1050" s="4">
        <v>4</v>
      </c>
      <c r="AG1050" s="4">
        <v>10</v>
      </c>
      <c r="AH1050" s="4">
        <v>2</v>
      </c>
      <c r="AI1050" s="4">
        <v>7</v>
      </c>
      <c r="AJ1050" s="4">
        <v>8</v>
      </c>
      <c r="AK1050" s="4">
        <v>13</v>
      </c>
      <c r="AL1050" s="4">
        <v>1</v>
      </c>
      <c r="AM1050" s="4">
        <v>5</v>
      </c>
      <c r="AN1050" s="4">
        <v>0</v>
      </c>
      <c r="AO1050" s="4">
        <v>1</v>
      </c>
      <c r="AP1050" s="3" t="s">
        <v>58</v>
      </c>
      <c r="AQ1050" s="3" t="s">
        <v>58</v>
      </c>
      <c r="AS1050" s="6" t="str">
        <f>HYPERLINK("https://creighton-primo.hosted.exlibrisgroup.com/primo-explore/search?tab=default_tab&amp;search_scope=EVERYTHING&amp;vid=01CRU&amp;lang=en_US&amp;offset=0&amp;query=any,contains,991000937729702656","Catalog Record")</f>
        <v>Catalog Record</v>
      </c>
      <c r="AT1050" s="6" t="str">
        <f>HYPERLINK("http://www.worldcat.org/oclc/14376862","WorldCat Record")</f>
        <v>WorldCat Record</v>
      </c>
      <c r="AU1050" s="3" t="s">
        <v>13595</v>
      </c>
      <c r="AV1050" s="3" t="s">
        <v>13596</v>
      </c>
      <c r="AW1050" s="3" t="s">
        <v>13597</v>
      </c>
      <c r="AX1050" s="3" t="s">
        <v>13597</v>
      </c>
      <c r="AY1050" s="3" t="s">
        <v>13598</v>
      </c>
      <c r="AZ1050" s="3" t="s">
        <v>74</v>
      </c>
      <c r="BB1050" s="3" t="s">
        <v>13599</v>
      </c>
      <c r="BC1050" s="3" t="s">
        <v>13600</v>
      </c>
      <c r="BD1050" s="3" t="s">
        <v>13601</v>
      </c>
    </row>
    <row r="1051" spans="1:56" ht="42.75" customHeight="1" x14ac:dyDescent="0.25">
      <c r="A1051" s="7" t="s">
        <v>58</v>
      </c>
      <c r="B1051" s="2" t="s">
        <v>13602</v>
      </c>
      <c r="C1051" s="2" t="s">
        <v>13603</v>
      </c>
      <c r="D1051" s="2" t="s">
        <v>13604</v>
      </c>
      <c r="F1051" s="3" t="s">
        <v>58</v>
      </c>
      <c r="G1051" s="3" t="s">
        <v>59</v>
      </c>
      <c r="H1051" s="3" t="s">
        <v>58</v>
      </c>
      <c r="I1051" s="3" t="s">
        <v>58</v>
      </c>
      <c r="J1051" s="3" t="s">
        <v>60</v>
      </c>
      <c r="K1051" s="2" t="s">
        <v>13605</v>
      </c>
      <c r="L1051" s="2" t="s">
        <v>13606</v>
      </c>
      <c r="M1051" s="3" t="s">
        <v>737</v>
      </c>
      <c r="O1051" s="3" t="s">
        <v>64</v>
      </c>
      <c r="P1051" s="3" t="s">
        <v>115</v>
      </c>
      <c r="R1051" s="3" t="s">
        <v>67</v>
      </c>
      <c r="S1051" s="4">
        <v>26</v>
      </c>
      <c r="T1051" s="4">
        <v>26</v>
      </c>
      <c r="U1051" s="5" t="s">
        <v>13607</v>
      </c>
      <c r="V1051" s="5" t="s">
        <v>13607</v>
      </c>
      <c r="W1051" s="5" t="s">
        <v>2131</v>
      </c>
      <c r="X1051" s="5" t="s">
        <v>2131</v>
      </c>
      <c r="Y1051" s="4">
        <v>570</v>
      </c>
      <c r="Z1051" s="4">
        <v>476</v>
      </c>
      <c r="AA1051" s="4">
        <v>477</v>
      </c>
      <c r="AB1051" s="4">
        <v>7</v>
      </c>
      <c r="AC1051" s="4">
        <v>7</v>
      </c>
      <c r="AD1051" s="4">
        <v>28</v>
      </c>
      <c r="AE1051" s="4">
        <v>28</v>
      </c>
      <c r="AF1051" s="4">
        <v>10</v>
      </c>
      <c r="AG1051" s="4">
        <v>10</v>
      </c>
      <c r="AH1051" s="4">
        <v>5</v>
      </c>
      <c r="AI1051" s="4">
        <v>5</v>
      </c>
      <c r="AJ1051" s="4">
        <v>13</v>
      </c>
      <c r="AK1051" s="4">
        <v>13</v>
      </c>
      <c r="AL1051" s="4">
        <v>6</v>
      </c>
      <c r="AM1051" s="4">
        <v>6</v>
      </c>
      <c r="AN1051" s="4">
        <v>0</v>
      </c>
      <c r="AO1051" s="4">
        <v>0</v>
      </c>
      <c r="AP1051" s="3" t="s">
        <v>58</v>
      </c>
      <c r="AQ1051" s="3" t="s">
        <v>58</v>
      </c>
      <c r="AS1051" s="6" t="str">
        <f>HYPERLINK("https://creighton-primo.hosted.exlibrisgroup.com/primo-explore/search?tab=default_tab&amp;search_scope=EVERYTHING&amp;vid=01CRU&amp;lang=en_US&amp;offset=0&amp;query=any,contains,991002360999702656","Catalog Record")</f>
        <v>Catalog Record</v>
      </c>
      <c r="AT1051" s="6" t="str">
        <f>HYPERLINK("http://www.worldcat.org/oclc/30701895","WorldCat Record")</f>
        <v>WorldCat Record</v>
      </c>
      <c r="AU1051" s="3" t="s">
        <v>13608</v>
      </c>
      <c r="AV1051" s="3" t="s">
        <v>13609</v>
      </c>
      <c r="AW1051" s="3" t="s">
        <v>13610</v>
      </c>
      <c r="AX1051" s="3" t="s">
        <v>13610</v>
      </c>
      <c r="AY1051" s="3" t="s">
        <v>13611</v>
      </c>
      <c r="AZ1051" s="3" t="s">
        <v>74</v>
      </c>
      <c r="BB1051" s="3" t="s">
        <v>13612</v>
      </c>
      <c r="BC1051" s="3" t="s">
        <v>13613</v>
      </c>
      <c r="BD1051" s="3" t="s">
        <v>13614</v>
      </c>
    </row>
    <row r="1052" spans="1:56" ht="42.75" customHeight="1" x14ac:dyDescent="0.25">
      <c r="A1052" s="7" t="s">
        <v>58</v>
      </c>
      <c r="B1052" s="2" t="s">
        <v>13615</v>
      </c>
      <c r="C1052" s="2" t="s">
        <v>13616</v>
      </c>
      <c r="D1052" s="2" t="s">
        <v>13617</v>
      </c>
      <c r="F1052" s="3" t="s">
        <v>58</v>
      </c>
      <c r="G1052" s="3" t="s">
        <v>59</v>
      </c>
      <c r="H1052" s="3" t="s">
        <v>58</v>
      </c>
      <c r="I1052" s="3" t="s">
        <v>58</v>
      </c>
      <c r="J1052" s="3" t="s">
        <v>60</v>
      </c>
      <c r="L1052" s="2" t="s">
        <v>13618</v>
      </c>
      <c r="M1052" s="3" t="s">
        <v>98</v>
      </c>
      <c r="O1052" s="3" t="s">
        <v>64</v>
      </c>
      <c r="P1052" s="3" t="s">
        <v>13619</v>
      </c>
      <c r="R1052" s="3" t="s">
        <v>67</v>
      </c>
      <c r="S1052" s="4">
        <v>27</v>
      </c>
      <c r="T1052" s="4">
        <v>27</v>
      </c>
      <c r="U1052" s="5" t="s">
        <v>13607</v>
      </c>
      <c r="V1052" s="5" t="s">
        <v>13607</v>
      </c>
      <c r="W1052" s="5" t="s">
        <v>13620</v>
      </c>
      <c r="X1052" s="5" t="s">
        <v>13620</v>
      </c>
      <c r="Y1052" s="4">
        <v>115</v>
      </c>
      <c r="Z1052" s="4">
        <v>84</v>
      </c>
      <c r="AA1052" s="4">
        <v>114</v>
      </c>
      <c r="AB1052" s="4">
        <v>2</v>
      </c>
      <c r="AC1052" s="4">
        <v>2</v>
      </c>
      <c r="AD1052" s="4">
        <v>2</v>
      </c>
      <c r="AE1052" s="4">
        <v>4</v>
      </c>
      <c r="AF1052" s="4">
        <v>0</v>
      </c>
      <c r="AG1052" s="4">
        <v>2</v>
      </c>
      <c r="AH1052" s="4">
        <v>1</v>
      </c>
      <c r="AI1052" s="4">
        <v>1</v>
      </c>
      <c r="AJ1052" s="4">
        <v>0</v>
      </c>
      <c r="AK1052" s="4">
        <v>1</v>
      </c>
      <c r="AL1052" s="4">
        <v>1</v>
      </c>
      <c r="AM1052" s="4">
        <v>1</v>
      </c>
      <c r="AN1052" s="4">
        <v>0</v>
      </c>
      <c r="AO1052" s="4">
        <v>0</v>
      </c>
      <c r="AP1052" s="3" t="s">
        <v>58</v>
      </c>
      <c r="AQ1052" s="3" t="s">
        <v>86</v>
      </c>
      <c r="AR1052" s="6" t="str">
        <f>HYPERLINK("http://catalog.hathitrust.org/Record/008580168","HathiTrust Record")</f>
        <v>HathiTrust Record</v>
      </c>
      <c r="AS1052" s="6" t="str">
        <f>HYPERLINK("https://creighton-primo.hosted.exlibrisgroup.com/primo-explore/search?tab=default_tab&amp;search_scope=EVERYTHING&amp;vid=01CRU&amp;lang=en_US&amp;offset=0&amp;query=any,contains,991001282169702656","Catalog Record")</f>
        <v>Catalog Record</v>
      </c>
      <c r="AT1052" s="6" t="str">
        <f>HYPERLINK("http://www.worldcat.org/oclc/17880394","WorldCat Record")</f>
        <v>WorldCat Record</v>
      </c>
      <c r="AU1052" s="3" t="s">
        <v>13621</v>
      </c>
      <c r="AV1052" s="3" t="s">
        <v>13622</v>
      </c>
      <c r="AW1052" s="3" t="s">
        <v>13623</v>
      </c>
      <c r="AX1052" s="3" t="s">
        <v>13623</v>
      </c>
      <c r="AY1052" s="3" t="s">
        <v>13624</v>
      </c>
      <c r="AZ1052" s="3" t="s">
        <v>74</v>
      </c>
      <c r="BB1052" s="3" t="s">
        <v>13625</v>
      </c>
      <c r="BC1052" s="3" t="s">
        <v>13626</v>
      </c>
      <c r="BD1052" s="3" t="s">
        <v>13627</v>
      </c>
    </row>
    <row r="1053" spans="1:56" ht="42.75" customHeight="1" x14ac:dyDescent="0.25">
      <c r="A1053" s="7" t="s">
        <v>58</v>
      </c>
      <c r="B1053" s="2" t="s">
        <v>13628</v>
      </c>
      <c r="C1053" s="2" t="s">
        <v>13629</v>
      </c>
      <c r="D1053" s="2" t="s">
        <v>13630</v>
      </c>
      <c r="F1053" s="3" t="s">
        <v>58</v>
      </c>
      <c r="G1053" s="3" t="s">
        <v>59</v>
      </c>
      <c r="H1053" s="3" t="s">
        <v>58</v>
      </c>
      <c r="I1053" s="3" t="s">
        <v>58</v>
      </c>
      <c r="J1053" s="3" t="s">
        <v>60</v>
      </c>
      <c r="K1053" s="2" t="s">
        <v>8622</v>
      </c>
      <c r="L1053" s="2" t="s">
        <v>5072</v>
      </c>
      <c r="M1053" s="3" t="s">
        <v>314</v>
      </c>
      <c r="O1053" s="3" t="s">
        <v>64</v>
      </c>
      <c r="P1053" s="3" t="s">
        <v>83</v>
      </c>
      <c r="Q1053" s="2" t="s">
        <v>13631</v>
      </c>
      <c r="R1053" s="3" t="s">
        <v>67</v>
      </c>
      <c r="S1053" s="4">
        <v>41</v>
      </c>
      <c r="T1053" s="4">
        <v>41</v>
      </c>
      <c r="U1053" s="5" t="s">
        <v>13632</v>
      </c>
      <c r="V1053" s="5" t="s">
        <v>13632</v>
      </c>
      <c r="W1053" s="5" t="s">
        <v>12938</v>
      </c>
      <c r="X1053" s="5" t="s">
        <v>12938</v>
      </c>
      <c r="Y1053" s="4">
        <v>311</v>
      </c>
      <c r="Z1053" s="4">
        <v>252</v>
      </c>
      <c r="AA1053" s="4">
        <v>255</v>
      </c>
      <c r="AB1053" s="4">
        <v>4</v>
      </c>
      <c r="AC1053" s="4">
        <v>4</v>
      </c>
      <c r="AD1053" s="4">
        <v>11</v>
      </c>
      <c r="AE1053" s="4">
        <v>11</v>
      </c>
      <c r="AF1053" s="4">
        <v>2</v>
      </c>
      <c r="AG1053" s="4">
        <v>2</v>
      </c>
      <c r="AH1053" s="4">
        <v>1</v>
      </c>
      <c r="AI1053" s="4">
        <v>1</v>
      </c>
      <c r="AJ1053" s="4">
        <v>6</v>
      </c>
      <c r="AK1053" s="4">
        <v>6</v>
      </c>
      <c r="AL1053" s="4">
        <v>3</v>
      </c>
      <c r="AM1053" s="4">
        <v>3</v>
      </c>
      <c r="AN1053" s="4">
        <v>0</v>
      </c>
      <c r="AO1053" s="4">
        <v>0</v>
      </c>
      <c r="AP1053" s="3" t="s">
        <v>58</v>
      </c>
      <c r="AQ1053" s="3" t="s">
        <v>86</v>
      </c>
      <c r="AR1053" s="6" t="str">
        <f>HYPERLINK("http://catalog.hathitrust.org/Record/000871388","HathiTrust Record")</f>
        <v>HathiTrust Record</v>
      </c>
      <c r="AS1053" s="6" t="str">
        <f>HYPERLINK("https://creighton-primo.hosted.exlibrisgroup.com/primo-explore/search?tab=default_tab&amp;search_scope=EVERYTHING&amp;vid=01CRU&amp;lang=en_US&amp;offset=0&amp;query=any,contains,991001916659702656","Catalog Record")</f>
        <v>Catalog Record</v>
      </c>
      <c r="AT1053" s="6" t="str">
        <f>HYPERLINK("http://www.worldcat.org/oclc/243807","WorldCat Record")</f>
        <v>WorldCat Record</v>
      </c>
      <c r="AU1053" s="3" t="s">
        <v>13633</v>
      </c>
      <c r="AV1053" s="3" t="s">
        <v>13634</v>
      </c>
      <c r="AW1053" s="3" t="s">
        <v>13635</v>
      </c>
      <c r="AX1053" s="3" t="s">
        <v>13635</v>
      </c>
      <c r="AY1053" s="3" t="s">
        <v>13636</v>
      </c>
      <c r="AZ1053" s="3" t="s">
        <v>74</v>
      </c>
      <c r="BC1053" s="3" t="s">
        <v>13637</v>
      </c>
      <c r="BD1053" s="3" t="s">
        <v>13638</v>
      </c>
    </row>
    <row r="1054" spans="1:56" ht="42.75" customHeight="1" x14ac:dyDescent="0.25">
      <c r="A1054" s="7" t="s">
        <v>58</v>
      </c>
      <c r="B1054" s="2" t="s">
        <v>13639</v>
      </c>
      <c r="C1054" s="2" t="s">
        <v>13640</v>
      </c>
      <c r="D1054" s="2" t="s">
        <v>13641</v>
      </c>
      <c r="F1054" s="3" t="s">
        <v>58</v>
      </c>
      <c r="G1054" s="3" t="s">
        <v>59</v>
      </c>
      <c r="H1054" s="3" t="s">
        <v>58</v>
      </c>
      <c r="I1054" s="3" t="s">
        <v>58</v>
      </c>
      <c r="J1054" s="3" t="s">
        <v>60</v>
      </c>
      <c r="K1054" s="2" t="s">
        <v>13642</v>
      </c>
      <c r="L1054" s="2" t="s">
        <v>13643</v>
      </c>
      <c r="M1054" s="3" t="s">
        <v>2770</v>
      </c>
      <c r="O1054" s="3" t="s">
        <v>64</v>
      </c>
      <c r="P1054" s="3" t="s">
        <v>115</v>
      </c>
      <c r="R1054" s="3" t="s">
        <v>67</v>
      </c>
      <c r="S1054" s="4">
        <v>25</v>
      </c>
      <c r="T1054" s="4">
        <v>25</v>
      </c>
      <c r="U1054" s="5" t="s">
        <v>12497</v>
      </c>
      <c r="V1054" s="5" t="s">
        <v>12497</v>
      </c>
      <c r="W1054" s="5" t="s">
        <v>131</v>
      </c>
      <c r="X1054" s="5" t="s">
        <v>131</v>
      </c>
      <c r="Y1054" s="4">
        <v>131</v>
      </c>
      <c r="Z1054" s="4">
        <v>120</v>
      </c>
      <c r="AA1054" s="4">
        <v>124</v>
      </c>
      <c r="AB1054" s="4">
        <v>1</v>
      </c>
      <c r="AC1054" s="4">
        <v>1</v>
      </c>
      <c r="AD1054" s="4">
        <v>0</v>
      </c>
      <c r="AE1054" s="4">
        <v>1</v>
      </c>
      <c r="AF1054" s="4">
        <v>0</v>
      </c>
      <c r="AG1054" s="4">
        <v>0</v>
      </c>
      <c r="AH1054" s="4">
        <v>0</v>
      </c>
      <c r="AI1054" s="4">
        <v>0</v>
      </c>
      <c r="AJ1054" s="4">
        <v>0</v>
      </c>
      <c r="AK1054" s="4">
        <v>1</v>
      </c>
      <c r="AL1054" s="4">
        <v>0</v>
      </c>
      <c r="AM1054" s="4">
        <v>0</v>
      </c>
      <c r="AN1054" s="4">
        <v>0</v>
      </c>
      <c r="AO1054" s="4">
        <v>0</v>
      </c>
      <c r="AP1054" s="3" t="s">
        <v>58</v>
      </c>
      <c r="AQ1054" s="3" t="s">
        <v>58</v>
      </c>
      <c r="AS1054" s="6" t="str">
        <f>HYPERLINK("https://creighton-primo.hosted.exlibrisgroup.com/primo-explore/search?tab=default_tab&amp;search_scope=EVERYTHING&amp;vid=01CRU&amp;lang=en_US&amp;offset=0&amp;query=any,contains,991004364729702656","Catalog Record")</f>
        <v>Catalog Record</v>
      </c>
      <c r="AT1054" s="6" t="str">
        <f>HYPERLINK("http://www.worldcat.org/oclc/3168998","WorldCat Record")</f>
        <v>WorldCat Record</v>
      </c>
      <c r="AU1054" s="3" t="s">
        <v>13644</v>
      </c>
      <c r="AV1054" s="3" t="s">
        <v>13645</v>
      </c>
      <c r="AW1054" s="3" t="s">
        <v>13646</v>
      </c>
      <c r="AX1054" s="3" t="s">
        <v>13646</v>
      </c>
      <c r="AY1054" s="3" t="s">
        <v>13647</v>
      </c>
      <c r="AZ1054" s="3" t="s">
        <v>74</v>
      </c>
      <c r="BB1054" s="3" t="s">
        <v>13648</v>
      </c>
      <c r="BC1054" s="3" t="s">
        <v>13649</v>
      </c>
      <c r="BD1054" s="3" t="s">
        <v>13650</v>
      </c>
    </row>
    <row r="1055" spans="1:56" ht="42.75" customHeight="1" x14ac:dyDescent="0.25">
      <c r="A1055" s="7" t="s">
        <v>58</v>
      </c>
      <c r="B1055" s="2" t="s">
        <v>13651</v>
      </c>
      <c r="C1055" s="2" t="s">
        <v>13652</v>
      </c>
      <c r="D1055" s="2" t="s">
        <v>13653</v>
      </c>
      <c r="F1055" s="3" t="s">
        <v>58</v>
      </c>
      <c r="G1055" s="3" t="s">
        <v>59</v>
      </c>
      <c r="H1055" s="3" t="s">
        <v>86</v>
      </c>
      <c r="I1055" s="3" t="s">
        <v>58</v>
      </c>
      <c r="J1055" s="3" t="s">
        <v>60</v>
      </c>
      <c r="K1055" s="2" t="s">
        <v>13654</v>
      </c>
      <c r="L1055" s="2" t="s">
        <v>13655</v>
      </c>
      <c r="M1055" s="3" t="s">
        <v>63</v>
      </c>
      <c r="O1055" s="3" t="s">
        <v>64</v>
      </c>
      <c r="P1055" s="3" t="s">
        <v>65</v>
      </c>
      <c r="R1055" s="3" t="s">
        <v>67</v>
      </c>
      <c r="S1055" s="4">
        <v>25</v>
      </c>
      <c r="T1055" s="4">
        <v>25</v>
      </c>
      <c r="U1055" s="5" t="s">
        <v>13656</v>
      </c>
      <c r="V1055" s="5" t="s">
        <v>13656</v>
      </c>
      <c r="W1055" s="5" t="s">
        <v>2065</v>
      </c>
      <c r="X1055" s="5" t="s">
        <v>2065</v>
      </c>
      <c r="Y1055" s="4">
        <v>384</v>
      </c>
      <c r="Z1055" s="4">
        <v>318</v>
      </c>
      <c r="AA1055" s="4">
        <v>334</v>
      </c>
      <c r="AB1055" s="4">
        <v>3</v>
      </c>
      <c r="AC1055" s="4">
        <v>3</v>
      </c>
      <c r="AD1055" s="4">
        <v>13</v>
      </c>
      <c r="AE1055" s="4">
        <v>14</v>
      </c>
      <c r="AF1055" s="4">
        <v>2</v>
      </c>
      <c r="AG1055" s="4">
        <v>3</v>
      </c>
      <c r="AH1055" s="4">
        <v>3</v>
      </c>
      <c r="AI1055" s="4">
        <v>3</v>
      </c>
      <c r="AJ1055" s="4">
        <v>8</v>
      </c>
      <c r="AK1055" s="4">
        <v>9</v>
      </c>
      <c r="AL1055" s="4">
        <v>1</v>
      </c>
      <c r="AM1055" s="4">
        <v>1</v>
      </c>
      <c r="AN1055" s="4">
        <v>0</v>
      </c>
      <c r="AO1055" s="4">
        <v>0</v>
      </c>
      <c r="AP1055" s="3" t="s">
        <v>58</v>
      </c>
      <c r="AQ1055" s="3" t="s">
        <v>86</v>
      </c>
      <c r="AR1055" s="6" t="str">
        <f>HYPERLINK("http://catalog.hathitrust.org/Record/000276540","HathiTrust Record")</f>
        <v>HathiTrust Record</v>
      </c>
      <c r="AS1055" s="6" t="str">
        <f>HYPERLINK("https://creighton-primo.hosted.exlibrisgroup.com/primo-explore/search?tab=default_tab&amp;search_scope=EVERYTHING&amp;vid=01CRU&amp;lang=en_US&amp;offset=0&amp;query=any,contains,991005248679702656","Catalog Record")</f>
        <v>Catalog Record</v>
      </c>
      <c r="AT1055" s="6" t="str">
        <f>HYPERLINK("http://www.worldcat.org/oclc/8475719","WorldCat Record")</f>
        <v>WorldCat Record</v>
      </c>
      <c r="AU1055" s="3" t="s">
        <v>13657</v>
      </c>
      <c r="AV1055" s="3" t="s">
        <v>13658</v>
      </c>
      <c r="AW1055" s="3" t="s">
        <v>13659</v>
      </c>
      <c r="AX1055" s="3" t="s">
        <v>13659</v>
      </c>
      <c r="AY1055" s="3" t="s">
        <v>13660</v>
      </c>
      <c r="AZ1055" s="3" t="s">
        <v>74</v>
      </c>
      <c r="BB1055" s="3" t="s">
        <v>13661</v>
      </c>
      <c r="BC1055" s="3" t="s">
        <v>13662</v>
      </c>
      <c r="BD1055" s="3" t="s">
        <v>13663</v>
      </c>
    </row>
    <row r="1056" spans="1:56" ht="42.75" customHeight="1" x14ac:dyDescent="0.25">
      <c r="A1056" s="7" t="s">
        <v>58</v>
      </c>
      <c r="B1056" s="2" t="s">
        <v>13664</v>
      </c>
      <c r="C1056" s="2" t="s">
        <v>13665</v>
      </c>
      <c r="D1056" s="2" t="s">
        <v>13666</v>
      </c>
      <c r="F1056" s="3" t="s">
        <v>58</v>
      </c>
      <c r="G1056" s="3" t="s">
        <v>59</v>
      </c>
      <c r="H1056" s="3" t="s">
        <v>58</v>
      </c>
      <c r="I1056" s="3" t="s">
        <v>58</v>
      </c>
      <c r="J1056" s="3" t="s">
        <v>60</v>
      </c>
      <c r="L1056" s="2" t="s">
        <v>8094</v>
      </c>
      <c r="M1056" s="3" t="s">
        <v>98</v>
      </c>
      <c r="O1056" s="3" t="s">
        <v>64</v>
      </c>
      <c r="P1056" s="3" t="s">
        <v>115</v>
      </c>
      <c r="Q1056" s="2" t="s">
        <v>6131</v>
      </c>
      <c r="R1056" s="3" t="s">
        <v>67</v>
      </c>
      <c r="S1056" s="4">
        <v>13</v>
      </c>
      <c r="T1056" s="4">
        <v>13</v>
      </c>
      <c r="U1056" s="5" t="s">
        <v>13667</v>
      </c>
      <c r="V1056" s="5" t="s">
        <v>13667</v>
      </c>
      <c r="W1056" s="5" t="s">
        <v>4000</v>
      </c>
      <c r="X1056" s="5" t="s">
        <v>4000</v>
      </c>
      <c r="Y1056" s="4">
        <v>336</v>
      </c>
      <c r="Z1056" s="4">
        <v>274</v>
      </c>
      <c r="AA1056" s="4">
        <v>275</v>
      </c>
      <c r="AB1056" s="4">
        <v>2</v>
      </c>
      <c r="AC1056" s="4">
        <v>2</v>
      </c>
      <c r="AD1056" s="4">
        <v>12</v>
      </c>
      <c r="AE1056" s="4">
        <v>12</v>
      </c>
      <c r="AF1056" s="4">
        <v>1</v>
      </c>
      <c r="AG1056" s="4">
        <v>1</v>
      </c>
      <c r="AH1056" s="4">
        <v>5</v>
      </c>
      <c r="AI1056" s="4">
        <v>5</v>
      </c>
      <c r="AJ1056" s="4">
        <v>9</v>
      </c>
      <c r="AK1056" s="4">
        <v>9</v>
      </c>
      <c r="AL1056" s="4">
        <v>1</v>
      </c>
      <c r="AM1056" s="4">
        <v>1</v>
      </c>
      <c r="AN1056" s="4">
        <v>0</v>
      </c>
      <c r="AO1056" s="4">
        <v>0</v>
      </c>
      <c r="AP1056" s="3" t="s">
        <v>58</v>
      </c>
      <c r="AQ1056" s="3" t="s">
        <v>58</v>
      </c>
      <c r="AS1056" s="6" t="str">
        <f>HYPERLINK("https://creighton-primo.hosted.exlibrisgroup.com/primo-explore/search?tab=default_tab&amp;search_scope=EVERYTHING&amp;vid=01CRU&amp;lang=en_US&amp;offset=0&amp;query=any,contains,991001152609702656","Catalog Record")</f>
        <v>Catalog Record</v>
      </c>
      <c r="AT1056" s="6" t="str">
        <f>HYPERLINK("http://www.worldcat.org/oclc/16830727","WorldCat Record")</f>
        <v>WorldCat Record</v>
      </c>
      <c r="AU1056" s="3" t="s">
        <v>13668</v>
      </c>
      <c r="AV1056" s="3" t="s">
        <v>13669</v>
      </c>
      <c r="AW1056" s="3" t="s">
        <v>13670</v>
      </c>
      <c r="AX1056" s="3" t="s">
        <v>13670</v>
      </c>
      <c r="AY1056" s="3" t="s">
        <v>13671</v>
      </c>
      <c r="AZ1056" s="3" t="s">
        <v>74</v>
      </c>
      <c r="BB1056" s="3" t="s">
        <v>13672</v>
      </c>
      <c r="BC1056" s="3" t="s">
        <v>13673</v>
      </c>
      <c r="BD1056" s="3" t="s">
        <v>13674</v>
      </c>
    </row>
    <row r="1057" spans="1:56" ht="42.75" customHeight="1" x14ac:dyDescent="0.25">
      <c r="A1057" s="7" t="s">
        <v>58</v>
      </c>
      <c r="B1057" s="2" t="s">
        <v>13675</v>
      </c>
      <c r="C1057" s="2" t="s">
        <v>13676</v>
      </c>
      <c r="D1057" s="2" t="s">
        <v>13677</v>
      </c>
      <c r="F1057" s="3" t="s">
        <v>58</v>
      </c>
      <c r="G1057" s="3" t="s">
        <v>59</v>
      </c>
      <c r="H1057" s="3" t="s">
        <v>58</v>
      </c>
      <c r="I1057" s="3" t="s">
        <v>58</v>
      </c>
      <c r="J1057" s="3" t="s">
        <v>60</v>
      </c>
      <c r="K1057" s="2" t="s">
        <v>3942</v>
      </c>
      <c r="L1057" s="2" t="s">
        <v>13678</v>
      </c>
      <c r="M1057" s="3" t="s">
        <v>888</v>
      </c>
      <c r="O1057" s="3" t="s">
        <v>64</v>
      </c>
      <c r="P1057" s="3" t="s">
        <v>115</v>
      </c>
      <c r="R1057" s="3" t="s">
        <v>67</v>
      </c>
      <c r="S1057" s="4">
        <v>4</v>
      </c>
      <c r="T1057" s="4">
        <v>4</v>
      </c>
      <c r="U1057" s="5" t="s">
        <v>13422</v>
      </c>
      <c r="V1057" s="5" t="s">
        <v>13422</v>
      </c>
      <c r="W1057" s="5" t="s">
        <v>4326</v>
      </c>
      <c r="X1057" s="5" t="s">
        <v>4326</v>
      </c>
      <c r="Y1057" s="4">
        <v>945</v>
      </c>
      <c r="Z1057" s="4">
        <v>876</v>
      </c>
      <c r="AA1057" s="4">
        <v>1517</v>
      </c>
      <c r="AB1057" s="4">
        <v>9</v>
      </c>
      <c r="AC1057" s="4">
        <v>11</v>
      </c>
      <c r="AD1057" s="4">
        <v>35</v>
      </c>
      <c r="AE1057" s="4">
        <v>42</v>
      </c>
      <c r="AF1057" s="4">
        <v>13</v>
      </c>
      <c r="AG1057" s="4">
        <v>16</v>
      </c>
      <c r="AH1057" s="4">
        <v>7</v>
      </c>
      <c r="AI1057" s="4">
        <v>10</v>
      </c>
      <c r="AJ1057" s="4">
        <v>17</v>
      </c>
      <c r="AK1057" s="4">
        <v>20</v>
      </c>
      <c r="AL1057" s="4">
        <v>6</v>
      </c>
      <c r="AM1057" s="4">
        <v>7</v>
      </c>
      <c r="AN1057" s="4">
        <v>0</v>
      </c>
      <c r="AO1057" s="4">
        <v>0</v>
      </c>
      <c r="AP1057" s="3" t="s">
        <v>58</v>
      </c>
      <c r="AQ1057" s="3" t="s">
        <v>58</v>
      </c>
      <c r="AS1057" s="6" t="str">
        <f>HYPERLINK("https://creighton-primo.hosted.exlibrisgroup.com/primo-explore/search?tab=default_tab&amp;search_scope=EVERYTHING&amp;vid=01CRU&amp;lang=en_US&amp;offset=0&amp;query=any,contains,991002905119702656","Catalog Record")</f>
        <v>Catalog Record</v>
      </c>
      <c r="AT1057" s="6" t="str">
        <f>HYPERLINK("http://www.worldcat.org/oclc/38324268","WorldCat Record")</f>
        <v>WorldCat Record</v>
      </c>
      <c r="AU1057" s="3" t="s">
        <v>13679</v>
      </c>
      <c r="AV1057" s="3" t="s">
        <v>13680</v>
      </c>
      <c r="AW1057" s="3" t="s">
        <v>13681</v>
      </c>
      <c r="AX1057" s="3" t="s">
        <v>13681</v>
      </c>
      <c r="AY1057" s="3" t="s">
        <v>13682</v>
      </c>
      <c r="AZ1057" s="3" t="s">
        <v>74</v>
      </c>
      <c r="BB1057" s="3" t="s">
        <v>13683</v>
      </c>
      <c r="BC1057" s="3" t="s">
        <v>13684</v>
      </c>
      <c r="BD1057" s="3" t="s">
        <v>13685</v>
      </c>
    </row>
    <row r="1058" spans="1:56" ht="42.75" customHeight="1" x14ac:dyDescent="0.25">
      <c r="A1058" s="7" t="s">
        <v>58</v>
      </c>
      <c r="B1058" s="2" t="s">
        <v>13686</v>
      </c>
      <c r="C1058" s="2" t="s">
        <v>13687</v>
      </c>
      <c r="D1058" s="2" t="s">
        <v>13688</v>
      </c>
      <c r="F1058" s="3" t="s">
        <v>58</v>
      </c>
      <c r="G1058" s="3" t="s">
        <v>59</v>
      </c>
      <c r="H1058" s="3" t="s">
        <v>58</v>
      </c>
      <c r="I1058" s="3" t="s">
        <v>58</v>
      </c>
      <c r="J1058" s="3" t="s">
        <v>60</v>
      </c>
      <c r="L1058" s="2" t="s">
        <v>12472</v>
      </c>
      <c r="M1058" s="3" t="s">
        <v>371</v>
      </c>
      <c r="O1058" s="3" t="s">
        <v>64</v>
      </c>
      <c r="P1058" s="3" t="s">
        <v>65</v>
      </c>
      <c r="R1058" s="3" t="s">
        <v>67</v>
      </c>
      <c r="S1058" s="4">
        <v>26</v>
      </c>
      <c r="T1058" s="4">
        <v>26</v>
      </c>
      <c r="U1058" s="5" t="s">
        <v>13422</v>
      </c>
      <c r="V1058" s="5" t="s">
        <v>13422</v>
      </c>
      <c r="W1058" s="5" t="s">
        <v>497</v>
      </c>
      <c r="X1058" s="5" t="s">
        <v>497</v>
      </c>
      <c r="Y1058" s="4">
        <v>192</v>
      </c>
      <c r="Z1058" s="4">
        <v>147</v>
      </c>
      <c r="AA1058" s="4">
        <v>147</v>
      </c>
      <c r="AB1058" s="4">
        <v>1</v>
      </c>
      <c r="AC1058" s="4">
        <v>1</v>
      </c>
      <c r="AD1058" s="4">
        <v>8</v>
      </c>
      <c r="AE1058" s="4">
        <v>8</v>
      </c>
      <c r="AF1058" s="4">
        <v>1</v>
      </c>
      <c r="AG1058" s="4">
        <v>1</v>
      </c>
      <c r="AH1058" s="4">
        <v>1</v>
      </c>
      <c r="AI1058" s="4">
        <v>1</v>
      </c>
      <c r="AJ1058" s="4">
        <v>6</v>
      </c>
      <c r="AK1058" s="4">
        <v>6</v>
      </c>
      <c r="AL1058" s="4">
        <v>0</v>
      </c>
      <c r="AM1058" s="4">
        <v>0</v>
      </c>
      <c r="AN1058" s="4">
        <v>1</v>
      </c>
      <c r="AO1058" s="4">
        <v>1</v>
      </c>
      <c r="AP1058" s="3" t="s">
        <v>58</v>
      </c>
      <c r="AQ1058" s="3" t="s">
        <v>58</v>
      </c>
      <c r="AS1058" s="6" t="str">
        <f>HYPERLINK("https://creighton-primo.hosted.exlibrisgroup.com/primo-explore/search?tab=default_tab&amp;search_scope=EVERYTHING&amp;vid=01CRU&amp;lang=en_US&amp;offset=0&amp;query=any,contains,991001823509702656","Catalog Record")</f>
        <v>Catalog Record</v>
      </c>
      <c r="AT1058" s="6" t="str">
        <f>HYPERLINK("http://www.worldcat.org/oclc/22907943","WorldCat Record")</f>
        <v>WorldCat Record</v>
      </c>
      <c r="AU1058" s="3" t="s">
        <v>13689</v>
      </c>
      <c r="AV1058" s="3" t="s">
        <v>13690</v>
      </c>
      <c r="AW1058" s="3" t="s">
        <v>13691</v>
      </c>
      <c r="AX1058" s="3" t="s">
        <v>13691</v>
      </c>
      <c r="AY1058" s="3" t="s">
        <v>13692</v>
      </c>
      <c r="AZ1058" s="3" t="s">
        <v>74</v>
      </c>
      <c r="BB1058" s="3" t="s">
        <v>13693</v>
      </c>
      <c r="BC1058" s="3" t="s">
        <v>13694</v>
      </c>
      <c r="BD1058" s="3" t="s">
        <v>13695</v>
      </c>
    </row>
    <row r="1059" spans="1:56" ht="42.75" customHeight="1" x14ac:dyDescent="0.25">
      <c r="A1059" s="7" t="s">
        <v>58</v>
      </c>
      <c r="B1059" s="2" t="s">
        <v>13696</v>
      </c>
      <c r="C1059" s="2" t="s">
        <v>13697</v>
      </c>
      <c r="D1059" s="2" t="s">
        <v>13698</v>
      </c>
      <c r="F1059" s="3" t="s">
        <v>58</v>
      </c>
      <c r="G1059" s="3" t="s">
        <v>59</v>
      </c>
      <c r="H1059" s="3" t="s">
        <v>58</v>
      </c>
      <c r="I1059" s="3" t="s">
        <v>58</v>
      </c>
      <c r="J1059" s="3" t="s">
        <v>60</v>
      </c>
      <c r="K1059" s="2" t="s">
        <v>13699</v>
      </c>
      <c r="L1059" s="2" t="s">
        <v>8244</v>
      </c>
      <c r="M1059" s="3" t="s">
        <v>1181</v>
      </c>
      <c r="N1059" s="2" t="s">
        <v>1736</v>
      </c>
      <c r="O1059" s="3" t="s">
        <v>64</v>
      </c>
      <c r="P1059" s="3" t="s">
        <v>145</v>
      </c>
      <c r="R1059" s="3" t="s">
        <v>67</v>
      </c>
      <c r="S1059" s="4">
        <v>4</v>
      </c>
      <c r="T1059" s="4">
        <v>4</v>
      </c>
      <c r="U1059" s="5" t="s">
        <v>13700</v>
      </c>
      <c r="V1059" s="5" t="s">
        <v>13700</v>
      </c>
      <c r="W1059" s="5" t="s">
        <v>13701</v>
      </c>
      <c r="X1059" s="5" t="s">
        <v>13701</v>
      </c>
      <c r="Y1059" s="4">
        <v>608</v>
      </c>
      <c r="Z1059" s="4">
        <v>514</v>
      </c>
      <c r="AA1059" s="4">
        <v>572</v>
      </c>
      <c r="AB1059" s="4">
        <v>4</v>
      </c>
      <c r="AC1059" s="4">
        <v>5</v>
      </c>
      <c r="AD1059" s="4">
        <v>24</v>
      </c>
      <c r="AE1059" s="4">
        <v>28</v>
      </c>
      <c r="AF1059" s="4">
        <v>8</v>
      </c>
      <c r="AG1059" s="4">
        <v>10</v>
      </c>
      <c r="AH1059" s="4">
        <v>5</v>
      </c>
      <c r="AI1059" s="4">
        <v>5</v>
      </c>
      <c r="AJ1059" s="4">
        <v>12</v>
      </c>
      <c r="AK1059" s="4">
        <v>13</v>
      </c>
      <c r="AL1059" s="4">
        <v>3</v>
      </c>
      <c r="AM1059" s="4">
        <v>4</v>
      </c>
      <c r="AN1059" s="4">
        <v>0</v>
      </c>
      <c r="AO1059" s="4">
        <v>0</v>
      </c>
      <c r="AP1059" s="3" t="s">
        <v>58</v>
      </c>
      <c r="AQ1059" s="3" t="s">
        <v>58</v>
      </c>
      <c r="AS1059" s="6" t="str">
        <f>HYPERLINK("https://creighton-primo.hosted.exlibrisgroup.com/primo-explore/search?tab=default_tab&amp;search_scope=EVERYTHING&amp;vid=01CRU&amp;lang=en_US&amp;offset=0&amp;query=any,contains,991004352789702656","Catalog Record")</f>
        <v>Catalog Record</v>
      </c>
      <c r="AT1059" s="6" t="str">
        <f>HYPERLINK("http://www.worldcat.org/oclc/52773725","WorldCat Record")</f>
        <v>WorldCat Record</v>
      </c>
      <c r="AU1059" s="3" t="s">
        <v>13702</v>
      </c>
      <c r="AV1059" s="3" t="s">
        <v>13703</v>
      </c>
      <c r="AW1059" s="3" t="s">
        <v>13704</v>
      </c>
      <c r="AX1059" s="3" t="s">
        <v>13704</v>
      </c>
      <c r="AY1059" s="3" t="s">
        <v>13705</v>
      </c>
      <c r="AZ1059" s="3" t="s">
        <v>74</v>
      </c>
      <c r="BB1059" s="3" t="s">
        <v>13706</v>
      </c>
      <c r="BC1059" s="3" t="s">
        <v>13707</v>
      </c>
      <c r="BD1059" s="3" t="s">
        <v>13708</v>
      </c>
    </row>
    <row r="1060" spans="1:56" ht="42.75" customHeight="1" x14ac:dyDescent="0.25">
      <c r="A1060" s="7" t="s">
        <v>58</v>
      </c>
      <c r="B1060" s="2" t="s">
        <v>13709</v>
      </c>
      <c r="C1060" s="2" t="s">
        <v>13710</v>
      </c>
      <c r="D1060" s="2" t="s">
        <v>13711</v>
      </c>
      <c r="F1060" s="3" t="s">
        <v>58</v>
      </c>
      <c r="G1060" s="3" t="s">
        <v>59</v>
      </c>
      <c r="H1060" s="3" t="s">
        <v>58</v>
      </c>
      <c r="I1060" s="3" t="s">
        <v>58</v>
      </c>
      <c r="J1060" s="3" t="s">
        <v>60</v>
      </c>
      <c r="L1060" s="2" t="s">
        <v>8094</v>
      </c>
      <c r="M1060" s="3" t="s">
        <v>98</v>
      </c>
      <c r="O1060" s="3" t="s">
        <v>64</v>
      </c>
      <c r="P1060" s="3" t="s">
        <v>115</v>
      </c>
      <c r="R1060" s="3" t="s">
        <v>67</v>
      </c>
      <c r="S1060" s="4">
        <v>19</v>
      </c>
      <c r="T1060" s="4">
        <v>19</v>
      </c>
      <c r="U1060" s="5" t="s">
        <v>4592</v>
      </c>
      <c r="V1060" s="5" t="s">
        <v>4592</v>
      </c>
      <c r="W1060" s="5" t="s">
        <v>13712</v>
      </c>
      <c r="X1060" s="5" t="s">
        <v>13712</v>
      </c>
      <c r="Y1060" s="4">
        <v>413</v>
      </c>
      <c r="Z1060" s="4">
        <v>322</v>
      </c>
      <c r="AA1060" s="4">
        <v>323</v>
      </c>
      <c r="AB1060" s="4">
        <v>2</v>
      </c>
      <c r="AC1060" s="4">
        <v>2</v>
      </c>
      <c r="AD1060" s="4">
        <v>18</v>
      </c>
      <c r="AE1060" s="4">
        <v>18</v>
      </c>
      <c r="AF1060" s="4">
        <v>8</v>
      </c>
      <c r="AG1060" s="4">
        <v>8</v>
      </c>
      <c r="AH1060" s="4">
        <v>4</v>
      </c>
      <c r="AI1060" s="4">
        <v>4</v>
      </c>
      <c r="AJ1060" s="4">
        <v>11</v>
      </c>
      <c r="AK1060" s="4">
        <v>11</v>
      </c>
      <c r="AL1060" s="4">
        <v>1</v>
      </c>
      <c r="AM1060" s="4">
        <v>1</v>
      </c>
      <c r="AN1060" s="4">
        <v>0</v>
      </c>
      <c r="AO1060" s="4">
        <v>0</v>
      </c>
      <c r="AP1060" s="3" t="s">
        <v>58</v>
      </c>
      <c r="AQ1060" s="3" t="s">
        <v>58</v>
      </c>
      <c r="AS1060" s="6" t="str">
        <f>HYPERLINK("https://creighton-primo.hosted.exlibrisgroup.com/primo-explore/search?tab=default_tab&amp;search_scope=EVERYTHING&amp;vid=01CRU&amp;lang=en_US&amp;offset=0&amp;query=any,contains,991001032779702656","Catalog Record")</f>
        <v>Catalog Record</v>
      </c>
      <c r="AT1060" s="6" t="str">
        <f>HYPERLINK("http://www.worldcat.org/oclc/15520342","WorldCat Record")</f>
        <v>WorldCat Record</v>
      </c>
      <c r="AU1060" s="3" t="s">
        <v>13713</v>
      </c>
      <c r="AV1060" s="3" t="s">
        <v>13714</v>
      </c>
      <c r="AW1060" s="3" t="s">
        <v>13715</v>
      </c>
      <c r="AX1060" s="3" t="s">
        <v>13715</v>
      </c>
      <c r="AY1060" s="3" t="s">
        <v>13716</v>
      </c>
      <c r="AZ1060" s="3" t="s">
        <v>74</v>
      </c>
      <c r="BB1060" s="3" t="s">
        <v>13717</v>
      </c>
      <c r="BC1060" s="3" t="s">
        <v>13718</v>
      </c>
      <c r="BD1060" s="3" t="s">
        <v>13719</v>
      </c>
    </row>
    <row r="1061" spans="1:56" ht="42.75" customHeight="1" x14ac:dyDescent="0.25">
      <c r="A1061" s="7" t="s">
        <v>58</v>
      </c>
      <c r="B1061" s="2" t="s">
        <v>13720</v>
      </c>
      <c r="C1061" s="2" t="s">
        <v>13721</v>
      </c>
      <c r="D1061" s="2" t="s">
        <v>13722</v>
      </c>
      <c r="F1061" s="3" t="s">
        <v>58</v>
      </c>
      <c r="G1061" s="3" t="s">
        <v>59</v>
      </c>
      <c r="H1061" s="3" t="s">
        <v>58</v>
      </c>
      <c r="I1061" s="3" t="s">
        <v>58</v>
      </c>
      <c r="J1061" s="3" t="s">
        <v>60</v>
      </c>
      <c r="K1061" s="2" t="s">
        <v>13723</v>
      </c>
      <c r="L1061" s="2" t="s">
        <v>13724</v>
      </c>
      <c r="M1061" s="3" t="s">
        <v>63</v>
      </c>
      <c r="O1061" s="3" t="s">
        <v>64</v>
      </c>
      <c r="P1061" s="3" t="s">
        <v>13619</v>
      </c>
      <c r="Q1061" s="2" t="s">
        <v>13725</v>
      </c>
      <c r="R1061" s="3" t="s">
        <v>67</v>
      </c>
      <c r="S1061" s="4">
        <v>41</v>
      </c>
      <c r="T1061" s="4">
        <v>41</v>
      </c>
      <c r="U1061" s="5" t="s">
        <v>13422</v>
      </c>
      <c r="V1061" s="5" t="s">
        <v>13422</v>
      </c>
      <c r="W1061" s="5" t="s">
        <v>4459</v>
      </c>
      <c r="X1061" s="5" t="s">
        <v>4459</v>
      </c>
      <c r="Y1061" s="4">
        <v>213</v>
      </c>
      <c r="Z1061" s="4">
        <v>145</v>
      </c>
      <c r="AA1061" s="4">
        <v>154</v>
      </c>
      <c r="AB1061" s="4">
        <v>2</v>
      </c>
      <c r="AC1061" s="4">
        <v>2</v>
      </c>
      <c r="AD1061" s="4">
        <v>8</v>
      </c>
      <c r="AE1061" s="4">
        <v>8</v>
      </c>
      <c r="AF1061" s="4">
        <v>1</v>
      </c>
      <c r="AG1061" s="4">
        <v>1</v>
      </c>
      <c r="AH1061" s="4">
        <v>1</v>
      </c>
      <c r="AI1061" s="4">
        <v>1</v>
      </c>
      <c r="AJ1061" s="4">
        <v>6</v>
      </c>
      <c r="AK1061" s="4">
        <v>6</v>
      </c>
      <c r="AL1061" s="4">
        <v>1</v>
      </c>
      <c r="AM1061" s="4">
        <v>1</v>
      </c>
      <c r="AN1061" s="4">
        <v>0</v>
      </c>
      <c r="AO1061" s="4">
        <v>0</v>
      </c>
      <c r="AP1061" s="3" t="s">
        <v>58</v>
      </c>
      <c r="AQ1061" s="3" t="s">
        <v>58</v>
      </c>
      <c r="AS1061" s="6" t="str">
        <f>HYPERLINK("https://creighton-primo.hosted.exlibrisgroup.com/primo-explore/search?tab=default_tab&amp;search_scope=EVERYTHING&amp;vid=01CRU&amp;lang=en_US&amp;offset=0&amp;query=any,contains,991000325499702656","Catalog Record")</f>
        <v>Catalog Record</v>
      </c>
      <c r="AT1061" s="6" t="str">
        <f>HYPERLINK("http://www.worldcat.org/oclc/11496312","WorldCat Record")</f>
        <v>WorldCat Record</v>
      </c>
      <c r="AU1061" s="3" t="s">
        <v>13726</v>
      </c>
      <c r="AV1061" s="3" t="s">
        <v>13727</v>
      </c>
      <c r="AW1061" s="3" t="s">
        <v>13728</v>
      </c>
      <c r="AX1061" s="3" t="s">
        <v>13728</v>
      </c>
      <c r="AY1061" s="3" t="s">
        <v>13729</v>
      </c>
      <c r="AZ1061" s="3" t="s">
        <v>74</v>
      </c>
      <c r="BB1061" s="3" t="s">
        <v>13730</v>
      </c>
      <c r="BC1061" s="3" t="s">
        <v>13731</v>
      </c>
      <c r="BD1061" s="3" t="s">
        <v>13732</v>
      </c>
    </row>
    <row r="1062" spans="1:56" ht="42.75" customHeight="1" x14ac:dyDescent="0.25">
      <c r="A1062" s="7" t="s">
        <v>58</v>
      </c>
      <c r="B1062" s="2" t="s">
        <v>13733</v>
      </c>
      <c r="C1062" s="2" t="s">
        <v>13734</v>
      </c>
      <c r="D1062" s="2" t="s">
        <v>13735</v>
      </c>
      <c r="F1062" s="3" t="s">
        <v>58</v>
      </c>
      <c r="G1062" s="3" t="s">
        <v>59</v>
      </c>
      <c r="H1062" s="3" t="s">
        <v>58</v>
      </c>
      <c r="I1062" s="3" t="s">
        <v>58</v>
      </c>
      <c r="J1062" s="3" t="s">
        <v>60</v>
      </c>
      <c r="L1062" s="2" t="s">
        <v>13736</v>
      </c>
      <c r="M1062" s="3" t="s">
        <v>3914</v>
      </c>
      <c r="O1062" s="3" t="s">
        <v>64</v>
      </c>
      <c r="P1062" s="3" t="s">
        <v>115</v>
      </c>
      <c r="R1062" s="3" t="s">
        <v>67</v>
      </c>
      <c r="S1062" s="4">
        <v>28</v>
      </c>
      <c r="T1062" s="4">
        <v>28</v>
      </c>
      <c r="U1062" s="5" t="s">
        <v>13737</v>
      </c>
      <c r="V1062" s="5" t="s">
        <v>13737</v>
      </c>
      <c r="W1062" s="5" t="s">
        <v>4419</v>
      </c>
      <c r="X1062" s="5" t="s">
        <v>4419</v>
      </c>
      <c r="Y1062" s="4">
        <v>303</v>
      </c>
      <c r="Z1062" s="4">
        <v>239</v>
      </c>
      <c r="AA1062" s="4">
        <v>253</v>
      </c>
      <c r="AB1062" s="4">
        <v>1</v>
      </c>
      <c r="AC1062" s="4">
        <v>1</v>
      </c>
      <c r="AD1062" s="4">
        <v>10</v>
      </c>
      <c r="AE1062" s="4">
        <v>10</v>
      </c>
      <c r="AF1062" s="4">
        <v>6</v>
      </c>
      <c r="AG1062" s="4">
        <v>6</v>
      </c>
      <c r="AH1062" s="4">
        <v>1</v>
      </c>
      <c r="AI1062" s="4">
        <v>1</v>
      </c>
      <c r="AJ1062" s="4">
        <v>6</v>
      </c>
      <c r="AK1062" s="4">
        <v>6</v>
      </c>
      <c r="AL1062" s="4">
        <v>0</v>
      </c>
      <c r="AM1062" s="4">
        <v>0</v>
      </c>
      <c r="AN1062" s="4">
        <v>0</v>
      </c>
      <c r="AO1062" s="4">
        <v>0</v>
      </c>
      <c r="AP1062" s="3" t="s">
        <v>58</v>
      </c>
      <c r="AQ1062" s="3" t="s">
        <v>58</v>
      </c>
      <c r="AS1062" s="6" t="str">
        <f>HYPERLINK("https://creighton-primo.hosted.exlibrisgroup.com/primo-explore/search?tab=default_tab&amp;search_scope=EVERYTHING&amp;vid=01CRU&amp;lang=en_US&amp;offset=0&amp;query=any,contains,991003917839702656","Catalog Record")</f>
        <v>Catalog Record</v>
      </c>
      <c r="AT1062" s="6" t="str">
        <f>HYPERLINK("http://www.worldcat.org/oclc/1863505","WorldCat Record")</f>
        <v>WorldCat Record</v>
      </c>
      <c r="AU1062" s="3" t="s">
        <v>13738</v>
      </c>
      <c r="AV1062" s="3" t="s">
        <v>13739</v>
      </c>
      <c r="AW1062" s="3" t="s">
        <v>13740</v>
      </c>
      <c r="AX1062" s="3" t="s">
        <v>13740</v>
      </c>
      <c r="AY1062" s="3" t="s">
        <v>13741</v>
      </c>
      <c r="AZ1062" s="3" t="s">
        <v>74</v>
      </c>
      <c r="BB1062" s="3" t="s">
        <v>13742</v>
      </c>
      <c r="BC1062" s="3" t="s">
        <v>13743</v>
      </c>
      <c r="BD1062" s="3" t="s">
        <v>13744</v>
      </c>
    </row>
    <row r="1063" spans="1:56" ht="42.75" customHeight="1" x14ac:dyDescent="0.25">
      <c r="A1063" s="7" t="s">
        <v>58</v>
      </c>
      <c r="B1063" s="2" t="s">
        <v>13745</v>
      </c>
      <c r="C1063" s="2" t="s">
        <v>13746</v>
      </c>
      <c r="D1063" s="2" t="s">
        <v>13747</v>
      </c>
      <c r="F1063" s="3" t="s">
        <v>58</v>
      </c>
      <c r="G1063" s="3" t="s">
        <v>59</v>
      </c>
      <c r="H1063" s="3" t="s">
        <v>58</v>
      </c>
      <c r="I1063" s="3" t="s">
        <v>58</v>
      </c>
      <c r="J1063" s="3" t="s">
        <v>60</v>
      </c>
      <c r="L1063" s="2" t="s">
        <v>13748</v>
      </c>
      <c r="M1063" s="3" t="s">
        <v>2227</v>
      </c>
      <c r="O1063" s="3" t="s">
        <v>64</v>
      </c>
      <c r="P1063" s="3" t="s">
        <v>115</v>
      </c>
      <c r="R1063" s="3" t="s">
        <v>67</v>
      </c>
      <c r="S1063" s="4">
        <v>19</v>
      </c>
      <c r="T1063" s="4">
        <v>19</v>
      </c>
      <c r="U1063" s="5" t="s">
        <v>6044</v>
      </c>
      <c r="V1063" s="5" t="s">
        <v>6044</v>
      </c>
      <c r="W1063" s="5" t="s">
        <v>9683</v>
      </c>
      <c r="X1063" s="5" t="s">
        <v>9683</v>
      </c>
      <c r="Y1063" s="4">
        <v>257</v>
      </c>
      <c r="Z1063" s="4">
        <v>208</v>
      </c>
      <c r="AA1063" s="4">
        <v>210</v>
      </c>
      <c r="AB1063" s="4">
        <v>1</v>
      </c>
      <c r="AC1063" s="4">
        <v>1</v>
      </c>
      <c r="AD1063" s="4">
        <v>4</v>
      </c>
      <c r="AE1063" s="4">
        <v>4</v>
      </c>
      <c r="AF1063" s="4">
        <v>0</v>
      </c>
      <c r="AG1063" s="4">
        <v>0</v>
      </c>
      <c r="AH1063" s="4">
        <v>1</v>
      </c>
      <c r="AI1063" s="4">
        <v>1</v>
      </c>
      <c r="AJ1063" s="4">
        <v>4</v>
      </c>
      <c r="AK1063" s="4">
        <v>4</v>
      </c>
      <c r="AL1063" s="4">
        <v>0</v>
      </c>
      <c r="AM1063" s="4">
        <v>0</v>
      </c>
      <c r="AN1063" s="4">
        <v>0</v>
      </c>
      <c r="AO1063" s="4">
        <v>0</v>
      </c>
      <c r="AP1063" s="3" t="s">
        <v>58</v>
      </c>
      <c r="AQ1063" s="3" t="s">
        <v>86</v>
      </c>
      <c r="AR1063" s="6" t="str">
        <f>HYPERLINK("http://catalog.hathitrust.org/Record/000350620","HathiTrust Record")</f>
        <v>HathiTrust Record</v>
      </c>
      <c r="AS1063" s="6" t="str">
        <f>HYPERLINK("https://creighton-primo.hosted.exlibrisgroup.com/primo-explore/search?tab=default_tab&amp;search_scope=EVERYTHING&amp;vid=01CRU&amp;lang=en_US&amp;offset=0&amp;query=any,contains,991000607439702656","Catalog Record")</f>
        <v>Catalog Record</v>
      </c>
      <c r="AT1063" s="6" t="str">
        <f>HYPERLINK("http://www.worldcat.org/oclc/11867604","WorldCat Record")</f>
        <v>WorldCat Record</v>
      </c>
      <c r="AU1063" s="3" t="s">
        <v>13749</v>
      </c>
      <c r="AV1063" s="3" t="s">
        <v>13750</v>
      </c>
      <c r="AW1063" s="3" t="s">
        <v>13751</v>
      </c>
      <c r="AX1063" s="3" t="s">
        <v>13751</v>
      </c>
      <c r="AY1063" s="3" t="s">
        <v>13752</v>
      </c>
      <c r="AZ1063" s="3" t="s">
        <v>74</v>
      </c>
      <c r="BC1063" s="3" t="s">
        <v>13753</v>
      </c>
      <c r="BD1063" s="3" t="s">
        <v>13754</v>
      </c>
    </row>
    <row r="1064" spans="1:56" ht="42.75" customHeight="1" x14ac:dyDescent="0.25">
      <c r="A1064" s="7" t="s">
        <v>58</v>
      </c>
      <c r="B1064" s="2" t="s">
        <v>13755</v>
      </c>
      <c r="C1064" s="2" t="s">
        <v>13756</v>
      </c>
      <c r="D1064" s="2" t="s">
        <v>13757</v>
      </c>
      <c r="F1064" s="3" t="s">
        <v>58</v>
      </c>
      <c r="G1064" s="3" t="s">
        <v>59</v>
      </c>
      <c r="H1064" s="3" t="s">
        <v>58</v>
      </c>
      <c r="I1064" s="3" t="s">
        <v>58</v>
      </c>
      <c r="J1064" s="3" t="s">
        <v>60</v>
      </c>
      <c r="L1064" s="2" t="s">
        <v>13758</v>
      </c>
      <c r="M1064" s="3" t="s">
        <v>82</v>
      </c>
      <c r="O1064" s="3" t="s">
        <v>64</v>
      </c>
      <c r="P1064" s="3" t="s">
        <v>145</v>
      </c>
      <c r="Q1064" s="2" t="s">
        <v>13759</v>
      </c>
      <c r="R1064" s="3" t="s">
        <v>67</v>
      </c>
      <c r="S1064" s="4">
        <v>32</v>
      </c>
      <c r="T1064" s="4">
        <v>32</v>
      </c>
      <c r="U1064" s="5" t="s">
        <v>13760</v>
      </c>
      <c r="V1064" s="5" t="s">
        <v>13760</v>
      </c>
      <c r="W1064" s="5" t="s">
        <v>9683</v>
      </c>
      <c r="X1064" s="5" t="s">
        <v>9683</v>
      </c>
      <c r="Y1064" s="4">
        <v>264</v>
      </c>
      <c r="Z1064" s="4">
        <v>220</v>
      </c>
      <c r="AA1064" s="4">
        <v>220</v>
      </c>
      <c r="AB1064" s="4">
        <v>3</v>
      </c>
      <c r="AC1064" s="4">
        <v>3</v>
      </c>
      <c r="AD1064" s="4">
        <v>9</v>
      </c>
      <c r="AE1064" s="4">
        <v>9</v>
      </c>
      <c r="AF1064" s="4">
        <v>4</v>
      </c>
      <c r="AG1064" s="4">
        <v>4</v>
      </c>
      <c r="AH1064" s="4">
        <v>0</v>
      </c>
      <c r="AI1064" s="4">
        <v>0</v>
      </c>
      <c r="AJ1064" s="4">
        <v>6</v>
      </c>
      <c r="AK1064" s="4">
        <v>6</v>
      </c>
      <c r="AL1064" s="4">
        <v>2</v>
      </c>
      <c r="AM1064" s="4">
        <v>2</v>
      </c>
      <c r="AN1064" s="4">
        <v>0</v>
      </c>
      <c r="AO1064" s="4">
        <v>0</v>
      </c>
      <c r="AP1064" s="3" t="s">
        <v>58</v>
      </c>
      <c r="AQ1064" s="3" t="s">
        <v>58</v>
      </c>
      <c r="AS1064" s="6" t="str">
        <f>HYPERLINK("https://creighton-primo.hosted.exlibrisgroup.com/primo-explore/search?tab=default_tab&amp;search_scope=EVERYTHING&amp;vid=01CRU&amp;lang=en_US&amp;offset=0&amp;query=any,contains,991000875499702656","Catalog Record")</f>
        <v>Catalog Record</v>
      </c>
      <c r="AT1064" s="6" t="str">
        <f>HYPERLINK("http://www.worldcat.org/oclc/13796409","WorldCat Record")</f>
        <v>WorldCat Record</v>
      </c>
      <c r="AU1064" s="3" t="s">
        <v>13761</v>
      </c>
      <c r="AV1064" s="3" t="s">
        <v>13762</v>
      </c>
      <c r="AW1064" s="3" t="s">
        <v>13763</v>
      </c>
      <c r="AX1064" s="3" t="s">
        <v>13763</v>
      </c>
      <c r="AY1064" s="3" t="s">
        <v>13764</v>
      </c>
      <c r="AZ1064" s="3" t="s">
        <v>74</v>
      </c>
      <c r="BB1064" s="3" t="s">
        <v>13765</v>
      </c>
      <c r="BC1064" s="3" t="s">
        <v>13766</v>
      </c>
      <c r="BD1064" s="3" t="s">
        <v>13767</v>
      </c>
    </row>
    <row r="1065" spans="1:56" ht="42.75" customHeight="1" x14ac:dyDescent="0.25">
      <c r="A1065" s="7" t="s">
        <v>58</v>
      </c>
      <c r="B1065" s="2" t="s">
        <v>13768</v>
      </c>
      <c r="C1065" s="2" t="s">
        <v>13769</v>
      </c>
      <c r="D1065" s="2" t="s">
        <v>13770</v>
      </c>
      <c r="F1065" s="3" t="s">
        <v>58</v>
      </c>
      <c r="G1065" s="3" t="s">
        <v>59</v>
      </c>
      <c r="H1065" s="3" t="s">
        <v>58</v>
      </c>
      <c r="I1065" s="3" t="s">
        <v>58</v>
      </c>
      <c r="J1065" s="3" t="s">
        <v>60</v>
      </c>
      <c r="L1065" s="2" t="s">
        <v>13771</v>
      </c>
      <c r="M1065" s="3" t="s">
        <v>534</v>
      </c>
      <c r="O1065" s="3" t="s">
        <v>64</v>
      </c>
      <c r="P1065" s="3" t="s">
        <v>65</v>
      </c>
      <c r="R1065" s="3" t="s">
        <v>67</v>
      </c>
      <c r="S1065" s="4">
        <v>18</v>
      </c>
      <c r="T1065" s="4">
        <v>18</v>
      </c>
      <c r="U1065" s="5" t="s">
        <v>13772</v>
      </c>
      <c r="V1065" s="5" t="s">
        <v>13772</v>
      </c>
      <c r="W1065" s="5" t="s">
        <v>13773</v>
      </c>
      <c r="X1065" s="5" t="s">
        <v>13773</v>
      </c>
      <c r="Y1065" s="4">
        <v>108</v>
      </c>
      <c r="Z1065" s="4">
        <v>51</v>
      </c>
      <c r="AA1065" s="4">
        <v>54</v>
      </c>
      <c r="AB1065" s="4">
        <v>2</v>
      </c>
      <c r="AC1065" s="4">
        <v>2</v>
      </c>
      <c r="AD1065" s="4">
        <v>1</v>
      </c>
      <c r="AE1065" s="4">
        <v>1</v>
      </c>
      <c r="AF1065" s="4">
        <v>0</v>
      </c>
      <c r="AG1065" s="4">
        <v>0</v>
      </c>
      <c r="AH1065" s="4">
        <v>0</v>
      </c>
      <c r="AI1065" s="4">
        <v>0</v>
      </c>
      <c r="AJ1065" s="4">
        <v>0</v>
      </c>
      <c r="AK1065" s="4">
        <v>0</v>
      </c>
      <c r="AL1065" s="4">
        <v>1</v>
      </c>
      <c r="AM1065" s="4">
        <v>1</v>
      </c>
      <c r="AN1065" s="4">
        <v>0</v>
      </c>
      <c r="AO1065" s="4">
        <v>0</v>
      </c>
      <c r="AP1065" s="3" t="s">
        <v>58</v>
      </c>
      <c r="AQ1065" s="3" t="s">
        <v>86</v>
      </c>
      <c r="AR1065" s="6" t="str">
        <f>HYPERLINK("http://catalog.hathitrust.org/Record/002473490","HathiTrust Record")</f>
        <v>HathiTrust Record</v>
      </c>
      <c r="AS1065" s="6" t="str">
        <f>HYPERLINK("https://creighton-primo.hosted.exlibrisgroup.com/primo-explore/search?tab=default_tab&amp;search_scope=EVERYTHING&amp;vid=01CRU&amp;lang=en_US&amp;offset=0&amp;query=any,contains,991001844219702656","Catalog Record")</f>
        <v>Catalog Record</v>
      </c>
      <c r="AT1065" s="6" t="str">
        <f>HYPERLINK("http://www.worldcat.org/oclc/23147325","WorldCat Record")</f>
        <v>WorldCat Record</v>
      </c>
      <c r="AU1065" s="3" t="s">
        <v>13774</v>
      </c>
      <c r="AV1065" s="3" t="s">
        <v>13775</v>
      </c>
      <c r="AW1065" s="3" t="s">
        <v>13776</v>
      </c>
      <c r="AX1065" s="3" t="s">
        <v>13776</v>
      </c>
      <c r="AY1065" s="3" t="s">
        <v>13777</v>
      </c>
      <c r="AZ1065" s="3" t="s">
        <v>74</v>
      </c>
      <c r="BB1065" s="3" t="s">
        <v>13778</v>
      </c>
      <c r="BC1065" s="3" t="s">
        <v>13779</v>
      </c>
      <c r="BD1065" s="3" t="s">
        <v>13780</v>
      </c>
    </row>
    <row r="1066" spans="1:56" ht="42.75" customHeight="1" x14ac:dyDescent="0.25">
      <c r="A1066" s="7" t="s">
        <v>58</v>
      </c>
      <c r="B1066" s="2" t="s">
        <v>13781</v>
      </c>
      <c r="C1066" s="2" t="s">
        <v>13782</v>
      </c>
      <c r="D1066" s="2" t="s">
        <v>13783</v>
      </c>
      <c r="F1066" s="3" t="s">
        <v>58</v>
      </c>
      <c r="G1066" s="3" t="s">
        <v>59</v>
      </c>
      <c r="H1066" s="3" t="s">
        <v>58</v>
      </c>
      <c r="I1066" s="3" t="s">
        <v>58</v>
      </c>
      <c r="J1066" s="3" t="s">
        <v>60</v>
      </c>
      <c r="K1066" s="2" t="s">
        <v>13784</v>
      </c>
      <c r="L1066" s="2" t="s">
        <v>13785</v>
      </c>
      <c r="M1066" s="3" t="s">
        <v>1235</v>
      </c>
      <c r="N1066" s="2" t="s">
        <v>1736</v>
      </c>
      <c r="O1066" s="3" t="s">
        <v>64</v>
      </c>
      <c r="P1066" s="3" t="s">
        <v>115</v>
      </c>
      <c r="R1066" s="3" t="s">
        <v>67</v>
      </c>
      <c r="S1066" s="4">
        <v>3</v>
      </c>
      <c r="T1066" s="4">
        <v>3</v>
      </c>
      <c r="U1066" s="5" t="s">
        <v>13786</v>
      </c>
      <c r="V1066" s="5" t="s">
        <v>13786</v>
      </c>
      <c r="W1066" s="5" t="s">
        <v>7586</v>
      </c>
      <c r="X1066" s="5" t="s">
        <v>7586</v>
      </c>
      <c r="Y1066" s="4">
        <v>342</v>
      </c>
      <c r="Z1066" s="4">
        <v>320</v>
      </c>
      <c r="AA1066" s="4">
        <v>338</v>
      </c>
      <c r="AB1066" s="4">
        <v>3</v>
      </c>
      <c r="AC1066" s="4">
        <v>3</v>
      </c>
      <c r="AD1066" s="4">
        <v>8</v>
      </c>
      <c r="AE1066" s="4">
        <v>8</v>
      </c>
      <c r="AF1066" s="4">
        <v>0</v>
      </c>
      <c r="AG1066" s="4">
        <v>0</v>
      </c>
      <c r="AH1066" s="4">
        <v>3</v>
      </c>
      <c r="AI1066" s="4">
        <v>3</v>
      </c>
      <c r="AJ1066" s="4">
        <v>5</v>
      </c>
      <c r="AK1066" s="4">
        <v>5</v>
      </c>
      <c r="AL1066" s="4">
        <v>1</v>
      </c>
      <c r="AM1066" s="4">
        <v>1</v>
      </c>
      <c r="AN1066" s="4">
        <v>0</v>
      </c>
      <c r="AO1066" s="4">
        <v>0</v>
      </c>
      <c r="AP1066" s="3" t="s">
        <v>58</v>
      </c>
      <c r="AQ1066" s="3" t="s">
        <v>58</v>
      </c>
      <c r="AS1066" s="6" t="str">
        <f>HYPERLINK("https://creighton-primo.hosted.exlibrisgroup.com/primo-explore/search?tab=default_tab&amp;search_scope=EVERYTHING&amp;vid=01CRU&amp;lang=en_US&amp;offset=0&amp;query=any,contains,991004427059702656","Catalog Record")</f>
        <v>Catalog Record</v>
      </c>
      <c r="AT1066" s="6" t="str">
        <f>HYPERLINK("http://www.worldcat.org/oclc/55884944","WorldCat Record")</f>
        <v>WorldCat Record</v>
      </c>
      <c r="AU1066" s="3" t="s">
        <v>13787</v>
      </c>
      <c r="AV1066" s="3" t="s">
        <v>13788</v>
      </c>
      <c r="AW1066" s="3" t="s">
        <v>13789</v>
      </c>
      <c r="AX1066" s="3" t="s">
        <v>13789</v>
      </c>
      <c r="AY1066" s="3" t="s">
        <v>13790</v>
      </c>
      <c r="AZ1066" s="3" t="s">
        <v>74</v>
      </c>
      <c r="BB1066" s="3" t="s">
        <v>13791</v>
      </c>
      <c r="BC1066" s="3" t="s">
        <v>13792</v>
      </c>
      <c r="BD1066" s="3" t="s">
        <v>13793</v>
      </c>
    </row>
    <row r="1067" spans="1:56" ht="42.75" customHeight="1" x14ac:dyDescent="0.25">
      <c r="A1067" s="7" t="s">
        <v>58</v>
      </c>
      <c r="B1067" s="2" t="s">
        <v>13794</v>
      </c>
      <c r="C1067" s="2" t="s">
        <v>13795</v>
      </c>
      <c r="D1067" s="2" t="s">
        <v>13796</v>
      </c>
      <c r="F1067" s="3" t="s">
        <v>58</v>
      </c>
      <c r="G1067" s="3" t="s">
        <v>59</v>
      </c>
      <c r="H1067" s="3" t="s">
        <v>58</v>
      </c>
      <c r="I1067" s="3" t="s">
        <v>58</v>
      </c>
      <c r="J1067" s="3" t="s">
        <v>60</v>
      </c>
      <c r="K1067" s="2" t="s">
        <v>13797</v>
      </c>
      <c r="L1067" s="2" t="s">
        <v>6567</v>
      </c>
      <c r="M1067" s="3" t="s">
        <v>4296</v>
      </c>
      <c r="O1067" s="3" t="s">
        <v>64</v>
      </c>
      <c r="P1067" s="3" t="s">
        <v>115</v>
      </c>
      <c r="Q1067" s="2" t="s">
        <v>13798</v>
      </c>
      <c r="R1067" s="3" t="s">
        <v>67</v>
      </c>
      <c r="S1067" s="4">
        <v>15</v>
      </c>
      <c r="T1067" s="4">
        <v>15</v>
      </c>
      <c r="U1067" s="5" t="s">
        <v>12937</v>
      </c>
      <c r="V1067" s="5" t="s">
        <v>12937</v>
      </c>
      <c r="W1067" s="5" t="s">
        <v>401</v>
      </c>
      <c r="X1067" s="5" t="s">
        <v>401</v>
      </c>
      <c r="Y1067" s="4">
        <v>457</v>
      </c>
      <c r="Z1067" s="4">
        <v>362</v>
      </c>
      <c r="AA1067" s="4">
        <v>371</v>
      </c>
      <c r="AB1067" s="4">
        <v>3</v>
      </c>
      <c r="AC1067" s="4">
        <v>3</v>
      </c>
      <c r="AD1067" s="4">
        <v>11</v>
      </c>
      <c r="AE1067" s="4">
        <v>11</v>
      </c>
      <c r="AF1067" s="4">
        <v>3</v>
      </c>
      <c r="AG1067" s="4">
        <v>3</v>
      </c>
      <c r="AH1067" s="4">
        <v>1</v>
      </c>
      <c r="AI1067" s="4">
        <v>1</v>
      </c>
      <c r="AJ1067" s="4">
        <v>8</v>
      </c>
      <c r="AK1067" s="4">
        <v>8</v>
      </c>
      <c r="AL1067" s="4">
        <v>1</v>
      </c>
      <c r="AM1067" s="4">
        <v>1</v>
      </c>
      <c r="AN1067" s="4">
        <v>0</v>
      </c>
      <c r="AO1067" s="4">
        <v>0</v>
      </c>
      <c r="AP1067" s="3" t="s">
        <v>58</v>
      </c>
      <c r="AQ1067" s="3" t="s">
        <v>86</v>
      </c>
      <c r="AR1067" s="6" t="str">
        <f>HYPERLINK("http://catalog.hathitrust.org/Record/000032969","HathiTrust Record")</f>
        <v>HathiTrust Record</v>
      </c>
      <c r="AS1067" s="6" t="str">
        <f>HYPERLINK("https://creighton-primo.hosted.exlibrisgroup.com/primo-explore/search?tab=default_tab&amp;search_scope=EVERYTHING&amp;vid=01CRU&amp;lang=en_US&amp;offset=0&amp;query=any,contains,991003540119702656","Catalog Record")</f>
        <v>Catalog Record</v>
      </c>
      <c r="AT1067" s="6" t="str">
        <f>HYPERLINK("http://www.worldcat.org/oclc/1104288","WorldCat Record")</f>
        <v>WorldCat Record</v>
      </c>
      <c r="AU1067" s="3" t="s">
        <v>13799</v>
      </c>
      <c r="AV1067" s="3" t="s">
        <v>13800</v>
      </c>
      <c r="AW1067" s="3" t="s">
        <v>13801</v>
      </c>
      <c r="AX1067" s="3" t="s">
        <v>13801</v>
      </c>
      <c r="AY1067" s="3" t="s">
        <v>13802</v>
      </c>
      <c r="AZ1067" s="3" t="s">
        <v>74</v>
      </c>
      <c r="BB1067" s="3" t="s">
        <v>13803</v>
      </c>
      <c r="BC1067" s="3" t="s">
        <v>13804</v>
      </c>
      <c r="BD1067" s="3" t="s">
        <v>13805</v>
      </c>
    </row>
    <row r="1068" spans="1:56" ht="42.75" customHeight="1" x14ac:dyDescent="0.25">
      <c r="A1068" s="7" t="s">
        <v>58</v>
      </c>
      <c r="B1068" s="2" t="s">
        <v>13806</v>
      </c>
      <c r="C1068" s="2" t="s">
        <v>13807</v>
      </c>
      <c r="D1068" s="2" t="s">
        <v>13808</v>
      </c>
      <c r="F1068" s="3" t="s">
        <v>58</v>
      </c>
      <c r="G1068" s="3" t="s">
        <v>59</v>
      </c>
      <c r="H1068" s="3" t="s">
        <v>58</v>
      </c>
      <c r="I1068" s="3" t="s">
        <v>58</v>
      </c>
      <c r="J1068" s="3" t="s">
        <v>60</v>
      </c>
      <c r="K1068" s="2" t="s">
        <v>13809</v>
      </c>
      <c r="L1068" s="2" t="s">
        <v>13810</v>
      </c>
      <c r="M1068" s="3" t="s">
        <v>765</v>
      </c>
      <c r="N1068" s="2" t="s">
        <v>9332</v>
      </c>
      <c r="O1068" s="3" t="s">
        <v>64</v>
      </c>
      <c r="P1068" s="3" t="s">
        <v>115</v>
      </c>
      <c r="R1068" s="3" t="s">
        <v>67</v>
      </c>
      <c r="S1068" s="4">
        <v>22</v>
      </c>
      <c r="T1068" s="4">
        <v>22</v>
      </c>
      <c r="U1068" s="5" t="s">
        <v>13811</v>
      </c>
      <c r="V1068" s="5" t="s">
        <v>13811</v>
      </c>
      <c r="W1068" s="5" t="s">
        <v>9696</v>
      </c>
      <c r="X1068" s="5" t="s">
        <v>9696</v>
      </c>
      <c r="Y1068" s="4">
        <v>170</v>
      </c>
      <c r="Z1068" s="4">
        <v>159</v>
      </c>
      <c r="AA1068" s="4">
        <v>698</v>
      </c>
      <c r="AB1068" s="4">
        <v>2</v>
      </c>
      <c r="AC1068" s="4">
        <v>8</v>
      </c>
      <c r="AD1068" s="4">
        <v>2</v>
      </c>
      <c r="AE1068" s="4">
        <v>10</v>
      </c>
      <c r="AF1068" s="4">
        <v>1</v>
      </c>
      <c r="AG1068" s="4">
        <v>5</v>
      </c>
      <c r="AH1068" s="4">
        <v>0</v>
      </c>
      <c r="AI1068" s="4">
        <v>1</v>
      </c>
      <c r="AJ1068" s="4">
        <v>2</v>
      </c>
      <c r="AK1068" s="4">
        <v>5</v>
      </c>
      <c r="AL1068" s="4">
        <v>0</v>
      </c>
      <c r="AM1068" s="4">
        <v>2</v>
      </c>
      <c r="AN1068" s="4">
        <v>0</v>
      </c>
      <c r="AO1068" s="4">
        <v>0</v>
      </c>
      <c r="AP1068" s="3" t="s">
        <v>58</v>
      </c>
      <c r="AQ1068" s="3" t="s">
        <v>86</v>
      </c>
      <c r="AR1068" s="6" t="str">
        <f>HYPERLINK("http://catalog.hathitrust.org/Record/003082143","HathiTrust Record")</f>
        <v>HathiTrust Record</v>
      </c>
      <c r="AS1068" s="6" t="str">
        <f>HYPERLINK("https://creighton-primo.hosted.exlibrisgroup.com/primo-explore/search?tab=default_tab&amp;search_scope=EVERYTHING&amp;vid=01CRU&amp;lang=en_US&amp;offset=0&amp;query=any,contains,991002450639702656","Catalog Record")</f>
        <v>Catalog Record</v>
      </c>
      <c r="AT1068" s="6" t="str">
        <f>HYPERLINK("http://www.worldcat.org/oclc/31969214","WorldCat Record")</f>
        <v>WorldCat Record</v>
      </c>
      <c r="AU1068" s="3" t="s">
        <v>13812</v>
      </c>
      <c r="AV1068" s="3" t="s">
        <v>13813</v>
      </c>
      <c r="AW1068" s="3" t="s">
        <v>13814</v>
      </c>
      <c r="AX1068" s="3" t="s">
        <v>13814</v>
      </c>
      <c r="AY1068" s="3" t="s">
        <v>13815</v>
      </c>
      <c r="AZ1068" s="3" t="s">
        <v>74</v>
      </c>
      <c r="BB1068" s="3" t="s">
        <v>13816</v>
      </c>
      <c r="BC1068" s="3" t="s">
        <v>13817</v>
      </c>
      <c r="BD1068" s="3" t="s">
        <v>13818</v>
      </c>
    </row>
    <row r="1069" spans="1:56" ht="42.75" customHeight="1" x14ac:dyDescent="0.25">
      <c r="A1069" s="7" t="s">
        <v>58</v>
      </c>
      <c r="B1069" s="2" t="s">
        <v>13819</v>
      </c>
      <c r="C1069" s="2" t="s">
        <v>13820</v>
      </c>
      <c r="D1069" s="2" t="s">
        <v>13821</v>
      </c>
      <c r="F1069" s="3" t="s">
        <v>58</v>
      </c>
      <c r="G1069" s="3" t="s">
        <v>59</v>
      </c>
      <c r="H1069" s="3" t="s">
        <v>58</v>
      </c>
      <c r="I1069" s="3" t="s">
        <v>58</v>
      </c>
      <c r="J1069" s="3" t="s">
        <v>60</v>
      </c>
      <c r="K1069" s="2" t="s">
        <v>13822</v>
      </c>
      <c r="L1069" s="2" t="s">
        <v>13823</v>
      </c>
      <c r="M1069" s="3" t="s">
        <v>82</v>
      </c>
      <c r="O1069" s="3" t="s">
        <v>64</v>
      </c>
      <c r="P1069" s="3" t="s">
        <v>115</v>
      </c>
      <c r="Q1069" s="2" t="s">
        <v>4445</v>
      </c>
      <c r="R1069" s="3" t="s">
        <v>67</v>
      </c>
      <c r="S1069" s="4">
        <v>24</v>
      </c>
      <c r="T1069" s="4">
        <v>24</v>
      </c>
      <c r="U1069" s="5" t="s">
        <v>13824</v>
      </c>
      <c r="V1069" s="5" t="s">
        <v>13824</v>
      </c>
      <c r="W1069" s="5" t="s">
        <v>6280</v>
      </c>
      <c r="X1069" s="5" t="s">
        <v>6280</v>
      </c>
      <c r="Y1069" s="4">
        <v>320</v>
      </c>
      <c r="Z1069" s="4">
        <v>236</v>
      </c>
      <c r="AA1069" s="4">
        <v>238</v>
      </c>
      <c r="AB1069" s="4">
        <v>3</v>
      </c>
      <c r="AC1069" s="4">
        <v>3</v>
      </c>
      <c r="AD1069" s="4">
        <v>12</v>
      </c>
      <c r="AE1069" s="4">
        <v>12</v>
      </c>
      <c r="AF1069" s="4">
        <v>3</v>
      </c>
      <c r="AG1069" s="4">
        <v>3</v>
      </c>
      <c r="AH1069" s="4">
        <v>4</v>
      </c>
      <c r="AI1069" s="4">
        <v>4</v>
      </c>
      <c r="AJ1069" s="4">
        <v>5</v>
      </c>
      <c r="AK1069" s="4">
        <v>5</v>
      </c>
      <c r="AL1069" s="4">
        <v>2</v>
      </c>
      <c r="AM1069" s="4">
        <v>2</v>
      </c>
      <c r="AN1069" s="4">
        <v>0</v>
      </c>
      <c r="AO1069" s="4">
        <v>0</v>
      </c>
      <c r="AP1069" s="3" t="s">
        <v>58</v>
      </c>
      <c r="AQ1069" s="3" t="s">
        <v>86</v>
      </c>
      <c r="AR1069" s="6" t="str">
        <f>HYPERLINK("http://catalog.hathitrust.org/Record/000835519","HathiTrust Record")</f>
        <v>HathiTrust Record</v>
      </c>
      <c r="AS1069" s="6" t="str">
        <f>HYPERLINK("https://creighton-primo.hosted.exlibrisgroup.com/primo-explore/search?tab=default_tab&amp;search_scope=EVERYTHING&amp;vid=01CRU&amp;lang=en_US&amp;offset=0&amp;query=any,contains,991000930539702656","Catalog Record")</f>
        <v>Catalog Record</v>
      </c>
      <c r="AT1069" s="6" t="str">
        <f>HYPERLINK("http://www.worldcat.org/oclc/14270709","WorldCat Record")</f>
        <v>WorldCat Record</v>
      </c>
      <c r="AU1069" s="3" t="s">
        <v>13825</v>
      </c>
      <c r="AV1069" s="3" t="s">
        <v>13826</v>
      </c>
      <c r="AW1069" s="3" t="s">
        <v>13827</v>
      </c>
      <c r="AX1069" s="3" t="s">
        <v>13827</v>
      </c>
      <c r="AY1069" s="3" t="s">
        <v>13828</v>
      </c>
      <c r="AZ1069" s="3" t="s">
        <v>74</v>
      </c>
      <c r="BB1069" s="3" t="s">
        <v>13829</v>
      </c>
      <c r="BC1069" s="3" t="s">
        <v>13830</v>
      </c>
      <c r="BD1069" s="3" t="s">
        <v>13831</v>
      </c>
    </row>
    <row r="1070" spans="1:56" ht="42.75" customHeight="1" x14ac:dyDescent="0.25">
      <c r="A1070" s="7" t="s">
        <v>58</v>
      </c>
      <c r="B1070" s="2" t="s">
        <v>13832</v>
      </c>
      <c r="C1070" s="2" t="s">
        <v>13833</v>
      </c>
      <c r="D1070" s="2" t="s">
        <v>13834</v>
      </c>
      <c r="F1070" s="3" t="s">
        <v>58</v>
      </c>
      <c r="G1070" s="3" t="s">
        <v>59</v>
      </c>
      <c r="H1070" s="3" t="s">
        <v>58</v>
      </c>
      <c r="I1070" s="3" t="s">
        <v>58</v>
      </c>
      <c r="J1070" s="3" t="s">
        <v>60</v>
      </c>
      <c r="L1070" s="2" t="s">
        <v>13835</v>
      </c>
      <c r="M1070" s="3" t="s">
        <v>642</v>
      </c>
      <c r="N1070" s="2" t="s">
        <v>1844</v>
      </c>
      <c r="O1070" s="3" t="s">
        <v>64</v>
      </c>
      <c r="P1070" s="3" t="s">
        <v>115</v>
      </c>
      <c r="R1070" s="3" t="s">
        <v>67</v>
      </c>
      <c r="S1070" s="4">
        <v>29</v>
      </c>
      <c r="T1070" s="4">
        <v>29</v>
      </c>
      <c r="U1070" s="5" t="s">
        <v>13737</v>
      </c>
      <c r="V1070" s="5" t="s">
        <v>13737</v>
      </c>
      <c r="W1070" s="5" t="s">
        <v>5462</v>
      </c>
      <c r="X1070" s="5" t="s">
        <v>5462</v>
      </c>
      <c r="Y1070" s="4">
        <v>352</v>
      </c>
      <c r="Z1070" s="4">
        <v>297</v>
      </c>
      <c r="AA1070" s="4">
        <v>596</v>
      </c>
      <c r="AB1070" s="4">
        <v>4</v>
      </c>
      <c r="AC1070" s="4">
        <v>4</v>
      </c>
      <c r="AD1070" s="4">
        <v>12</v>
      </c>
      <c r="AE1070" s="4">
        <v>21</v>
      </c>
      <c r="AF1070" s="4">
        <v>3</v>
      </c>
      <c r="AG1070" s="4">
        <v>7</v>
      </c>
      <c r="AH1070" s="4">
        <v>2</v>
      </c>
      <c r="AI1070" s="4">
        <v>6</v>
      </c>
      <c r="AJ1070" s="4">
        <v>6</v>
      </c>
      <c r="AK1070" s="4">
        <v>10</v>
      </c>
      <c r="AL1070" s="4">
        <v>3</v>
      </c>
      <c r="AM1070" s="4">
        <v>3</v>
      </c>
      <c r="AN1070" s="4">
        <v>0</v>
      </c>
      <c r="AO1070" s="4">
        <v>0</v>
      </c>
      <c r="AP1070" s="3" t="s">
        <v>58</v>
      </c>
      <c r="AQ1070" s="3" t="s">
        <v>58</v>
      </c>
      <c r="AS1070" s="6" t="str">
        <f>HYPERLINK("https://creighton-primo.hosted.exlibrisgroup.com/primo-explore/search?tab=default_tab&amp;search_scope=EVERYTHING&amp;vid=01CRU&amp;lang=en_US&amp;offset=0&amp;query=any,contains,991002031339702656","Catalog Record")</f>
        <v>Catalog Record</v>
      </c>
      <c r="AT1070" s="6" t="str">
        <f>HYPERLINK("http://www.worldcat.org/oclc/25869643","WorldCat Record")</f>
        <v>WorldCat Record</v>
      </c>
      <c r="AU1070" s="3" t="s">
        <v>13836</v>
      </c>
      <c r="AV1070" s="3" t="s">
        <v>13837</v>
      </c>
      <c r="AW1070" s="3" t="s">
        <v>13838</v>
      </c>
      <c r="AX1070" s="3" t="s">
        <v>13838</v>
      </c>
      <c r="AY1070" s="3" t="s">
        <v>13839</v>
      </c>
      <c r="AZ1070" s="3" t="s">
        <v>74</v>
      </c>
      <c r="BB1070" s="3" t="s">
        <v>13840</v>
      </c>
      <c r="BC1070" s="3" t="s">
        <v>13841</v>
      </c>
      <c r="BD1070" s="3" t="s">
        <v>13842</v>
      </c>
    </row>
    <row r="1071" spans="1:56" ht="42.75" customHeight="1" x14ac:dyDescent="0.25">
      <c r="A1071" s="7" t="s">
        <v>58</v>
      </c>
      <c r="B1071" s="2" t="s">
        <v>13843</v>
      </c>
      <c r="C1071" s="2" t="s">
        <v>13844</v>
      </c>
      <c r="D1071" s="2" t="s">
        <v>13845</v>
      </c>
      <c r="F1071" s="3" t="s">
        <v>58</v>
      </c>
      <c r="G1071" s="3" t="s">
        <v>59</v>
      </c>
      <c r="H1071" s="3" t="s">
        <v>58</v>
      </c>
      <c r="I1071" s="3" t="s">
        <v>86</v>
      </c>
      <c r="J1071" s="3" t="s">
        <v>60</v>
      </c>
      <c r="L1071" s="2" t="s">
        <v>13846</v>
      </c>
      <c r="M1071" s="3" t="s">
        <v>1448</v>
      </c>
      <c r="N1071" s="2" t="s">
        <v>1844</v>
      </c>
      <c r="O1071" s="3" t="s">
        <v>64</v>
      </c>
      <c r="P1071" s="3" t="s">
        <v>115</v>
      </c>
      <c r="R1071" s="3" t="s">
        <v>67</v>
      </c>
      <c r="S1071" s="4">
        <v>4</v>
      </c>
      <c r="T1071" s="4">
        <v>4</v>
      </c>
      <c r="U1071" s="5" t="s">
        <v>13847</v>
      </c>
      <c r="V1071" s="5" t="s">
        <v>13847</v>
      </c>
      <c r="W1071" s="5" t="s">
        <v>7442</v>
      </c>
      <c r="X1071" s="5" t="s">
        <v>7442</v>
      </c>
      <c r="Y1071" s="4">
        <v>341</v>
      </c>
      <c r="Z1071" s="4">
        <v>242</v>
      </c>
      <c r="AA1071" s="4">
        <v>968</v>
      </c>
      <c r="AB1071" s="4">
        <v>2</v>
      </c>
      <c r="AC1071" s="4">
        <v>7</v>
      </c>
      <c r="AD1071" s="4">
        <v>9</v>
      </c>
      <c r="AE1071" s="4">
        <v>42</v>
      </c>
      <c r="AF1071" s="4">
        <v>5</v>
      </c>
      <c r="AG1071" s="4">
        <v>22</v>
      </c>
      <c r="AH1071" s="4">
        <v>0</v>
      </c>
      <c r="AI1071" s="4">
        <v>8</v>
      </c>
      <c r="AJ1071" s="4">
        <v>5</v>
      </c>
      <c r="AK1071" s="4">
        <v>17</v>
      </c>
      <c r="AL1071" s="4">
        <v>1</v>
      </c>
      <c r="AM1071" s="4">
        <v>5</v>
      </c>
      <c r="AN1071" s="4">
        <v>0</v>
      </c>
      <c r="AO1071" s="4">
        <v>0</v>
      </c>
      <c r="AP1071" s="3" t="s">
        <v>58</v>
      </c>
      <c r="AQ1071" s="3" t="s">
        <v>58</v>
      </c>
      <c r="AS1071" s="6" t="str">
        <f>HYPERLINK("https://creighton-primo.hosted.exlibrisgroup.com/primo-explore/search?tab=default_tab&amp;search_scope=EVERYTHING&amp;vid=01CRU&amp;lang=en_US&amp;offset=0&amp;query=any,contains,991005298099702656","Catalog Record")</f>
        <v>Catalog Record</v>
      </c>
      <c r="AT1071" s="6" t="str">
        <f>HYPERLINK("http://www.worldcat.org/oclc/213223577","WorldCat Record")</f>
        <v>WorldCat Record</v>
      </c>
      <c r="AU1071" s="3" t="s">
        <v>13848</v>
      </c>
      <c r="AV1071" s="3" t="s">
        <v>13849</v>
      </c>
      <c r="AW1071" s="3" t="s">
        <v>13850</v>
      </c>
      <c r="AX1071" s="3" t="s">
        <v>13850</v>
      </c>
      <c r="AY1071" s="3" t="s">
        <v>13851</v>
      </c>
      <c r="AZ1071" s="3" t="s">
        <v>74</v>
      </c>
      <c r="BB1071" s="3" t="s">
        <v>13852</v>
      </c>
      <c r="BC1071" s="3" t="s">
        <v>13853</v>
      </c>
      <c r="BD1071" s="3" t="s">
        <v>13854</v>
      </c>
    </row>
    <row r="1072" spans="1:56" ht="42.75" customHeight="1" x14ac:dyDescent="0.25">
      <c r="A1072" s="7" t="s">
        <v>58</v>
      </c>
      <c r="B1072" s="2" t="s">
        <v>13855</v>
      </c>
      <c r="C1072" s="2" t="s">
        <v>13856</v>
      </c>
      <c r="D1072" s="2" t="s">
        <v>13857</v>
      </c>
      <c r="F1072" s="3" t="s">
        <v>58</v>
      </c>
      <c r="G1072" s="3" t="s">
        <v>59</v>
      </c>
      <c r="H1072" s="3" t="s">
        <v>58</v>
      </c>
      <c r="I1072" s="3" t="s">
        <v>58</v>
      </c>
      <c r="J1072" s="3" t="s">
        <v>60</v>
      </c>
      <c r="L1072" s="2" t="s">
        <v>9319</v>
      </c>
      <c r="M1072" s="3" t="s">
        <v>114</v>
      </c>
      <c r="O1072" s="3" t="s">
        <v>64</v>
      </c>
      <c r="P1072" s="3" t="s">
        <v>115</v>
      </c>
      <c r="R1072" s="3" t="s">
        <v>67</v>
      </c>
      <c r="S1072" s="4">
        <v>12</v>
      </c>
      <c r="T1072" s="4">
        <v>12</v>
      </c>
      <c r="U1072" s="5" t="s">
        <v>7785</v>
      </c>
      <c r="V1072" s="5" t="s">
        <v>7785</v>
      </c>
      <c r="W1072" s="5" t="s">
        <v>7573</v>
      </c>
      <c r="X1072" s="5" t="s">
        <v>7573</v>
      </c>
      <c r="Y1072" s="4">
        <v>401</v>
      </c>
      <c r="Z1072" s="4">
        <v>329</v>
      </c>
      <c r="AA1072" s="4">
        <v>382</v>
      </c>
      <c r="AB1072" s="4">
        <v>2</v>
      </c>
      <c r="AC1072" s="4">
        <v>2</v>
      </c>
      <c r="AD1072" s="4">
        <v>12</v>
      </c>
      <c r="AE1072" s="4">
        <v>15</v>
      </c>
      <c r="AF1072" s="4">
        <v>4</v>
      </c>
      <c r="AG1072" s="4">
        <v>6</v>
      </c>
      <c r="AH1072" s="4">
        <v>1</v>
      </c>
      <c r="AI1072" s="4">
        <v>2</v>
      </c>
      <c r="AJ1072" s="4">
        <v>9</v>
      </c>
      <c r="AK1072" s="4">
        <v>12</v>
      </c>
      <c r="AL1072" s="4">
        <v>1</v>
      </c>
      <c r="AM1072" s="4">
        <v>1</v>
      </c>
      <c r="AN1072" s="4">
        <v>0</v>
      </c>
      <c r="AO1072" s="4">
        <v>0</v>
      </c>
      <c r="AP1072" s="3" t="s">
        <v>58</v>
      </c>
      <c r="AQ1072" s="3" t="s">
        <v>86</v>
      </c>
      <c r="AR1072" s="6" t="str">
        <f>HYPERLINK("http://catalog.hathitrust.org/Record/000124035","HathiTrust Record")</f>
        <v>HathiTrust Record</v>
      </c>
      <c r="AS1072" s="6" t="str">
        <f>HYPERLINK("https://creighton-primo.hosted.exlibrisgroup.com/primo-explore/search?tab=default_tab&amp;search_scope=EVERYTHING&amp;vid=01CRU&amp;lang=en_US&amp;offset=0&amp;query=any,contains,991000370709702656","Catalog Record")</f>
        <v>Catalog Record</v>
      </c>
      <c r="AT1072" s="6" t="str">
        <f>HYPERLINK("http://www.worldcat.org/oclc/10430094","WorldCat Record")</f>
        <v>WorldCat Record</v>
      </c>
      <c r="AU1072" s="3" t="s">
        <v>13858</v>
      </c>
      <c r="AV1072" s="3" t="s">
        <v>13859</v>
      </c>
      <c r="AW1072" s="3" t="s">
        <v>13860</v>
      </c>
      <c r="AX1072" s="3" t="s">
        <v>13860</v>
      </c>
      <c r="AY1072" s="3" t="s">
        <v>13861</v>
      </c>
      <c r="AZ1072" s="3" t="s">
        <v>74</v>
      </c>
      <c r="BB1072" s="3" t="s">
        <v>13862</v>
      </c>
      <c r="BC1072" s="3" t="s">
        <v>13863</v>
      </c>
      <c r="BD1072" s="3" t="s">
        <v>13864</v>
      </c>
    </row>
    <row r="1073" spans="1:56" ht="42.75" customHeight="1" x14ac:dyDescent="0.25">
      <c r="A1073" s="7" t="s">
        <v>58</v>
      </c>
      <c r="B1073" s="2" t="s">
        <v>13865</v>
      </c>
      <c r="C1073" s="2" t="s">
        <v>13866</v>
      </c>
      <c r="D1073" s="2" t="s">
        <v>13867</v>
      </c>
      <c r="F1073" s="3" t="s">
        <v>58</v>
      </c>
      <c r="G1073" s="3" t="s">
        <v>59</v>
      </c>
      <c r="H1073" s="3" t="s">
        <v>58</v>
      </c>
      <c r="I1073" s="3" t="s">
        <v>58</v>
      </c>
      <c r="J1073" s="3" t="s">
        <v>60</v>
      </c>
      <c r="K1073" s="2" t="s">
        <v>13868</v>
      </c>
      <c r="L1073" s="2" t="s">
        <v>13869</v>
      </c>
      <c r="M1073" s="3" t="s">
        <v>2386</v>
      </c>
      <c r="O1073" s="3" t="s">
        <v>64</v>
      </c>
      <c r="P1073" s="3" t="s">
        <v>115</v>
      </c>
      <c r="R1073" s="3" t="s">
        <v>67</v>
      </c>
      <c r="S1073" s="4">
        <v>12</v>
      </c>
      <c r="T1073" s="4">
        <v>12</v>
      </c>
      <c r="U1073" s="5" t="s">
        <v>13870</v>
      </c>
      <c r="V1073" s="5" t="s">
        <v>13870</v>
      </c>
      <c r="W1073" s="5" t="s">
        <v>165</v>
      </c>
      <c r="X1073" s="5" t="s">
        <v>165</v>
      </c>
      <c r="Y1073" s="4">
        <v>485</v>
      </c>
      <c r="Z1073" s="4">
        <v>453</v>
      </c>
      <c r="AA1073" s="4">
        <v>598</v>
      </c>
      <c r="AB1073" s="4">
        <v>3</v>
      </c>
      <c r="AC1073" s="4">
        <v>6</v>
      </c>
      <c r="AD1073" s="4">
        <v>9</v>
      </c>
      <c r="AE1073" s="4">
        <v>12</v>
      </c>
      <c r="AF1073" s="4">
        <v>2</v>
      </c>
      <c r="AG1073" s="4">
        <v>3</v>
      </c>
      <c r="AH1073" s="4">
        <v>1</v>
      </c>
      <c r="AI1073" s="4">
        <v>1</v>
      </c>
      <c r="AJ1073" s="4">
        <v>7</v>
      </c>
      <c r="AK1073" s="4">
        <v>9</v>
      </c>
      <c r="AL1073" s="4">
        <v>1</v>
      </c>
      <c r="AM1073" s="4">
        <v>2</v>
      </c>
      <c r="AN1073" s="4">
        <v>0</v>
      </c>
      <c r="AO1073" s="4">
        <v>0</v>
      </c>
      <c r="AP1073" s="3" t="s">
        <v>58</v>
      </c>
      <c r="AQ1073" s="3" t="s">
        <v>86</v>
      </c>
      <c r="AR1073" s="6" t="str">
        <f>HYPERLINK("http://catalog.hathitrust.org/Record/001565142","HathiTrust Record")</f>
        <v>HathiTrust Record</v>
      </c>
      <c r="AS1073" s="6" t="str">
        <f>HYPERLINK("https://creighton-primo.hosted.exlibrisgroup.com/primo-explore/search?tab=default_tab&amp;search_scope=EVERYTHING&amp;vid=01CRU&amp;lang=en_US&amp;offset=0&amp;query=any,contains,991003542849702656","Catalog Record")</f>
        <v>Catalog Record</v>
      </c>
      <c r="AT1073" s="6" t="str">
        <f>HYPERLINK("http://www.worldcat.org/oclc/1107834","WorldCat Record")</f>
        <v>WorldCat Record</v>
      </c>
      <c r="AU1073" s="3" t="s">
        <v>13871</v>
      </c>
      <c r="AV1073" s="3" t="s">
        <v>13872</v>
      </c>
      <c r="AW1073" s="3" t="s">
        <v>13873</v>
      </c>
      <c r="AX1073" s="3" t="s">
        <v>13873</v>
      </c>
      <c r="AY1073" s="3" t="s">
        <v>13874</v>
      </c>
      <c r="AZ1073" s="3" t="s">
        <v>74</v>
      </c>
      <c r="BB1073" s="3" t="s">
        <v>13875</v>
      </c>
      <c r="BC1073" s="3" t="s">
        <v>13876</v>
      </c>
      <c r="BD1073" s="3" t="s">
        <v>13877</v>
      </c>
    </row>
    <row r="1074" spans="1:56" ht="42.75" customHeight="1" x14ac:dyDescent="0.25">
      <c r="A1074" s="7" t="s">
        <v>58</v>
      </c>
      <c r="B1074" s="2" t="s">
        <v>13878</v>
      </c>
      <c r="C1074" s="2" t="s">
        <v>13879</v>
      </c>
      <c r="D1074" s="2" t="s">
        <v>13880</v>
      </c>
      <c r="F1074" s="3" t="s">
        <v>58</v>
      </c>
      <c r="G1074" s="3" t="s">
        <v>59</v>
      </c>
      <c r="H1074" s="3" t="s">
        <v>58</v>
      </c>
      <c r="I1074" s="3" t="s">
        <v>58</v>
      </c>
      <c r="J1074" s="3" t="s">
        <v>60</v>
      </c>
      <c r="K1074" s="2" t="s">
        <v>9718</v>
      </c>
      <c r="L1074" s="2" t="s">
        <v>13881</v>
      </c>
      <c r="M1074" s="3" t="s">
        <v>1235</v>
      </c>
      <c r="O1074" s="3" t="s">
        <v>64</v>
      </c>
      <c r="P1074" s="3" t="s">
        <v>115</v>
      </c>
      <c r="R1074" s="3" t="s">
        <v>67</v>
      </c>
      <c r="S1074" s="4">
        <v>8</v>
      </c>
      <c r="T1074" s="4">
        <v>8</v>
      </c>
      <c r="U1074" s="5" t="s">
        <v>4177</v>
      </c>
      <c r="V1074" s="5" t="s">
        <v>4177</v>
      </c>
      <c r="W1074" s="5" t="s">
        <v>5981</v>
      </c>
      <c r="X1074" s="5" t="s">
        <v>5981</v>
      </c>
      <c r="Y1074" s="4">
        <v>1437</v>
      </c>
      <c r="Z1074" s="4">
        <v>1347</v>
      </c>
      <c r="AA1074" s="4">
        <v>1459</v>
      </c>
      <c r="AB1074" s="4">
        <v>11</v>
      </c>
      <c r="AC1074" s="4">
        <v>11</v>
      </c>
      <c r="AD1074" s="4">
        <v>26</v>
      </c>
      <c r="AE1074" s="4">
        <v>28</v>
      </c>
      <c r="AF1074" s="4">
        <v>13</v>
      </c>
      <c r="AG1074" s="4">
        <v>15</v>
      </c>
      <c r="AH1074" s="4">
        <v>2</v>
      </c>
      <c r="AI1074" s="4">
        <v>2</v>
      </c>
      <c r="AJ1074" s="4">
        <v>11</v>
      </c>
      <c r="AK1074" s="4">
        <v>12</v>
      </c>
      <c r="AL1074" s="4">
        <v>5</v>
      </c>
      <c r="AM1074" s="4">
        <v>5</v>
      </c>
      <c r="AN1074" s="4">
        <v>0</v>
      </c>
      <c r="AO1074" s="4">
        <v>0</v>
      </c>
      <c r="AP1074" s="3" t="s">
        <v>58</v>
      </c>
      <c r="AQ1074" s="3" t="s">
        <v>86</v>
      </c>
      <c r="AR1074" s="6" t="str">
        <f>HYPERLINK("http://catalog.hathitrust.org/Record/004991992","HathiTrust Record")</f>
        <v>HathiTrust Record</v>
      </c>
      <c r="AS1074" s="6" t="str">
        <f>HYPERLINK("https://creighton-primo.hosted.exlibrisgroup.com/primo-explore/search?tab=default_tab&amp;search_scope=EVERYTHING&amp;vid=01CRU&amp;lang=en_US&amp;offset=0&amp;query=any,contains,991004531589702656","Catalog Record")</f>
        <v>Catalog Record</v>
      </c>
      <c r="AT1074" s="6" t="str">
        <f>HYPERLINK("http://www.worldcat.org/oclc/57010004","WorldCat Record")</f>
        <v>WorldCat Record</v>
      </c>
      <c r="AU1074" s="3" t="s">
        <v>13882</v>
      </c>
      <c r="AV1074" s="3" t="s">
        <v>13883</v>
      </c>
      <c r="AW1074" s="3" t="s">
        <v>13884</v>
      </c>
      <c r="AX1074" s="3" t="s">
        <v>13884</v>
      </c>
      <c r="AY1074" s="3" t="s">
        <v>13885</v>
      </c>
      <c r="AZ1074" s="3" t="s">
        <v>74</v>
      </c>
      <c r="BB1074" s="3" t="s">
        <v>13886</v>
      </c>
      <c r="BC1074" s="3" t="s">
        <v>13887</v>
      </c>
      <c r="BD1074" s="3" t="s">
        <v>13888</v>
      </c>
    </row>
    <row r="1075" spans="1:56" ht="42.75" customHeight="1" x14ac:dyDescent="0.25">
      <c r="A1075" s="7" t="s">
        <v>58</v>
      </c>
      <c r="B1075" s="2" t="s">
        <v>13889</v>
      </c>
      <c r="C1075" s="2" t="s">
        <v>13890</v>
      </c>
      <c r="D1075" s="2" t="s">
        <v>13891</v>
      </c>
      <c r="F1075" s="3" t="s">
        <v>58</v>
      </c>
      <c r="G1075" s="3" t="s">
        <v>59</v>
      </c>
      <c r="H1075" s="3" t="s">
        <v>58</v>
      </c>
      <c r="I1075" s="3" t="s">
        <v>58</v>
      </c>
      <c r="J1075" s="3" t="s">
        <v>60</v>
      </c>
      <c r="K1075" s="2" t="s">
        <v>13892</v>
      </c>
      <c r="L1075" s="2" t="s">
        <v>13893</v>
      </c>
      <c r="M1075" s="3" t="s">
        <v>4296</v>
      </c>
      <c r="O1075" s="3" t="s">
        <v>64</v>
      </c>
      <c r="P1075" s="3" t="s">
        <v>115</v>
      </c>
      <c r="R1075" s="3" t="s">
        <v>67</v>
      </c>
      <c r="S1075" s="4">
        <v>12</v>
      </c>
      <c r="T1075" s="4">
        <v>12</v>
      </c>
      <c r="U1075" s="5" t="s">
        <v>13894</v>
      </c>
      <c r="V1075" s="5" t="s">
        <v>13894</v>
      </c>
      <c r="W1075" s="5" t="s">
        <v>13895</v>
      </c>
      <c r="X1075" s="5" t="s">
        <v>13895</v>
      </c>
      <c r="Y1075" s="4">
        <v>316</v>
      </c>
      <c r="Z1075" s="4">
        <v>269</v>
      </c>
      <c r="AA1075" s="4">
        <v>405</v>
      </c>
      <c r="AB1075" s="4">
        <v>3</v>
      </c>
      <c r="AC1075" s="4">
        <v>3</v>
      </c>
      <c r="AD1075" s="4">
        <v>11</v>
      </c>
      <c r="AE1075" s="4">
        <v>19</v>
      </c>
      <c r="AF1075" s="4">
        <v>4</v>
      </c>
      <c r="AG1075" s="4">
        <v>6</v>
      </c>
      <c r="AH1075" s="4">
        <v>1</v>
      </c>
      <c r="AI1075" s="4">
        <v>5</v>
      </c>
      <c r="AJ1075" s="4">
        <v>8</v>
      </c>
      <c r="AK1075" s="4">
        <v>14</v>
      </c>
      <c r="AL1075" s="4">
        <v>1</v>
      </c>
      <c r="AM1075" s="4">
        <v>1</v>
      </c>
      <c r="AN1075" s="4">
        <v>0</v>
      </c>
      <c r="AO1075" s="4">
        <v>0</v>
      </c>
      <c r="AP1075" s="3" t="s">
        <v>58</v>
      </c>
      <c r="AQ1075" s="3" t="s">
        <v>86</v>
      </c>
      <c r="AR1075" s="6" t="str">
        <f>HYPERLINK("http://catalog.hathitrust.org/Record/000041948","HathiTrust Record")</f>
        <v>HathiTrust Record</v>
      </c>
      <c r="AS1075" s="6" t="str">
        <f>HYPERLINK("https://creighton-primo.hosted.exlibrisgroup.com/primo-explore/search?tab=default_tab&amp;search_scope=EVERYTHING&amp;vid=01CRU&amp;lang=en_US&amp;offset=0&amp;query=any,contains,991003598109702656","Catalog Record")</f>
        <v>Catalog Record</v>
      </c>
      <c r="AT1075" s="6" t="str">
        <f>HYPERLINK("http://www.worldcat.org/oclc/1176140","WorldCat Record")</f>
        <v>WorldCat Record</v>
      </c>
      <c r="AU1075" s="3" t="s">
        <v>13896</v>
      </c>
      <c r="AV1075" s="3" t="s">
        <v>13897</v>
      </c>
      <c r="AW1075" s="3" t="s">
        <v>13898</v>
      </c>
      <c r="AX1075" s="3" t="s">
        <v>13898</v>
      </c>
      <c r="AY1075" s="3" t="s">
        <v>13899</v>
      </c>
      <c r="AZ1075" s="3" t="s">
        <v>74</v>
      </c>
      <c r="BB1075" s="3" t="s">
        <v>13900</v>
      </c>
      <c r="BC1075" s="3" t="s">
        <v>13901</v>
      </c>
      <c r="BD1075" s="3" t="s">
        <v>13902</v>
      </c>
    </row>
    <row r="1076" spans="1:56" ht="42.75" customHeight="1" x14ac:dyDescent="0.25">
      <c r="A1076" s="7" t="s">
        <v>58</v>
      </c>
      <c r="B1076" s="2" t="s">
        <v>13903</v>
      </c>
      <c r="C1076" s="2" t="s">
        <v>13904</v>
      </c>
      <c r="D1076" s="2" t="s">
        <v>13905</v>
      </c>
      <c r="F1076" s="3" t="s">
        <v>58</v>
      </c>
      <c r="G1076" s="3" t="s">
        <v>59</v>
      </c>
      <c r="H1076" s="3" t="s">
        <v>58</v>
      </c>
      <c r="I1076" s="3" t="s">
        <v>58</v>
      </c>
      <c r="J1076" s="3" t="s">
        <v>60</v>
      </c>
      <c r="L1076" s="2" t="s">
        <v>12820</v>
      </c>
      <c r="M1076" s="3" t="s">
        <v>82</v>
      </c>
      <c r="O1076" s="3" t="s">
        <v>64</v>
      </c>
      <c r="P1076" s="3" t="s">
        <v>115</v>
      </c>
      <c r="R1076" s="3" t="s">
        <v>67</v>
      </c>
      <c r="S1076" s="4">
        <v>24</v>
      </c>
      <c r="T1076" s="4">
        <v>24</v>
      </c>
      <c r="U1076" s="5" t="s">
        <v>7341</v>
      </c>
      <c r="V1076" s="5" t="s">
        <v>7341</v>
      </c>
      <c r="W1076" s="5" t="s">
        <v>8095</v>
      </c>
      <c r="X1076" s="5" t="s">
        <v>8095</v>
      </c>
      <c r="Y1076" s="4">
        <v>291</v>
      </c>
      <c r="Z1076" s="4">
        <v>253</v>
      </c>
      <c r="AA1076" s="4">
        <v>258</v>
      </c>
      <c r="AB1076" s="4">
        <v>2</v>
      </c>
      <c r="AC1076" s="4">
        <v>2</v>
      </c>
      <c r="AD1076" s="4">
        <v>10</v>
      </c>
      <c r="AE1076" s="4">
        <v>10</v>
      </c>
      <c r="AF1076" s="4">
        <v>1</v>
      </c>
      <c r="AG1076" s="4">
        <v>1</v>
      </c>
      <c r="AH1076" s="4">
        <v>4</v>
      </c>
      <c r="AI1076" s="4">
        <v>4</v>
      </c>
      <c r="AJ1076" s="4">
        <v>6</v>
      </c>
      <c r="AK1076" s="4">
        <v>6</v>
      </c>
      <c r="AL1076" s="4">
        <v>1</v>
      </c>
      <c r="AM1076" s="4">
        <v>1</v>
      </c>
      <c r="AN1076" s="4">
        <v>0</v>
      </c>
      <c r="AO1076" s="4">
        <v>0</v>
      </c>
      <c r="AP1076" s="3" t="s">
        <v>58</v>
      </c>
      <c r="AQ1076" s="3" t="s">
        <v>58</v>
      </c>
      <c r="AS1076" s="6" t="str">
        <f>HYPERLINK("https://creighton-primo.hosted.exlibrisgroup.com/primo-explore/search?tab=default_tab&amp;search_scope=EVERYTHING&amp;vid=01CRU&amp;lang=en_US&amp;offset=0&amp;query=any,contains,991000969789702656","Catalog Record")</f>
        <v>Catalog Record</v>
      </c>
      <c r="AT1076" s="6" t="str">
        <f>HYPERLINK("http://www.worldcat.org/oclc/14932984","WorldCat Record")</f>
        <v>WorldCat Record</v>
      </c>
      <c r="AU1076" s="3" t="s">
        <v>13906</v>
      </c>
      <c r="AV1076" s="3" t="s">
        <v>13907</v>
      </c>
      <c r="AW1076" s="3" t="s">
        <v>13908</v>
      </c>
      <c r="AX1076" s="3" t="s">
        <v>13908</v>
      </c>
      <c r="AY1076" s="3" t="s">
        <v>13909</v>
      </c>
      <c r="AZ1076" s="3" t="s">
        <v>74</v>
      </c>
      <c r="BB1076" s="3" t="s">
        <v>13910</v>
      </c>
      <c r="BC1076" s="3" t="s">
        <v>13911</v>
      </c>
      <c r="BD1076" s="3" t="s">
        <v>13912</v>
      </c>
    </row>
    <row r="1077" spans="1:56" ht="42.75" customHeight="1" x14ac:dyDescent="0.25">
      <c r="A1077" s="7" t="s">
        <v>58</v>
      </c>
      <c r="B1077" s="2" t="s">
        <v>13913</v>
      </c>
      <c r="C1077" s="2" t="s">
        <v>13914</v>
      </c>
      <c r="D1077" s="2" t="s">
        <v>13915</v>
      </c>
      <c r="F1077" s="3" t="s">
        <v>58</v>
      </c>
      <c r="G1077" s="3" t="s">
        <v>59</v>
      </c>
      <c r="H1077" s="3" t="s">
        <v>58</v>
      </c>
      <c r="I1077" s="3" t="s">
        <v>58</v>
      </c>
      <c r="J1077" s="3" t="s">
        <v>60</v>
      </c>
      <c r="K1077" s="2" t="s">
        <v>13916</v>
      </c>
      <c r="L1077" s="2" t="s">
        <v>13917</v>
      </c>
      <c r="M1077" s="3" t="s">
        <v>534</v>
      </c>
      <c r="O1077" s="3" t="s">
        <v>64</v>
      </c>
      <c r="P1077" s="3" t="s">
        <v>99</v>
      </c>
      <c r="R1077" s="3" t="s">
        <v>67</v>
      </c>
      <c r="S1077" s="4">
        <v>36</v>
      </c>
      <c r="T1077" s="4">
        <v>36</v>
      </c>
      <c r="U1077" s="5" t="s">
        <v>13918</v>
      </c>
      <c r="V1077" s="5" t="s">
        <v>13918</v>
      </c>
      <c r="W1077" s="5" t="s">
        <v>5780</v>
      </c>
      <c r="X1077" s="5" t="s">
        <v>5780</v>
      </c>
      <c r="Y1077" s="4">
        <v>690</v>
      </c>
      <c r="Z1077" s="4">
        <v>593</v>
      </c>
      <c r="AA1077" s="4">
        <v>594</v>
      </c>
      <c r="AB1077" s="4">
        <v>5</v>
      </c>
      <c r="AC1077" s="4">
        <v>5</v>
      </c>
      <c r="AD1077" s="4">
        <v>30</v>
      </c>
      <c r="AE1077" s="4">
        <v>30</v>
      </c>
      <c r="AF1077" s="4">
        <v>10</v>
      </c>
      <c r="AG1077" s="4">
        <v>10</v>
      </c>
      <c r="AH1077" s="4">
        <v>7</v>
      </c>
      <c r="AI1077" s="4">
        <v>7</v>
      </c>
      <c r="AJ1077" s="4">
        <v>20</v>
      </c>
      <c r="AK1077" s="4">
        <v>20</v>
      </c>
      <c r="AL1077" s="4">
        <v>4</v>
      </c>
      <c r="AM1077" s="4">
        <v>4</v>
      </c>
      <c r="AN1077" s="4">
        <v>0</v>
      </c>
      <c r="AO1077" s="4">
        <v>0</v>
      </c>
      <c r="AP1077" s="3" t="s">
        <v>58</v>
      </c>
      <c r="AQ1077" s="3" t="s">
        <v>58</v>
      </c>
      <c r="AS1077" s="6" t="str">
        <f>HYPERLINK("https://creighton-primo.hosted.exlibrisgroup.com/primo-explore/search?tab=default_tab&amp;search_scope=EVERYTHING&amp;vid=01CRU&amp;lang=en_US&amp;offset=0&amp;query=any,contains,991001580889702656","Catalog Record")</f>
        <v>Catalog Record</v>
      </c>
      <c r="AT1077" s="6" t="str">
        <f>HYPERLINK("http://www.worldcat.org/oclc/20489869","WorldCat Record")</f>
        <v>WorldCat Record</v>
      </c>
      <c r="AU1077" s="3" t="s">
        <v>13919</v>
      </c>
      <c r="AV1077" s="3" t="s">
        <v>13920</v>
      </c>
      <c r="AW1077" s="3" t="s">
        <v>13921</v>
      </c>
      <c r="AX1077" s="3" t="s">
        <v>13921</v>
      </c>
      <c r="AY1077" s="3" t="s">
        <v>13922</v>
      </c>
      <c r="AZ1077" s="3" t="s">
        <v>74</v>
      </c>
      <c r="BB1077" s="3" t="s">
        <v>13923</v>
      </c>
      <c r="BC1077" s="3" t="s">
        <v>13924</v>
      </c>
      <c r="BD1077" s="3" t="s">
        <v>13925</v>
      </c>
    </row>
    <row r="1078" spans="1:56" ht="42.75" customHeight="1" x14ac:dyDescent="0.25">
      <c r="A1078" s="7" t="s">
        <v>58</v>
      </c>
      <c r="B1078" s="2" t="s">
        <v>13926</v>
      </c>
      <c r="C1078" s="2" t="s">
        <v>13927</v>
      </c>
      <c r="D1078" s="2" t="s">
        <v>13928</v>
      </c>
      <c r="F1078" s="3" t="s">
        <v>58</v>
      </c>
      <c r="G1078" s="3" t="s">
        <v>59</v>
      </c>
      <c r="H1078" s="3" t="s">
        <v>58</v>
      </c>
      <c r="I1078" s="3" t="s">
        <v>86</v>
      </c>
      <c r="J1078" s="3" t="s">
        <v>60</v>
      </c>
      <c r="K1078" s="2" t="s">
        <v>13929</v>
      </c>
      <c r="L1078" s="2" t="s">
        <v>13930</v>
      </c>
      <c r="M1078" s="3" t="s">
        <v>82</v>
      </c>
      <c r="N1078" s="2" t="s">
        <v>1736</v>
      </c>
      <c r="O1078" s="3" t="s">
        <v>64</v>
      </c>
      <c r="P1078" s="3" t="s">
        <v>115</v>
      </c>
      <c r="R1078" s="3" t="s">
        <v>67</v>
      </c>
      <c r="S1078" s="4">
        <v>21</v>
      </c>
      <c r="T1078" s="4">
        <v>21</v>
      </c>
      <c r="U1078" s="5" t="s">
        <v>13931</v>
      </c>
      <c r="V1078" s="5" t="s">
        <v>13931</v>
      </c>
      <c r="W1078" s="5" t="s">
        <v>6280</v>
      </c>
      <c r="X1078" s="5" t="s">
        <v>6280</v>
      </c>
      <c r="Y1078" s="4">
        <v>751</v>
      </c>
      <c r="Z1078" s="4">
        <v>718</v>
      </c>
      <c r="AA1078" s="4">
        <v>1308</v>
      </c>
      <c r="AB1078" s="4">
        <v>4</v>
      </c>
      <c r="AC1078" s="4">
        <v>6</v>
      </c>
      <c r="AD1078" s="4">
        <v>14</v>
      </c>
      <c r="AE1078" s="4">
        <v>22</v>
      </c>
      <c r="AF1078" s="4">
        <v>6</v>
      </c>
      <c r="AG1078" s="4">
        <v>9</v>
      </c>
      <c r="AH1078" s="4">
        <v>4</v>
      </c>
      <c r="AI1078" s="4">
        <v>6</v>
      </c>
      <c r="AJ1078" s="4">
        <v>6</v>
      </c>
      <c r="AK1078" s="4">
        <v>10</v>
      </c>
      <c r="AL1078" s="4">
        <v>1</v>
      </c>
      <c r="AM1078" s="4">
        <v>3</v>
      </c>
      <c r="AN1078" s="4">
        <v>0</v>
      </c>
      <c r="AO1078" s="4">
        <v>0</v>
      </c>
      <c r="AP1078" s="3" t="s">
        <v>58</v>
      </c>
      <c r="AQ1078" s="3" t="s">
        <v>86</v>
      </c>
      <c r="AR1078" s="6" t="str">
        <f>HYPERLINK("http://catalog.hathitrust.org/Record/000872145","HathiTrust Record")</f>
        <v>HathiTrust Record</v>
      </c>
      <c r="AS1078" s="6" t="str">
        <f>HYPERLINK("https://creighton-primo.hosted.exlibrisgroup.com/primo-explore/search?tab=default_tab&amp;search_scope=EVERYTHING&amp;vid=01CRU&amp;lang=en_US&amp;offset=0&amp;query=any,contains,991000988109702656","Catalog Record")</f>
        <v>Catalog Record</v>
      </c>
      <c r="AT1078" s="6" t="str">
        <f>HYPERLINK("http://www.worldcat.org/oclc/15084101","WorldCat Record")</f>
        <v>WorldCat Record</v>
      </c>
      <c r="AU1078" s="3" t="s">
        <v>13932</v>
      </c>
      <c r="AV1078" s="3" t="s">
        <v>13933</v>
      </c>
      <c r="AW1078" s="3" t="s">
        <v>13934</v>
      </c>
      <c r="AX1078" s="3" t="s">
        <v>13934</v>
      </c>
      <c r="AY1078" s="3" t="s">
        <v>13935</v>
      </c>
      <c r="AZ1078" s="3" t="s">
        <v>74</v>
      </c>
      <c r="BB1078" s="3" t="s">
        <v>13936</v>
      </c>
      <c r="BC1078" s="3" t="s">
        <v>13937</v>
      </c>
      <c r="BD1078" s="3" t="s">
        <v>13938</v>
      </c>
    </row>
    <row r="1079" spans="1:56" ht="42.75" customHeight="1" x14ac:dyDescent="0.25">
      <c r="A1079" s="7" t="s">
        <v>58</v>
      </c>
      <c r="B1079" s="2" t="s">
        <v>13939</v>
      </c>
      <c r="C1079" s="2" t="s">
        <v>13940</v>
      </c>
      <c r="D1079" s="2" t="s">
        <v>13928</v>
      </c>
      <c r="F1079" s="3" t="s">
        <v>58</v>
      </c>
      <c r="G1079" s="3" t="s">
        <v>59</v>
      </c>
      <c r="H1079" s="3" t="s">
        <v>58</v>
      </c>
      <c r="I1079" s="3" t="s">
        <v>86</v>
      </c>
      <c r="J1079" s="3" t="s">
        <v>60</v>
      </c>
      <c r="K1079" s="2" t="s">
        <v>13929</v>
      </c>
      <c r="L1079" s="2" t="s">
        <v>13941</v>
      </c>
      <c r="M1079" s="3" t="s">
        <v>98</v>
      </c>
      <c r="N1079" s="2" t="s">
        <v>13942</v>
      </c>
      <c r="O1079" s="3" t="s">
        <v>64</v>
      </c>
      <c r="P1079" s="3" t="s">
        <v>115</v>
      </c>
      <c r="R1079" s="3" t="s">
        <v>67</v>
      </c>
      <c r="S1079" s="4">
        <v>43</v>
      </c>
      <c r="T1079" s="4">
        <v>43</v>
      </c>
      <c r="U1079" s="5" t="s">
        <v>13943</v>
      </c>
      <c r="V1079" s="5" t="s">
        <v>13943</v>
      </c>
      <c r="W1079" s="5" t="s">
        <v>13944</v>
      </c>
      <c r="X1079" s="5" t="s">
        <v>13944</v>
      </c>
      <c r="Y1079" s="4">
        <v>123</v>
      </c>
      <c r="Z1079" s="4">
        <v>119</v>
      </c>
      <c r="AA1079" s="4">
        <v>1308</v>
      </c>
      <c r="AB1079" s="4">
        <v>2</v>
      </c>
      <c r="AC1079" s="4">
        <v>6</v>
      </c>
      <c r="AD1079" s="4">
        <v>5</v>
      </c>
      <c r="AE1079" s="4">
        <v>22</v>
      </c>
      <c r="AF1079" s="4">
        <v>1</v>
      </c>
      <c r="AG1079" s="4">
        <v>9</v>
      </c>
      <c r="AH1079" s="4">
        <v>1</v>
      </c>
      <c r="AI1079" s="4">
        <v>6</v>
      </c>
      <c r="AJ1079" s="4">
        <v>3</v>
      </c>
      <c r="AK1079" s="4">
        <v>10</v>
      </c>
      <c r="AL1079" s="4">
        <v>1</v>
      </c>
      <c r="AM1079" s="4">
        <v>3</v>
      </c>
      <c r="AN1079" s="4">
        <v>0</v>
      </c>
      <c r="AO1079" s="4">
        <v>0</v>
      </c>
      <c r="AP1079" s="3" t="s">
        <v>58</v>
      </c>
      <c r="AQ1079" s="3" t="s">
        <v>58</v>
      </c>
      <c r="AS1079" s="6" t="str">
        <f>HYPERLINK("https://creighton-primo.hosted.exlibrisgroup.com/primo-explore/search?tab=default_tab&amp;search_scope=EVERYTHING&amp;vid=01CRU&amp;lang=en_US&amp;offset=0&amp;query=any,contains,991001363339702656","Catalog Record")</f>
        <v>Catalog Record</v>
      </c>
      <c r="AT1079" s="6" t="str">
        <f>HYPERLINK("http://www.worldcat.org/oclc/18538951","WorldCat Record")</f>
        <v>WorldCat Record</v>
      </c>
      <c r="AU1079" s="3" t="s">
        <v>13932</v>
      </c>
      <c r="AV1079" s="3" t="s">
        <v>13945</v>
      </c>
      <c r="AW1079" s="3" t="s">
        <v>13946</v>
      </c>
      <c r="AX1079" s="3" t="s">
        <v>13946</v>
      </c>
      <c r="AY1079" s="3" t="s">
        <v>13947</v>
      </c>
      <c r="AZ1079" s="3" t="s">
        <v>74</v>
      </c>
      <c r="BB1079" s="3" t="s">
        <v>13948</v>
      </c>
      <c r="BC1079" s="3" t="s">
        <v>13949</v>
      </c>
      <c r="BD1079" s="3" t="s">
        <v>13950</v>
      </c>
    </row>
    <row r="1080" spans="1:56" ht="42.75" customHeight="1" x14ac:dyDescent="0.25">
      <c r="A1080" s="7" t="s">
        <v>58</v>
      </c>
      <c r="B1080" s="2" t="s">
        <v>13951</v>
      </c>
      <c r="C1080" s="2" t="s">
        <v>13952</v>
      </c>
      <c r="D1080" s="2" t="s">
        <v>13953</v>
      </c>
      <c r="F1080" s="3" t="s">
        <v>58</v>
      </c>
      <c r="G1080" s="3" t="s">
        <v>59</v>
      </c>
      <c r="H1080" s="3" t="s">
        <v>58</v>
      </c>
      <c r="I1080" s="3" t="s">
        <v>58</v>
      </c>
      <c r="J1080" s="3" t="s">
        <v>60</v>
      </c>
      <c r="L1080" s="2" t="s">
        <v>9084</v>
      </c>
      <c r="M1080" s="3" t="s">
        <v>695</v>
      </c>
      <c r="O1080" s="3" t="s">
        <v>64</v>
      </c>
      <c r="P1080" s="3" t="s">
        <v>115</v>
      </c>
      <c r="Q1080" s="2" t="s">
        <v>13954</v>
      </c>
      <c r="R1080" s="3" t="s">
        <v>67</v>
      </c>
      <c r="S1080" s="4">
        <v>22</v>
      </c>
      <c r="T1080" s="4">
        <v>22</v>
      </c>
      <c r="U1080" s="5" t="s">
        <v>13811</v>
      </c>
      <c r="V1080" s="5" t="s">
        <v>13811</v>
      </c>
      <c r="W1080" s="5" t="s">
        <v>13955</v>
      </c>
      <c r="X1080" s="5" t="s">
        <v>13955</v>
      </c>
      <c r="Y1080" s="4">
        <v>284</v>
      </c>
      <c r="Z1080" s="4">
        <v>233</v>
      </c>
      <c r="AA1080" s="4">
        <v>233</v>
      </c>
      <c r="AB1080" s="4">
        <v>3</v>
      </c>
      <c r="AC1080" s="4">
        <v>3</v>
      </c>
      <c r="AD1080" s="4">
        <v>11</v>
      </c>
      <c r="AE1080" s="4">
        <v>11</v>
      </c>
      <c r="AF1080" s="4">
        <v>4</v>
      </c>
      <c r="AG1080" s="4">
        <v>4</v>
      </c>
      <c r="AH1080" s="4">
        <v>2</v>
      </c>
      <c r="AI1080" s="4">
        <v>2</v>
      </c>
      <c r="AJ1080" s="4">
        <v>5</v>
      </c>
      <c r="AK1080" s="4">
        <v>5</v>
      </c>
      <c r="AL1080" s="4">
        <v>2</v>
      </c>
      <c r="AM1080" s="4">
        <v>2</v>
      </c>
      <c r="AN1080" s="4">
        <v>0</v>
      </c>
      <c r="AO1080" s="4">
        <v>0</v>
      </c>
      <c r="AP1080" s="3" t="s">
        <v>58</v>
      </c>
      <c r="AQ1080" s="3" t="s">
        <v>58</v>
      </c>
      <c r="AS1080" s="6" t="str">
        <f>HYPERLINK("https://creighton-primo.hosted.exlibrisgroup.com/primo-explore/search?tab=default_tab&amp;search_scope=EVERYTHING&amp;vid=01CRU&amp;lang=en_US&amp;offset=0&amp;query=any,contains,991002087159702656","Catalog Record")</f>
        <v>Catalog Record</v>
      </c>
      <c r="AT1080" s="6" t="str">
        <f>HYPERLINK("http://www.worldcat.org/oclc/26769090","WorldCat Record")</f>
        <v>WorldCat Record</v>
      </c>
      <c r="AU1080" s="3" t="s">
        <v>13956</v>
      </c>
      <c r="AV1080" s="3" t="s">
        <v>13957</v>
      </c>
      <c r="AW1080" s="3" t="s">
        <v>13958</v>
      </c>
      <c r="AX1080" s="3" t="s">
        <v>13958</v>
      </c>
      <c r="AY1080" s="3" t="s">
        <v>13959</v>
      </c>
      <c r="AZ1080" s="3" t="s">
        <v>74</v>
      </c>
      <c r="BB1080" s="3" t="s">
        <v>13960</v>
      </c>
      <c r="BC1080" s="3" t="s">
        <v>13961</v>
      </c>
      <c r="BD1080" s="3" t="s">
        <v>13962</v>
      </c>
    </row>
    <row r="1081" spans="1:56" ht="42.75" customHeight="1" x14ac:dyDescent="0.25">
      <c r="A1081" s="7" t="s">
        <v>58</v>
      </c>
      <c r="B1081" s="2" t="s">
        <v>13963</v>
      </c>
      <c r="C1081" s="2" t="s">
        <v>13964</v>
      </c>
      <c r="D1081" s="2" t="s">
        <v>13965</v>
      </c>
      <c r="F1081" s="3" t="s">
        <v>58</v>
      </c>
      <c r="G1081" s="3" t="s">
        <v>59</v>
      </c>
      <c r="H1081" s="3" t="s">
        <v>58</v>
      </c>
      <c r="I1081" s="3" t="s">
        <v>58</v>
      </c>
      <c r="J1081" s="3" t="s">
        <v>60</v>
      </c>
      <c r="K1081" s="2" t="s">
        <v>13966</v>
      </c>
      <c r="L1081" s="2" t="s">
        <v>13967</v>
      </c>
      <c r="M1081" s="3" t="s">
        <v>192</v>
      </c>
      <c r="N1081" s="2" t="s">
        <v>1736</v>
      </c>
      <c r="O1081" s="3" t="s">
        <v>64</v>
      </c>
      <c r="P1081" s="3" t="s">
        <v>145</v>
      </c>
      <c r="R1081" s="3" t="s">
        <v>67</v>
      </c>
      <c r="S1081" s="4">
        <v>7</v>
      </c>
      <c r="T1081" s="4">
        <v>7</v>
      </c>
      <c r="U1081" s="5" t="s">
        <v>13968</v>
      </c>
      <c r="V1081" s="5" t="s">
        <v>13968</v>
      </c>
      <c r="W1081" s="5" t="s">
        <v>13396</v>
      </c>
      <c r="X1081" s="5" t="s">
        <v>13396</v>
      </c>
      <c r="Y1081" s="4">
        <v>325</v>
      </c>
      <c r="Z1081" s="4">
        <v>255</v>
      </c>
      <c r="AA1081" s="4">
        <v>335</v>
      </c>
      <c r="AB1081" s="4">
        <v>3</v>
      </c>
      <c r="AC1081" s="4">
        <v>3</v>
      </c>
      <c r="AD1081" s="4">
        <v>14</v>
      </c>
      <c r="AE1081" s="4">
        <v>19</v>
      </c>
      <c r="AF1081" s="4">
        <v>4</v>
      </c>
      <c r="AG1081" s="4">
        <v>7</v>
      </c>
      <c r="AH1081" s="4">
        <v>1</v>
      </c>
      <c r="AI1081" s="4">
        <v>1</v>
      </c>
      <c r="AJ1081" s="4">
        <v>8</v>
      </c>
      <c r="AK1081" s="4">
        <v>11</v>
      </c>
      <c r="AL1081" s="4">
        <v>2</v>
      </c>
      <c r="AM1081" s="4">
        <v>2</v>
      </c>
      <c r="AN1081" s="4">
        <v>0</v>
      </c>
      <c r="AO1081" s="4">
        <v>0</v>
      </c>
      <c r="AP1081" s="3" t="s">
        <v>58</v>
      </c>
      <c r="AQ1081" s="3" t="s">
        <v>86</v>
      </c>
      <c r="AR1081" s="6" t="str">
        <f>HYPERLINK("http://catalog.hathitrust.org/Record/005111811","HathiTrust Record")</f>
        <v>HathiTrust Record</v>
      </c>
      <c r="AS1081" s="6" t="str">
        <f>HYPERLINK("https://creighton-primo.hosted.exlibrisgroup.com/primo-explore/search?tab=default_tab&amp;search_scope=EVERYTHING&amp;vid=01CRU&amp;lang=en_US&amp;offset=0&amp;query=any,contains,991004759419702656","Catalog Record")</f>
        <v>Catalog Record</v>
      </c>
      <c r="AT1081" s="6" t="str">
        <f>HYPERLINK("http://www.worldcat.org/oclc/58789011","WorldCat Record")</f>
        <v>WorldCat Record</v>
      </c>
      <c r="AU1081" s="3" t="s">
        <v>13969</v>
      </c>
      <c r="AV1081" s="3" t="s">
        <v>13970</v>
      </c>
      <c r="AW1081" s="3" t="s">
        <v>13971</v>
      </c>
      <c r="AX1081" s="3" t="s">
        <v>13971</v>
      </c>
      <c r="AY1081" s="3" t="s">
        <v>13972</v>
      </c>
      <c r="AZ1081" s="3" t="s">
        <v>74</v>
      </c>
      <c r="BB1081" s="3" t="s">
        <v>13973</v>
      </c>
      <c r="BC1081" s="3" t="s">
        <v>13974</v>
      </c>
      <c r="BD1081" s="3" t="s">
        <v>13975</v>
      </c>
    </row>
    <row r="1082" spans="1:56" ht="42.75" customHeight="1" x14ac:dyDescent="0.25">
      <c r="A1082" s="7" t="s">
        <v>58</v>
      </c>
      <c r="B1082" s="2" t="s">
        <v>13976</v>
      </c>
      <c r="C1082" s="2" t="s">
        <v>13977</v>
      </c>
      <c r="D1082" s="2" t="s">
        <v>13978</v>
      </c>
      <c r="F1082" s="3" t="s">
        <v>58</v>
      </c>
      <c r="G1082" s="3" t="s">
        <v>59</v>
      </c>
      <c r="H1082" s="3" t="s">
        <v>58</v>
      </c>
      <c r="I1082" s="3" t="s">
        <v>58</v>
      </c>
      <c r="J1082" s="3" t="s">
        <v>60</v>
      </c>
      <c r="L1082" s="2" t="s">
        <v>13979</v>
      </c>
      <c r="M1082" s="3" t="s">
        <v>82</v>
      </c>
      <c r="O1082" s="3" t="s">
        <v>64</v>
      </c>
      <c r="P1082" s="3" t="s">
        <v>115</v>
      </c>
      <c r="Q1082" s="2" t="s">
        <v>13980</v>
      </c>
      <c r="R1082" s="3" t="s">
        <v>67</v>
      </c>
      <c r="S1082" s="4">
        <v>26</v>
      </c>
      <c r="T1082" s="4">
        <v>26</v>
      </c>
      <c r="U1082" s="5" t="s">
        <v>13981</v>
      </c>
      <c r="V1082" s="5" t="s">
        <v>13981</v>
      </c>
      <c r="W1082" s="5" t="s">
        <v>3457</v>
      </c>
      <c r="X1082" s="5" t="s">
        <v>3457</v>
      </c>
      <c r="Y1082" s="4">
        <v>216</v>
      </c>
      <c r="Z1082" s="4">
        <v>166</v>
      </c>
      <c r="AA1082" s="4">
        <v>167</v>
      </c>
      <c r="AB1082" s="4">
        <v>1</v>
      </c>
      <c r="AC1082" s="4">
        <v>1</v>
      </c>
      <c r="AD1082" s="4">
        <v>6</v>
      </c>
      <c r="AE1082" s="4">
        <v>6</v>
      </c>
      <c r="AF1082" s="4">
        <v>3</v>
      </c>
      <c r="AG1082" s="4">
        <v>3</v>
      </c>
      <c r="AH1082" s="4">
        <v>0</v>
      </c>
      <c r="AI1082" s="4">
        <v>0</v>
      </c>
      <c r="AJ1082" s="4">
        <v>5</v>
      </c>
      <c r="AK1082" s="4">
        <v>5</v>
      </c>
      <c r="AL1082" s="4">
        <v>0</v>
      </c>
      <c r="AM1082" s="4">
        <v>0</v>
      </c>
      <c r="AN1082" s="4">
        <v>0</v>
      </c>
      <c r="AO1082" s="4">
        <v>0</v>
      </c>
      <c r="AP1082" s="3" t="s">
        <v>58</v>
      </c>
      <c r="AQ1082" s="3" t="s">
        <v>86</v>
      </c>
      <c r="AR1082" s="6" t="str">
        <f>HYPERLINK("http://catalog.hathitrust.org/Record/000832612","HathiTrust Record")</f>
        <v>HathiTrust Record</v>
      </c>
      <c r="AS1082" s="6" t="str">
        <f>HYPERLINK("https://creighton-primo.hosted.exlibrisgroup.com/primo-explore/search?tab=default_tab&amp;search_scope=EVERYTHING&amp;vid=01CRU&amp;lang=en_US&amp;offset=0&amp;query=any,contains,991001000729702656","Catalog Record")</f>
        <v>Catalog Record</v>
      </c>
      <c r="AT1082" s="6" t="str">
        <f>HYPERLINK("http://www.worldcat.org/oclc/15198196","WorldCat Record")</f>
        <v>WorldCat Record</v>
      </c>
      <c r="AU1082" s="3" t="s">
        <v>13982</v>
      </c>
      <c r="AV1082" s="3" t="s">
        <v>13983</v>
      </c>
      <c r="AW1082" s="3" t="s">
        <v>13984</v>
      </c>
      <c r="AX1082" s="3" t="s">
        <v>13984</v>
      </c>
      <c r="AY1082" s="3" t="s">
        <v>13985</v>
      </c>
      <c r="AZ1082" s="3" t="s">
        <v>74</v>
      </c>
      <c r="BB1082" s="3" t="s">
        <v>13986</v>
      </c>
      <c r="BC1082" s="3" t="s">
        <v>13987</v>
      </c>
      <c r="BD1082" s="3" t="s">
        <v>13988</v>
      </c>
    </row>
    <row r="1083" spans="1:56" ht="42.75" customHeight="1" x14ac:dyDescent="0.25">
      <c r="A1083" s="7" t="s">
        <v>58</v>
      </c>
      <c r="B1083" s="2" t="s">
        <v>13989</v>
      </c>
      <c r="C1083" s="2" t="s">
        <v>13990</v>
      </c>
      <c r="D1083" s="2" t="s">
        <v>13991</v>
      </c>
      <c r="F1083" s="3" t="s">
        <v>58</v>
      </c>
      <c r="G1083" s="3" t="s">
        <v>59</v>
      </c>
      <c r="H1083" s="3" t="s">
        <v>58</v>
      </c>
      <c r="I1083" s="3" t="s">
        <v>58</v>
      </c>
      <c r="J1083" s="3" t="s">
        <v>60</v>
      </c>
      <c r="L1083" s="2" t="s">
        <v>5816</v>
      </c>
      <c r="M1083" s="3" t="s">
        <v>238</v>
      </c>
      <c r="O1083" s="3" t="s">
        <v>64</v>
      </c>
      <c r="P1083" s="3" t="s">
        <v>115</v>
      </c>
      <c r="Q1083" s="2" t="s">
        <v>6057</v>
      </c>
      <c r="R1083" s="3" t="s">
        <v>67</v>
      </c>
      <c r="S1083" s="4">
        <v>12</v>
      </c>
      <c r="T1083" s="4">
        <v>12</v>
      </c>
      <c r="U1083" s="5" t="s">
        <v>5328</v>
      </c>
      <c r="V1083" s="5" t="s">
        <v>5328</v>
      </c>
      <c r="W1083" s="5" t="s">
        <v>6280</v>
      </c>
      <c r="X1083" s="5" t="s">
        <v>6280</v>
      </c>
      <c r="Y1083" s="4">
        <v>437</v>
      </c>
      <c r="Z1083" s="4">
        <v>317</v>
      </c>
      <c r="AA1083" s="4">
        <v>319</v>
      </c>
      <c r="AB1083" s="4">
        <v>1</v>
      </c>
      <c r="AC1083" s="4">
        <v>1</v>
      </c>
      <c r="AD1083" s="4">
        <v>13</v>
      </c>
      <c r="AE1083" s="4">
        <v>13</v>
      </c>
      <c r="AF1083" s="4">
        <v>3</v>
      </c>
      <c r="AG1083" s="4">
        <v>3</v>
      </c>
      <c r="AH1083" s="4">
        <v>5</v>
      </c>
      <c r="AI1083" s="4">
        <v>5</v>
      </c>
      <c r="AJ1083" s="4">
        <v>9</v>
      </c>
      <c r="AK1083" s="4">
        <v>9</v>
      </c>
      <c r="AL1083" s="4">
        <v>0</v>
      </c>
      <c r="AM1083" s="4">
        <v>0</v>
      </c>
      <c r="AN1083" s="4">
        <v>0</v>
      </c>
      <c r="AO1083" s="4">
        <v>0</v>
      </c>
      <c r="AP1083" s="3" t="s">
        <v>58</v>
      </c>
      <c r="AQ1083" s="3" t="s">
        <v>86</v>
      </c>
      <c r="AR1083" s="6" t="str">
        <f>HYPERLINK("http://catalog.hathitrust.org/Record/000031413","HathiTrust Record")</f>
        <v>HathiTrust Record</v>
      </c>
      <c r="AS1083" s="6" t="str">
        <f>HYPERLINK("https://creighton-primo.hosted.exlibrisgroup.com/primo-explore/search?tab=default_tab&amp;search_scope=EVERYTHING&amp;vid=01CRU&amp;lang=en_US&amp;offset=0&amp;query=any,contains,991004830609702656","Catalog Record")</f>
        <v>Catalog Record</v>
      </c>
      <c r="AT1083" s="6" t="str">
        <f>HYPERLINK("http://www.worldcat.org/oclc/5410398","WorldCat Record")</f>
        <v>WorldCat Record</v>
      </c>
      <c r="AU1083" s="3" t="s">
        <v>13992</v>
      </c>
      <c r="AV1083" s="3" t="s">
        <v>13993</v>
      </c>
      <c r="AW1083" s="3" t="s">
        <v>13994</v>
      </c>
      <c r="AX1083" s="3" t="s">
        <v>13994</v>
      </c>
      <c r="AY1083" s="3" t="s">
        <v>13995</v>
      </c>
      <c r="AZ1083" s="3" t="s">
        <v>74</v>
      </c>
      <c r="BB1083" s="3" t="s">
        <v>13996</v>
      </c>
      <c r="BC1083" s="3" t="s">
        <v>13997</v>
      </c>
      <c r="BD1083" s="3" t="s">
        <v>13998</v>
      </c>
    </row>
    <row r="1084" spans="1:56" ht="42.75" customHeight="1" x14ac:dyDescent="0.25">
      <c r="A1084" s="7" t="s">
        <v>58</v>
      </c>
      <c r="B1084" s="2" t="s">
        <v>13999</v>
      </c>
      <c r="C1084" s="2" t="s">
        <v>14000</v>
      </c>
      <c r="D1084" s="2" t="s">
        <v>14001</v>
      </c>
      <c r="F1084" s="3" t="s">
        <v>58</v>
      </c>
      <c r="G1084" s="3" t="s">
        <v>59</v>
      </c>
      <c r="H1084" s="3" t="s">
        <v>58</v>
      </c>
      <c r="I1084" s="3" t="s">
        <v>58</v>
      </c>
      <c r="J1084" s="3" t="s">
        <v>60</v>
      </c>
      <c r="L1084" s="2" t="s">
        <v>14002</v>
      </c>
      <c r="M1084" s="3" t="s">
        <v>2386</v>
      </c>
      <c r="O1084" s="3" t="s">
        <v>64</v>
      </c>
      <c r="P1084" s="3" t="s">
        <v>115</v>
      </c>
      <c r="Q1084" s="2" t="s">
        <v>14003</v>
      </c>
      <c r="R1084" s="3" t="s">
        <v>67</v>
      </c>
      <c r="S1084" s="4">
        <v>19</v>
      </c>
      <c r="T1084" s="4">
        <v>19</v>
      </c>
      <c r="U1084" s="5" t="s">
        <v>14004</v>
      </c>
      <c r="V1084" s="5" t="s">
        <v>14004</v>
      </c>
      <c r="W1084" s="5" t="s">
        <v>401</v>
      </c>
      <c r="X1084" s="5" t="s">
        <v>401</v>
      </c>
      <c r="Y1084" s="4">
        <v>376</v>
      </c>
      <c r="Z1084" s="4">
        <v>283</v>
      </c>
      <c r="AA1084" s="4">
        <v>287</v>
      </c>
      <c r="AB1084" s="4">
        <v>2</v>
      </c>
      <c r="AC1084" s="4">
        <v>2</v>
      </c>
      <c r="AD1084" s="4">
        <v>14</v>
      </c>
      <c r="AE1084" s="4">
        <v>14</v>
      </c>
      <c r="AF1084" s="4">
        <v>2</v>
      </c>
      <c r="AG1084" s="4">
        <v>2</v>
      </c>
      <c r="AH1084" s="4">
        <v>3</v>
      </c>
      <c r="AI1084" s="4">
        <v>3</v>
      </c>
      <c r="AJ1084" s="4">
        <v>10</v>
      </c>
      <c r="AK1084" s="4">
        <v>10</v>
      </c>
      <c r="AL1084" s="4">
        <v>1</v>
      </c>
      <c r="AM1084" s="4">
        <v>1</v>
      </c>
      <c r="AN1084" s="4">
        <v>0</v>
      </c>
      <c r="AO1084" s="4">
        <v>0</v>
      </c>
      <c r="AP1084" s="3" t="s">
        <v>58</v>
      </c>
      <c r="AQ1084" s="3" t="s">
        <v>86</v>
      </c>
      <c r="AR1084" s="6" t="str">
        <f>HYPERLINK("http://catalog.hathitrust.org/Record/000011961","HathiTrust Record")</f>
        <v>HathiTrust Record</v>
      </c>
      <c r="AS1084" s="6" t="str">
        <f>HYPERLINK("https://creighton-primo.hosted.exlibrisgroup.com/primo-explore/search?tab=default_tab&amp;search_scope=EVERYTHING&amp;vid=01CRU&amp;lang=en_US&amp;offset=0&amp;query=any,contains,991003278599702656","Catalog Record")</f>
        <v>Catalog Record</v>
      </c>
      <c r="AT1084" s="6" t="str">
        <f>HYPERLINK("http://www.worldcat.org/oclc/801667","WorldCat Record")</f>
        <v>WorldCat Record</v>
      </c>
      <c r="AU1084" s="3" t="s">
        <v>14005</v>
      </c>
      <c r="AV1084" s="3" t="s">
        <v>14006</v>
      </c>
      <c r="AW1084" s="3" t="s">
        <v>14007</v>
      </c>
      <c r="AX1084" s="3" t="s">
        <v>14007</v>
      </c>
      <c r="AY1084" s="3" t="s">
        <v>14008</v>
      </c>
      <c r="AZ1084" s="3" t="s">
        <v>74</v>
      </c>
      <c r="BB1084" s="3" t="s">
        <v>14009</v>
      </c>
      <c r="BC1084" s="3" t="s">
        <v>14010</v>
      </c>
      <c r="BD1084" s="3" t="s">
        <v>14011</v>
      </c>
    </row>
    <row r="1085" spans="1:56" ht="42.75" customHeight="1" x14ac:dyDescent="0.25">
      <c r="A1085" s="7" t="s">
        <v>58</v>
      </c>
      <c r="B1085" s="2" t="s">
        <v>14012</v>
      </c>
      <c r="C1085" s="2" t="s">
        <v>14013</v>
      </c>
      <c r="D1085" s="2" t="s">
        <v>14014</v>
      </c>
      <c r="F1085" s="3" t="s">
        <v>58</v>
      </c>
      <c r="G1085" s="3" t="s">
        <v>59</v>
      </c>
      <c r="H1085" s="3" t="s">
        <v>86</v>
      </c>
      <c r="I1085" s="3" t="s">
        <v>58</v>
      </c>
      <c r="J1085" s="3" t="s">
        <v>60</v>
      </c>
      <c r="L1085" s="2" t="s">
        <v>14015</v>
      </c>
      <c r="M1085" s="3" t="s">
        <v>737</v>
      </c>
      <c r="O1085" s="3" t="s">
        <v>64</v>
      </c>
      <c r="P1085" s="3" t="s">
        <v>65</v>
      </c>
      <c r="Q1085" s="2" t="s">
        <v>14016</v>
      </c>
      <c r="R1085" s="3" t="s">
        <v>67</v>
      </c>
      <c r="S1085" s="4">
        <v>17</v>
      </c>
      <c r="T1085" s="4">
        <v>28</v>
      </c>
      <c r="U1085" s="5" t="s">
        <v>7785</v>
      </c>
      <c r="V1085" s="5" t="s">
        <v>7785</v>
      </c>
      <c r="W1085" s="5" t="s">
        <v>3772</v>
      </c>
      <c r="X1085" s="5" t="s">
        <v>3772</v>
      </c>
      <c r="Y1085" s="4">
        <v>189</v>
      </c>
      <c r="Z1085" s="4">
        <v>137</v>
      </c>
      <c r="AA1085" s="4">
        <v>144</v>
      </c>
      <c r="AB1085" s="4">
        <v>2</v>
      </c>
      <c r="AC1085" s="4">
        <v>2</v>
      </c>
      <c r="AD1085" s="4">
        <v>4</v>
      </c>
      <c r="AE1085" s="4">
        <v>4</v>
      </c>
      <c r="AF1085" s="4">
        <v>2</v>
      </c>
      <c r="AG1085" s="4">
        <v>2</v>
      </c>
      <c r="AH1085" s="4">
        <v>1</v>
      </c>
      <c r="AI1085" s="4">
        <v>1</v>
      </c>
      <c r="AJ1085" s="4">
        <v>2</v>
      </c>
      <c r="AK1085" s="4">
        <v>2</v>
      </c>
      <c r="AL1085" s="4">
        <v>0</v>
      </c>
      <c r="AM1085" s="4">
        <v>0</v>
      </c>
      <c r="AN1085" s="4">
        <v>0</v>
      </c>
      <c r="AO1085" s="4">
        <v>0</v>
      </c>
      <c r="AP1085" s="3" t="s">
        <v>58</v>
      </c>
      <c r="AQ1085" s="3" t="s">
        <v>86</v>
      </c>
      <c r="AR1085" s="6" t="str">
        <f>HYPERLINK("http://catalog.hathitrust.org/Record/002903601","HathiTrust Record")</f>
        <v>HathiTrust Record</v>
      </c>
      <c r="AS1085" s="6" t="str">
        <f>HYPERLINK("https://creighton-primo.hosted.exlibrisgroup.com/primo-explore/search?tab=default_tab&amp;search_scope=EVERYTHING&amp;vid=01CRU&amp;lang=en_US&amp;offset=0&amp;query=any,contains,991001798109702656","Catalog Record")</f>
        <v>Catalog Record</v>
      </c>
      <c r="AT1085" s="6" t="str">
        <f>HYPERLINK("http://www.worldcat.org/oclc/29358676","WorldCat Record")</f>
        <v>WorldCat Record</v>
      </c>
      <c r="AU1085" s="3" t="s">
        <v>14017</v>
      </c>
      <c r="AV1085" s="3" t="s">
        <v>14018</v>
      </c>
      <c r="AW1085" s="3" t="s">
        <v>14019</v>
      </c>
      <c r="AX1085" s="3" t="s">
        <v>14019</v>
      </c>
      <c r="AY1085" s="3" t="s">
        <v>14020</v>
      </c>
      <c r="AZ1085" s="3" t="s">
        <v>74</v>
      </c>
      <c r="BB1085" s="3" t="s">
        <v>14021</v>
      </c>
      <c r="BC1085" s="3" t="s">
        <v>14022</v>
      </c>
      <c r="BD1085" s="3" t="s">
        <v>14023</v>
      </c>
    </row>
    <row r="1086" spans="1:56" ht="42.75" customHeight="1" x14ac:dyDescent="0.25">
      <c r="A1086" s="7" t="s">
        <v>58</v>
      </c>
      <c r="B1086" s="2" t="s">
        <v>14024</v>
      </c>
      <c r="C1086" s="2" t="s">
        <v>14025</v>
      </c>
      <c r="D1086" s="2" t="s">
        <v>14026</v>
      </c>
      <c r="F1086" s="3" t="s">
        <v>58</v>
      </c>
      <c r="G1086" s="3" t="s">
        <v>59</v>
      </c>
      <c r="H1086" s="3" t="s">
        <v>58</v>
      </c>
      <c r="I1086" s="3" t="s">
        <v>58</v>
      </c>
      <c r="J1086" s="3" t="s">
        <v>60</v>
      </c>
      <c r="K1086" s="2" t="s">
        <v>14027</v>
      </c>
      <c r="L1086" s="2" t="s">
        <v>14028</v>
      </c>
      <c r="M1086" s="3" t="s">
        <v>144</v>
      </c>
      <c r="N1086" s="2" t="s">
        <v>1736</v>
      </c>
      <c r="O1086" s="3" t="s">
        <v>64</v>
      </c>
      <c r="P1086" s="3" t="s">
        <v>115</v>
      </c>
      <c r="R1086" s="3" t="s">
        <v>67</v>
      </c>
      <c r="S1086" s="4">
        <v>11</v>
      </c>
      <c r="T1086" s="4">
        <v>11</v>
      </c>
      <c r="U1086" s="5" t="s">
        <v>14029</v>
      </c>
      <c r="V1086" s="5" t="s">
        <v>14029</v>
      </c>
      <c r="W1086" s="5" t="s">
        <v>14030</v>
      </c>
      <c r="X1086" s="5" t="s">
        <v>14030</v>
      </c>
      <c r="Y1086" s="4">
        <v>433</v>
      </c>
      <c r="Z1086" s="4">
        <v>393</v>
      </c>
      <c r="AA1086" s="4">
        <v>458</v>
      </c>
      <c r="AB1086" s="4">
        <v>2</v>
      </c>
      <c r="AC1086" s="4">
        <v>3</v>
      </c>
      <c r="AD1086" s="4">
        <v>2</v>
      </c>
      <c r="AE1086" s="4">
        <v>4</v>
      </c>
      <c r="AF1086" s="4">
        <v>2</v>
      </c>
      <c r="AG1086" s="4">
        <v>3</v>
      </c>
      <c r="AH1086" s="4">
        <v>0</v>
      </c>
      <c r="AI1086" s="4">
        <v>0</v>
      </c>
      <c r="AJ1086" s="4">
        <v>2</v>
      </c>
      <c r="AK1086" s="4">
        <v>3</v>
      </c>
      <c r="AL1086" s="4">
        <v>0</v>
      </c>
      <c r="AM1086" s="4">
        <v>1</v>
      </c>
      <c r="AN1086" s="4">
        <v>0</v>
      </c>
      <c r="AO1086" s="4">
        <v>0</v>
      </c>
      <c r="AP1086" s="3" t="s">
        <v>58</v>
      </c>
      <c r="AQ1086" s="3" t="s">
        <v>86</v>
      </c>
      <c r="AR1086" s="6" t="str">
        <f>HYPERLINK("http://catalog.hathitrust.org/Record/007050441","HathiTrust Record")</f>
        <v>HathiTrust Record</v>
      </c>
      <c r="AS1086" s="6" t="str">
        <f>HYPERLINK("https://creighton-primo.hosted.exlibrisgroup.com/primo-explore/search?tab=default_tab&amp;search_scope=EVERYTHING&amp;vid=01CRU&amp;lang=en_US&amp;offset=0&amp;query=any,contains,991002698499702656","Catalog Record")</f>
        <v>Catalog Record</v>
      </c>
      <c r="AT1086" s="6" t="str">
        <f>HYPERLINK("http://www.worldcat.org/oclc/35235094","WorldCat Record")</f>
        <v>WorldCat Record</v>
      </c>
      <c r="AU1086" s="3" t="s">
        <v>14031</v>
      </c>
      <c r="AV1086" s="3" t="s">
        <v>14032</v>
      </c>
      <c r="AW1086" s="3" t="s">
        <v>14033</v>
      </c>
      <c r="AX1086" s="3" t="s">
        <v>14033</v>
      </c>
      <c r="AY1086" s="3" t="s">
        <v>14034</v>
      </c>
      <c r="AZ1086" s="3" t="s">
        <v>74</v>
      </c>
      <c r="BB1086" s="3" t="s">
        <v>14035</v>
      </c>
      <c r="BC1086" s="3" t="s">
        <v>14036</v>
      </c>
      <c r="BD1086" s="3" t="s">
        <v>14037</v>
      </c>
    </row>
    <row r="1087" spans="1:56" ht="42.75" customHeight="1" x14ac:dyDescent="0.25">
      <c r="A1087" s="7" t="s">
        <v>58</v>
      </c>
      <c r="B1087" s="2" t="s">
        <v>14038</v>
      </c>
      <c r="C1087" s="2" t="s">
        <v>14039</v>
      </c>
      <c r="D1087" s="2" t="s">
        <v>14040</v>
      </c>
      <c r="F1087" s="3" t="s">
        <v>58</v>
      </c>
      <c r="G1087" s="3" t="s">
        <v>59</v>
      </c>
      <c r="H1087" s="3" t="s">
        <v>58</v>
      </c>
      <c r="I1087" s="3" t="s">
        <v>58</v>
      </c>
      <c r="J1087" s="3" t="s">
        <v>60</v>
      </c>
      <c r="K1087" s="2" t="s">
        <v>14041</v>
      </c>
      <c r="L1087" s="2" t="s">
        <v>14042</v>
      </c>
      <c r="M1087" s="3" t="s">
        <v>695</v>
      </c>
      <c r="N1087" s="2" t="s">
        <v>14043</v>
      </c>
      <c r="O1087" s="3" t="s">
        <v>64</v>
      </c>
      <c r="P1087" s="3" t="s">
        <v>115</v>
      </c>
      <c r="R1087" s="3" t="s">
        <v>67</v>
      </c>
      <c r="S1087" s="4">
        <v>16</v>
      </c>
      <c r="T1087" s="4">
        <v>16</v>
      </c>
      <c r="U1087" s="5" t="s">
        <v>14044</v>
      </c>
      <c r="V1087" s="5" t="s">
        <v>14044</v>
      </c>
      <c r="W1087" s="5" t="s">
        <v>14045</v>
      </c>
      <c r="X1087" s="5" t="s">
        <v>14045</v>
      </c>
      <c r="Y1087" s="4">
        <v>155</v>
      </c>
      <c r="Z1087" s="4">
        <v>137</v>
      </c>
      <c r="AA1087" s="4">
        <v>148</v>
      </c>
      <c r="AB1087" s="4">
        <v>1</v>
      </c>
      <c r="AC1087" s="4">
        <v>1</v>
      </c>
      <c r="AD1087" s="4">
        <v>2</v>
      </c>
      <c r="AE1087" s="4">
        <v>2</v>
      </c>
      <c r="AF1087" s="4">
        <v>1</v>
      </c>
      <c r="AG1087" s="4">
        <v>1</v>
      </c>
      <c r="AH1087" s="4">
        <v>1</v>
      </c>
      <c r="AI1087" s="4">
        <v>1</v>
      </c>
      <c r="AJ1087" s="4">
        <v>1</v>
      </c>
      <c r="AK1087" s="4">
        <v>1</v>
      </c>
      <c r="AL1087" s="4">
        <v>0</v>
      </c>
      <c r="AM1087" s="4">
        <v>0</v>
      </c>
      <c r="AN1087" s="4">
        <v>0</v>
      </c>
      <c r="AO1087" s="4">
        <v>0</v>
      </c>
      <c r="AP1087" s="3" t="s">
        <v>58</v>
      </c>
      <c r="AQ1087" s="3" t="s">
        <v>86</v>
      </c>
      <c r="AR1087" s="6" t="str">
        <f>HYPERLINK("http://catalog.hathitrust.org/Record/008580178","HathiTrust Record")</f>
        <v>HathiTrust Record</v>
      </c>
      <c r="AS1087" s="6" t="str">
        <f>HYPERLINK("https://creighton-primo.hosted.exlibrisgroup.com/primo-explore/search?tab=default_tab&amp;search_scope=EVERYTHING&amp;vid=01CRU&amp;lang=en_US&amp;offset=0&amp;query=any,contains,991002128559702656","Catalog Record")</f>
        <v>Catalog Record</v>
      </c>
      <c r="AT1087" s="6" t="str">
        <f>HYPERLINK("http://www.worldcat.org/oclc/27265851","WorldCat Record")</f>
        <v>WorldCat Record</v>
      </c>
      <c r="AU1087" s="3" t="s">
        <v>14046</v>
      </c>
      <c r="AV1087" s="3" t="s">
        <v>14047</v>
      </c>
      <c r="AW1087" s="3" t="s">
        <v>14048</v>
      </c>
      <c r="AX1087" s="3" t="s">
        <v>14048</v>
      </c>
      <c r="AY1087" s="3" t="s">
        <v>14049</v>
      </c>
      <c r="AZ1087" s="3" t="s">
        <v>74</v>
      </c>
      <c r="BB1087" s="3" t="s">
        <v>14050</v>
      </c>
      <c r="BC1087" s="3" t="s">
        <v>14051</v>
      </c>
      <c r="BD1087" s="3" t="s">
        <v>14052</v>
      </c>
    </row>
    <row r="1088" spans="1:56" ht="42.75" customHeight="1" x14ac:dyDescent="0.25">
      <c r="A1088" s="7" t="s">
        <v>58</v>
      </c>
      <c r="B1088" s="2" t="s">
        <v>14053</v>
      </c>
      <c r="C1088" s="2" t="s">
        <v>14054</v>
      </c>
      <c r="D1088" s="2" t="s">
        <v>14055</v>
      </c>
      <c r="F1088" s="3" t="s">
        <v>58</v>
      </c>
      <c r="G1088" s="3" t="s">
        <v>59</v>
      </c>
      <c r="H1088" s="3" t="s">
        <v>58</v>
      </c>
      <c r="I1088" s="3" t="s">
        <v>58</v>
      </c>
      <c r="J1088" s="3" t="s">
        <v>60</v>
      </c>
      <c r="K1088" s="2" t="s">
        <v>14056</v>
      </c>
      <c r="L1088" s="2" t="s">
        <v>14057</v>
      </c>
      <c r="M1088" s="3" t="s">
        <v>63</v>
      </c>
      <c r="O1088" s="3" t="s">
        <v>64</v>
      </c>
      <c r="P1088" s="3" t="s">
        <v>65</v>
      </c>
      <c r="R1088" s="3" t="s">
        <v>67</v>
      </c>
      <c r="S1088" s="4">
        <v>18</v>
      </c>
      <c r="T1088" s="4">
        <v>18</v>
      </c>
      <c r="U1088" s="5" t="s">
        <v>7785</v>
      </c>
      <c r="V1088" s="5" t="s">
        <v>7785</v>
      </c>
      <c r="W1088" s="5" t="s">
        <v>9683</v>
      </c>
      <c r="X1088" s="5" t="s">
        <v>9683</v>
      </c>
      <c r="Y1088" s="4">
        <v>233</v>
      </c>
      <c r="Z1088" s="4">
        <v>116</v>
      </c>
      <c r="AA1088" s="4">
        <v>976</v>
      </c>
      <c r="AB1088" s="4">
        <v>2</v>
      </c>
      <c r="AC1088" s="4">
        <v>29</v>
      </c>
      <c r="AD1088" s="4">
        <v>3</v>
      </c>
      <c r="AE1088" s="4">
        <v>38</v>
      </c>
      <c r="AF1088" s="4">
        <v>0</v>
      </c>
      <c r="AG1088" s="4">
        <v>10</v>
      </c>
      <c r="AH1088" s="4">
        <v>1</v>
      </c>
      <c r="AI1088" s="4">
        <v>8</v>
      </c>
      <c r="AJ1088" s="4">
        <v>1</v>
      </c>
      <c r="AK1088" s="4">
        <v>11</v>
      </c>
      <c r="AL1088" s="4">
        <v>1</v>
      </c>
      <c r="AM1088" s="4">
        <v>14</v>
      </c>
      <c r="AN1088" s="4">
        <v>0</v>
      </c>
      <c r="AO1088" s="4">
        <v>1</v>
      </c>
      <c r="AP1088" s="3" t="s">
        <v>58</v>
      </c>
      <c r="AQ1088" s="3" t="s">
        <v>58</v>
      </c>
      <c r="AS1088" s="6" t="str">
        <f>HYPERLINK("https://creighton-primo.hosted.exlibrisgroup.com/primo-explore/search?tab=default_tab&amp;search_scope=EVERYTHING&amp;vid=01CRU&amp;lang=en_US&amp;offset=0&amp;query=any,contains,991000244269702656","Catalog Record")</f>
        <v>Catalog Record</v>
      </c>
      <c r="AT1088" s="6" t="str">
        <f>HYPERLINK("http://www.worldcat.org/oclc/9687176","WorldCat Record")</f>
        <v>WorldCat Record</v>
      </c>
      <c r="AU1088" s="3" t="s">
        <v>14058</v>
      </c>
      <c r="AV1088" s="3" t="s">
        <v>14059</v>
      </c>
      <c r="AW1088" s="3" t="s">
        <v>14060</v>
      </c>
      <c r="AX1088" s="3" t="s">
        <v>14060</v>
      </c>
      <c r="AY1088" s="3" t="s">
        <v>14061</v>
      </c>
      <c r="AZ1088" s="3" t="s">
        <v>74</v>
      </c>
      <c r="BB1088" s="3" t="s">
        <v>14062</v>
      </c>
      <c r="BC1088" s="3" t="s">
        <v>14063</v>
      </c>
      <c r="BD1088" s="3" t="s">
        <v>14064</v>
      </c>
    </row>
    <row r="1089" spans="1:56" ht="42.75" customHeight="1" x14ac:dyDescent="0.25">
      <c r="A1089" s="7" t="s">
        <v>58</v>
      </c>
      <c r="B1089" s="2" t="s">
        <v>14065</v>
      </c>
      <c r="C1089" s="2" t="s">
        <v>14066</v>
      </c>
      <c r="D1089" s="2" t="s">
        <v>14067</v>
      </c>
      <c r="F1089" s="3" t="s">
        <v>58</v>
      </c>
      <c r="G1089" s="3" t="s">
        <v>59</v>
      </c>
      <c r="H1089" s="3" t="s">
        <v>58</v>
      </c>
      <c r="I1089" s="3" t="s">
        <v>58</v>
      </c>
      <c r="J1089" s="3" t="s">
        <v>60</v>
      </c>
      <c r="L1089" s="2" t="s">
        <v>14068</v>
      </c>
      <c r="M1089" s="3" t="s">
        <v>1574</v>
      </c>
      <c r="O1089" s="3" t="s">
        <v>64</v>
      </c>
      <c r="P1089" s="3" t="s">
        <v>115</v>
      </c>
      <c r="R1089" s="3" t="s">
        <v>67</v>
      </c>
      <c r="S1089" s="4">
        <v>11</v>
      </c>
      <c r="T1089" s="4">
        <v>11</v>
      </c>
      <c r="U1089" s="5" t="s">
        <v>930</v>
      </c>
      <c r="V1089" s="5" t="s">
        <v>930</v>
      </c>
      <c r="W1089" s="5" t="s">
        <v>14069</v>
      </c>
      <c r="X1089" s="5" t="s">
        <v>14069</v>
      </c>
      <c r="Y1089" s="4">
        <v>529</v>
      </c>
      <c r="Z1089" s="4">
        <v>464</v>
      </c>
      <c r="AA1089" s="4">
        <v>466</v>
      </c>
      <c r="AB1089" s="4">
        <v>3</v>
      </c>
      <c r="AC1089" s="4">
        <v>3</v>
      </c>
      <c r="AD1089" s="4">
        <v>21</v>
      </c>
      <c r="AE1089" s="4">
        <v>21</v>
      </c>
      <c r="AF1089" s="4">
        <v>7</v>
      </c>
      <c r="AG1089" s="4">
        <v>7</v>
      </c>
      <c r="AH1089" s="4">
        <v>4</v>
      </c>
      <c r="AI1089" s="4">
        <v>4</v>
      </c>
      <c r="AJ1089" s="4">
        <v>13</v>
      </c>
      <c r="AK1089" s="4">
        <v>13</v>
      </c>
      <c r="AL1089" s="4">
        <v>2</v>
      </c>
      <c r="AM1089" s="4">
        <v>2</v>
      </c>
      <c r="AN1089" s="4">
        <v>0</v>
      </c>
      <c r="AO1089" s="4">
        <v>0</v>
      </c>
      <c r="AP1089" s="3" t="s">
        <v>58</v>
      </c>
      <c r="AQ1089" s="3" t="s">
        <v>58</v>
      </c>
      <c r="AS1089" s="6" t="str">
        <f>HYPERLINK("https://creighton-primo.hosted.exlibrisgroup.com/primo-explore/search?tab=default_tab&amp;search_scope=EVERYTHING&amp;vid=01CRU&amp;lang=en_US&amp;offset=0&amp;query=any,contains,991005161969702656","Catalog Record")</f>
        <v>Catalog Record</v>
      </c>
      <c r="AT1089" s="6" t="str">
        <f>HYPERLINK("http://www.worldcat.org/oclc/7795722","WorldCat Record")</f>
        <v>WorldCat Record</v>
      </c>
      <c r="AU1089" s="3" t="s">
        <v>14070</v>
      </c>
      <c r="AV1089" s="3" t="s">
        <v>14071</v>
      </c>
      <c r="AW1089" s="3" t="s">
        <v>14072</v>
      </c>
      <c r="AX1089" s="3" t="s">
        <v>14072</v>
      </c>
      <c r="AY1089" s="3" t="s">
        <v>14073</v>
      </c>
      <c r="AZ1089" s="3" t="s">
        <v>74</v>
      </c>
      <c r="BB1089" s="3" t="s">
        <v>14074</v>
      </c>
      <c r="BC1089" s="3" t="s">
        <v>14075</v>
      </c>
      <c r="BD1089" s="3" t="s">
        <v>14076</v>
      </c>
    </row>
    <row r="1090" spans="1:56" ht="42.75" customHeight="1" x14ac:dyDescent="0.25">
      <c r="A1090" s="7" t="s">
        <v>58</v>
      </c>
      <c r="B1090" s="2" t="s">
        <v>14077</v>
      </c>
      <c r="C1090" s="2" t="s">
        <v>14078</v>
      </c>
      <c r="D1090" s="2" t="s">
        <v>14079</v>
      </c>
      <c r="F1090" s="3" t="s">
        <v>58</v>
      </c>
      <c r="G1090" s="3" t="s">
        <v>59</v>
      </c>
      <c r="H1090" s="3" t="s">
        <v>58</v>
      </c>
      <c r="I1090" s="3" t="s">
        <v>58</v>
      </c>
      <c r="J1090" s="3" t="s">
        <v>60</v>
      </c>
      <c r="K1090" s="2" t="s">
        <v>14080</v>
      </c>
      <c r="L1090" s="2" t="s">
        <v>14081</v>
      </c>
      <c r="M1090" s="3" t="s">
        <v>534</v>
      </c>
      <c r="O1090" s="3" t="s">
        <v>64</v>
      </c>
      <c r="P1090" s="3" t="s">
        <v>359</v>
      </c>
      <c r="Q1090" s="2" t="s">
        <v>4565</v>
      </c>
      <c r="R1090" s="3" t="s">
        <v>67</v>
      </c>
      <c r="S1090" s="4">
        <v>24</v>
      </c>
      <c r="T1090" s="4">
        <v>24</v>
      </c>
      <c r="U1090" s="5" t="s">
        <v>13422</v>
      </c>
      <c r="V1090" s="5" t="s">
        <v>13422</v>
      </c>
      <c r="W1090" s="5" t="s">
        <v>8009</v>
      </c>
      <c r="X1090" s="5" t="s">
        <v>8009</v>
      </c>
      <c r="Y1090" s="4">
        <v>332</v>
      </c>
      <c r="Z1090" s="4">
        <v>278</v>
      </c>
      <c r="AA1090" s="4">
        <v>280</v>
      </c>
      <c r="AB1090" s="4">
        <v>3</v>
      </c>
      <c r="AC1090" s="4">
        <v>3</v>
      </c>
      <c r="AD1090" s="4">
        <v>16</v>
      </c>
      <c r="AE1090" s="4">
        <v>16</v>
      </c>
      <c r="AF1090" s="4">
        <v>5</v>
      </c>
      <c r="AG1090" s="4">
        <v>5</v>
      </c>
      <c r="AH1090" s="4">
        <v>6</v>
      </c>
      <c r="AI1090" s="4">
        <v>6</v>
      </c>
      <c r="AJ1090" s="4">
        <v>10</v>
      </c>
      <c r="AK1090" s="4">
        <v>10</v>
      </c>
      <c r="AL1090" s="4">
        <v>1</v>
      </c>
      <c r="AM1090" s="4">
        <v>1</v>
      </c>
      <c r="AN1090" s="4">
        <v>0</v>
      </c>
      <c r="AO1090" s="4">
        <v>0</v>
      </c>
      <c r="AP1090" s="3" t="s">
        <v>58</v>
      </c>
      <c r="AQ1090" s="3" t="s">
        <v>86</v>
      </c>
      <c r="AR1090" s="6" t="str">
        <f>HYPERLINK("http://catalog.hathitrust.org/Record/002168756","HathiTrust Record")</f>
        <v>HathiTrust Record</v>
      </c>
      <c r="AS1090" s="6" t="str">
        <f>HYPERLINK("https://creighton-primo.hosted.exlibrisgroup.com/primo-explore/search?tab=default_tab&amp;search_scope=EVERYTHING&amp;vid=01CRU&amp;lang=en_US&amp;offset=0&amp;query=any,contains,991001605839702656","Catalog Record")</f>
        <v>Catalog Record</v>
      </c>
      <c r="AT1090" s="6" t="str">
        <f>HYPERLINK("http://www.worldcat.org/oclc/20692465","WorldCat Record")</f>
        <v>WorldCat Record</v>
      </c>
      <c r="AU1090" s="3" t="s">
        <v>14082</v>
      </c>
      <c r="AV1090" s="3" t="s">
        <v>14083</v>
      </c>
      <c r="AW1090" s="3" t="s">
        <v>14084</v>
      </c>
      <c r="AX1090" s="3" t="s">
        <v>14084</v>
      </c>
      <c r="AY1090" s="3" t="s">
        <v>14085</v>
      </c>
      <c r="AZ1090" s="3" t="s">
        <v>74</v>
      </c>
      <c r="BB1090" s="3" t="s">
        <v>14086</v>
      </c>
      <c r="BC1090" s="3" t="s">
        <v>14087</v>
      </c>
      <c r="BD1090" s="3" t="s">
        <v>14088</v>
      </c>
    </row>
    <row r="1091" spans="1:56" ht="42.75" customHeight="1" x14ac:dyDescent="0.25">
      <c r="A1091" s="7" t="s">
        <v>58</v>
      </c>
      <c r="B1091" s="2" t="s">
        <v>14089</v>
      </c>
      <c r="C1091" s="2" t="s">
        <v>14090</v>
      </c>
      <c r="D1091" s="2" t="s">
        <v>14091</v>
      </c>
      <c r="F1091" s="3" t="s">
        <v>58</v>
      </c>
      <c r="G1091" s="3" t="s">
        <v>59</v>
      </c>
      <c r="H1091" s="3" t="s">
        <v>58</v>
      </c>
      <c r="I1091" s="3" t="s">
        <v>58</v>
      </c>
      <c r="J1091" s="3" t="s">
        <v>60</v>
      </c>
      <c r="L1091" s="2" t="s">
        <v>14092</v>
      </c>
      <c r="M1091" s="3" t="s">
        <v>1035</v>
      </c>
      <c r="N1091" s="2" t="s">
        <v>1736</v>
      </c>
      <c r="O1091" s="3" t="s">
        <v>64</v>
      </c>
      <c r="P1091" s="3" t="s">
        <v>115</v>
      </c>
      <c r="R1091" s="3" t="s">
        <v>67</v>
      </c>
      <c r="S1091" s="4">
        <v>5</v>
      </c>
      <c r="T1091" s="4">
        <v>5</v>
      </c>
      <c r="U1091" s="5" t="s">
        <v>14093</v>
      </c>
      <c r="V1091" s="5" t="s">
        <v>14093</v>
      </c>
      <c r="W1091" s="5" t="s">
        <v>14094</v>
      </c>
      <c r="X1091" s="5" t="s">
        <v>14094</v>
      </c>
      <c r="Y1091" s="4">
        <v>738</v>
      </c>
      <c r="Z1091" s="4">
        <v>708</v>
      </c>
      <c r="AA1091" s="4">
        <v>846</v>
      </c>
      <c r="AB1091" s="4">
        <v>6</v>
      </c>
      <c r="AC1091" s="4">
        <v>8</v>
      </c>
      <c r="AD1091" s="4">
        <v>14</v>
      </c>
      <c r="AE1091" s="4">
        <v>17</v>
      </c>
      <c r="AF1091" s="4">
        <v>8</v>
      </c>
      <c r="AG1091" s="4">
        <v>9</v>
      </c>
      <c r="AH1091" s="4">
        <v>2</v>
      </c>
      <c r="AI1091" s="4">
        <v>2</v>
      </c>
      <c r="AJ1091" s="4">
        <v>7</v>
      </c>
      <c r="AK1091" s="4">
        <v>9</v>
      </c>
      <c r="AL1091" s="4">
        <v>0</v>
      </c>
      <c r="AM1091" s="4">
        <v>0</v>
      </c>
      <c r="AN1091" s="4">
        <v>0</v>
      </c>
      <c r="AO1091" s="4">
        <v>0</v>
      </c>
      <c r="AP1091" s="3" t="s">
        <v>58</v>
      </c>
      <c r="AQ1091" s="3" t="s">
        <v>58</v>
      </c>
      <c r="AS1091" s="6" t="str">
        <f>HYPERLINK("https://creighton-primo.hosted.exlibrisgroup.com/primo-explore/search?tab=default_tab&amp;search_scope=EVERYTHING&amp;vid=01CRU&amp;lang=en_US&amp;offset=0&amp;query=any,contains,991003506379702656","Catalog Record")</f>
        <v>Catalog Record</v>
      </c>
      <c r="AT1091" s="6" t="str">
        <f>HYPERLINK("http://www.worldcat.org/oclc/44117887","WorldCat Record")</f>
        <v>WorldCat Record</v>
      </c>
      <c r="AU1091" s="3" t="s">
        <v>14095</v>
      </c>
      <c r="AV1091" s="3" t="s">
        <v>14096</v>
      </c>
      <c r="AW1091" s="3" t="s">
        <v>14097</v>
      </c>
      <c r="AX1091" s="3" t="s">
        <v>14097</v>
      </c>
      <c r="AY1091" s="3" t="s">
        <v>14098</v>
      </c>
      <c r="AZ1091" s="3" t="s">
        <v>74</v>
      </c>
      <c r="BB1091" s="3" t="s">
        <v>14099</v>
      </c>
      <c r="BC1091" s="3" t="s">
        <v>14100</v>
      </c>
      <c r="BD1091" s="3" t="s">
        <v>14101</v>
      </c>
    </row>
    <row r="1092" spans="1:56" ht="42.75" customHeight="1" x14ac:dyDescent="0.25">
      <c r="A1092" s="7" t="s">
        <v>58</v>
      </c>
      <c r="B1092" s="2" t="s">
        <v>14102</v>
      </c>
      <c r="C1092" s="2" t="s">
        <v>14103</v>
      </c>
      <c r="D1092" s="2" t="s">
        <v>14104</v>
      </c>
      <c r="F1092" s="3" t="s">
        <v>58</v>
      </c>
      <c r="G1092" s="3" t="s">
        <v>59</v>
      </c>
      <c r="H1092" s="3" t="s">
        <v>58</v>
      </c>
      <c r="I1092" s="3" t="s">
        <v>58</v>
      </c>
      <c r="J1092" s="3" t="s">
        <v>60</v>
      </c>
      <c r="K1092" s="2" t="s">
        <v>14105</v>
      </c>
      <c r="L1092" s="2" t="s">
        <v>14106</v>
      </c>
      <c r="M1092" s="3" t="s">
        <v>2386</v>
      </c>
      <c r="O1092" s="3" t="s">
        <v>64</v>
      </c>
      <c r="P1092" s="3" t="s">
        <v>83</v>
      </c>
      <c r="R1092" s="3" t="s">
        <v>67</v>
      </c>
      <c r="S1092" s="4">
        <v>8</v>
      </c>
      <c r="T1092" s="4">
        <v>8</v>
      </c>
      <c r="U1092" s="5" t="s">
        <v>14107</v>
      </c>
      <c r="V1092" s="5" t="s">
        <v>14107</v>
      </c>
      <c r="W1092" s="5" t="s">
        <v>12809</v>
      </c>
      <c r="X1092" s="5" t="s">
        <v>12809</v>
      </c>
      <c r="Y1092" s="4">
        <v>636</v>
      </c>
      <c r="Z1092" s="4">
        <v>498</v>
      </c>
      <c r="AA1092" s="4">
        <v>503</v>
      </c>
      <c r="AB1092" s="4">
        <v>5</v>
      </c>
      <c r="AC1092" s="4">
        <v>5</v>
      </c>
      <c r="AD1092" s="4">
        <v>24</v>
      </c>
      <c r="AE1092" s="4">
        <v>24</v>
      </c>
      <c r="AF1092" s="4">
        <v>9</v>
      </c>
      <c r="AG1092" s="4">
        <v>9</v>
      </c>
      <c r="AH1092" s="4">
        <v>6</v>
      </c>
      <c r="AI1092" s="4">
        <v>6</v>
      </c>
      <c r="AJ1092" s="4">
        <v>11</v>
      </c>
      <c r="AK1092" s="4">
        <v>11</v>
      </c>
      <c r="AL1092" s="4">
        <v>3</v>
      </c>
      <c r="AM1092" s="4">
        <v>3</v>
      </c>
      <c r="AN1092" s="4">
        <v>0</v>
      </c>
      <c r="AO1092" s="4">
        <v>0</v>
      </c>
      <c r="AP1092" s="3" t="s">
        <v>58</v>
      </c>
      <c r="AQ1092" s="3" t="s">
        <v>58</v>
      </c>
      <c r="AS1092" s="6" t="str">
        <f>HYPERLINK("https://creighton-primo.hosted.exlibrisgroup.com/primo-explore/search?tab=default_tab&amp;search_scope=EVERYTHING&amp;vid=01CRU&amp;lang=en_US&amp;offset=0&amp;query=any,contains,991003464699702656","Catalog Record")</f>
        <v>Catalog Record</v>
      </c>
      <c r="AT1092" s="6" t="str">
        <f>HYPERLINK("http://www.worldcat.org/oclc/1006473","WorldCat Record")</f>
        <v>WorldCat Record</v>
      </c>
      <c r="AU1092" s="3" t="s">
        <v>14108</v>
      </c>
      <c r="AV1092" s="3" t="s">
        <v>14109</v>
      </c>
      <c r="AW1092" s="3" t="s">
        <v>14110</v>
      </c>
      <c r="AX1092" s="3" t="s">
        <v>14110</v>
      </c>
      <c r="AY1092" s="3" t="s">
        <v>14111</v>
      </c>
      <c r="AZ1092" s="3" t="s">
        <v>74</v>
      </c>
      <c r="BB1092" s="3" t="s">
        <v>14112</v>
      </c>
      <c r="BC1092" s="3" t="s">
        <v>14113</v>
      </c>
      <c r="BD1092" s="3" t="s">
        <v>14114</v>
      </c>
    </row>
    <row r="1093" spans="1:56" ht="42.75" customHeight="1" x14ac:dyDescent="0.25">
      <c r="A1093" s="7" t="s">
        <v>58</v>
      </c>
      <c r="B1093" s="2" t="s">
        <v>14115</v>
      </c>
      <c r="C1093" s="2" t="s">
        <v>14116</v>
      </c>
      <c r="D1093" s="2" t="s">
        <v>14117</v>
      </c>
      <c r="F1093" s="3" t="s">
        <v>58</v>
      </c>
      <c r="G1093" s="3" t="s">
        <v>59</v>
      </c>
      <c r="H1093" s="3" t="s">
        <v>58</v>
      </c>
      <c r="I1093" s="3" t="s">
        <v>58</v>
      </c>
      <c r="J1093" s="3" t="s">
        <v>60</v>
      </c>
      <c r="K1093" s="2" t="s">
        <v>14118</v>
      </c>
      <c r="L1093" s="2" t="s">
        <v>14119</v>
      </c>
      <c r="M1093" s="3" t="s">
        <v>144</v>
      </c>
      <c r="N1093" s="2" t="s">
        <v>1736</v>
      </c>
      <c r="O1093" s="3" t="s">
        <v>64</v>
      </c>
      <c r="P1093" s="3" t="s">
        <v>115</v>
      </c>
      <c r="R1093" s="3" t="s">
        <v>67</v>
      </c>
      <c r="S1093" s="4">
        <v>19</v>
      </c>
      <c r="T1093" s="4">
        <v>19</v>
      </c>
      <c r="U1093" s="5" t="s">
        <v>14120</v>
      </c>
      <c r="V1093" s="5" t="s">
        <v>14120</v>
      </c>
      <c r="W1093" s="5" t="s">
        <v>14121</v>
      </c>
      <c r="X1093" s="5" t="s">
        <v>14121</v>
      </c>
      <c r="Y1093" s="4">
        <v>918</v>
      </c>
      <c r="Z1093" s="4">
        <v>861</v>
      </c>
      <c r="AA1093" s="4">
        <v>918</v>
      </c>
      <c r="AB1093" s="4">
        <v>11</v>
      </c>
      <c r="AC1093" s="4">
        <v>12</v>
      </c>
      <c r="AD1093" s="4">
        <v>30</v>
      </c>
      <c r="AE1093" s="4">
        <v>31</v>
      </c>
      <c r="AF1093" s="4">
        <v>7</v>
      </c>
      <c r="AG1093" s="4">
        <v>7</v>
      </c>
      <c r="AH1093" s="4">
        <v>7</v>
      </c>
      <c r="AI1093" s="4">
        <v>7</v>
      </c>
      <c r="AJ1093" s="4">
        <v>14</v>
      </c>
      <c r="AK1093" s="4">
        <v>14</v>
      </c>
      <c r="AL1093" s="4">
        <v>8</v>
      </c>
      <c r="AM1093" s="4">
        <v>9</v>
      </c>
      <c r="AN1093" s="4">
        <v>0</v>
      </c>
      <c r="AO1093" s="4">
        <v>0</v>
      </c>
      <c r="AP1093" s="3" t="s">
        <v>58</v>
      </c>
      <c r="AQ1093" s="3" t="s">
        <v>86</v>
      </c>
      <c r="AR1093" s="6" t="str">
        <f>HYPERLINK("http://catalog.hathitrust.org/Record/003268481","HathiTrust Record")</f>
        <v>HathiTrust Record</v>
      </c>
      <c r="AS1093" s="6" t="str">
        <f>HYPERLINK("https://creighton-primo.hosted.exlibrisgroup.com/primo-explore/search?tab=default_tab&amp;search_scope=EVERYTHING&amp;vid=01CRU&amp;lang=en_US&amp;offset=0&amp;query=any,contains,991002737169702656","Catalog Record")</f>
        <v>Catalog Record</v>
      </c>
      <c r="AT1093" s="6" t="str">
        <f>HYPERLINK("http://www.worldcat.org/oclc/35926579","WorldCat Record")</f>
        <v>WorldCat Record</v>
      </c>
      <c r="AU1093" s="3" t="s">
        <v>14122</v>
      </c>
      <c r="AV1093" s="3" t="s">
        <v>14123</v>
      </c>
      <c r="AW1093" s="3" t="s">
        <v>14124</v>
      </c>
      <c r="AX1093" s="3" t="s">
        <v>14124</v>
      </c>
      <c r="AY1093" s="3" t="s">
        <v>14125</v>
      </c>
      <c r="AZ1093" s="3" t="s">
        <v>74</v>
      </c>
      <c r="BB1093" s="3" t="s">
        <v>14126</v>
      </c>
      <c r="BC1093" s="3" t="s">
        <v>14127</v>
      </c>
      <c r="BD1093" s="3" t="s">
        <v>14128</v>
      </c>
    </row>
    <row r="1094" spans="1:56" ht="42.75" customHeight="1" x14ac:dyDescent="0.25">
      <c r="A1094" s="7" t="s">
        <v>58</v>
      </c>
      <c r="B1094" s="2" t="s">
        <v>14129</v>
      </c>
      <c r="C1094" s="2" t="s">
        <v>14130</v>
      </c>
      <c r="D1094" s="2" t="s">
        <v>14131</v>
      </c>
      <c r="F1094" s="3" t="s">
        <v>58</v>
      </c>
      <c r="G1094" s="3" t="s">
        <v>59</v>
      </c>
      <c r="H1094" s="3" t="s">
        <v>86</v>
      </c>
      <c r="I1094" s="3" t="s">
        <v>58</v>
      </c>
      <c r="J1094" s="3" t="s">
        <v>60</v>
      </c>
      <c r="K1094" s="2" t="s">
        <v>14118</v>
      </c>
      <c r="L1094" s="2" t="s">
        <v>14132</v>
      </c>
      <c r="M1094" s="3" t="s">
        <v>114</v>
      </c>
      <c r="O1094" s="3" t="s">
        <v>64</v>
      </c>
      <c r="P1094" s="3" t="s">
        <v>115</v>
      </c>
      <c r="Q1094" s="2" t="s">
        <v>10689</v>
      </c>
      <c r="R1094" s="3" t="s">
        <v>67</v>
      </c>
      <c r="S1094" s="4">
        <v>37</v>
      </c>
      <c r="T1094" s="4">
        <v>37</v>
      </c>
      <c r="U1094" s="5" t="s">
        <v>13824</v>
      </c>
      <c r="V1094" s="5" t="s">
        <v>13824</v>
      </c>
      <c r="W1094" s="5" t="s">
        <v>6280</v>
      </c>
      <c r="X1094" s="5" t="s">
        <v>6280</v>
      </c>
      <c r="Y1094" s="4">
        <v>339</v>
      </c>
      <c r="Z1094" s="4">
        <v>266</v>
      </c>
      <c r="AA1094" s="4">
        <v>284</v>
      </c>
      <c r="AB1094" s="4">
        <v>3</v>
      </c>
      <c r="AC1094" s="4">
        <v>3</v>
      </c>
      <c r="AD1094" s="4">
        <v>7</v>
      </c>
      <c r="AE1094" s="4">
        <v>7</v>
      </c>
      <c r="AF1094" s="4">
        <v>0</v>
      </c>
      <c r="AG1094" s="4">
        <v>0</v>
      </c>
      <c r="AH1094" s="4">
        <v>2</v>
      </c>
      <c r="AI1094" s="4">
        <v>2</v>
      </c>
      <c r="AJ1094" s="4">
        <v>6</v>
      </c>
      <c r="AK1094" s="4">
        <v>6</v>
      </c>
      <c r="AL1094" s="4">
        <v>1</v>
      </c>
      <c r="AM1094" s="4">
        <v>1</v>
      </c>
      <c r="AN1094" s="4">
        <v>0</v>
      </c>
      <c r="AO1094" s="4">
        <v>0</v>
      </c>
      <c r="AP1094" s="3" t="s">
        <v>58</v>
      </c>
      <c r="AQ1094" s="3" t="s">
        <v>86</v>
      </c>
      <c r="AR1094" s="6" t="str">
        <f>HYPERLINK("http://catalog.hathitrust.org/Record/000163612","HathiTrust Record")</f>
        <v>HathiTrust Record</v>
      </c>
      <c r="AS1094" s="6" t="str">
        <f>HYPERLINK("https://creighton-primo.hosted.exlibrisgroup.com/primo-explore/search?tab=default_tab&amp;search_scope=EVERYTHING&amp;vid=01CRU&amp;lang=en_US&amp;offset=0&amp;query=any,contains,991000385529702656","Catalog Record")</f>
        <v>Catalog Record</v>
      </c>
      <c r="AT1094" s="6" t="str">
        <f>HYPERLINK("http://www.worldcat.org/oclc/10507690","WorldCat Record")</f>
        <v>WorldCat Record</v>
      </c>
      <c r="AU1094" s="3" t="s">
        <v>14133</v>
      </c>
      <c r="AV1094" s="3" t="s">
        <v>14134</v>
      </c>
      <c r="AW1094" s="3" t="s">
        <v>14135</v>
      </c>
      <c r="AX1094" s="3" t="s">
        <v>14135</v>
      </c>
      <c r="AY1094" s="3" t="s">
        <v>14136</v>
      </c>
      <c r="AZ1094" s="3" t="s">
        <v>74</v>
      </c>
      <c r="BB1094" s="3" t="s">
        <v>14137</v>
      </c>
      <c r="BC1094" s="3" t="s">
        <v>14138</v>
      </c>
      <c r="BD1094" s="3" t="s">
        <v>14139</v>
      </c>
    </row>
    <row r="1095" spans="1:56" ht="42.75" customHeight="1" x14ac:dyDescent="0.25">
      <c r="A1095" s="7" t="s">
        <v>58</v>
      </c>
      <c r="B1095" s="2" t="s">
        <v>14140</v>
      </c>
      <c r="C1095" s="2" t="s">
        <v>14141</v>
      </c>
      <c r="D1095" s="2" t="s">
        <v>14142</v>
      </c>
      <c r="F1095" s="3" t="s">
        <v>58</v>
      </c>
      <c r="G1095" s="3" t="s">
        <v>59</v>
      </c>
      <c r="H1095" s="3" t="s">
        <v>58</v>
      </c>
      <c r="I1095" s="3" t="s">
        <v>58</v>
      </c>
      <c r="J1095" s="3" t="s">
        <v>60</v>
      </c>
      <c r="K1095" s="2" t="s">
        <v>14143</v>
      </c>
      <c r="L1095" s="2" t="s">
        <v>11601</v>
      </c>
      <c r="M1095" s="3" t="s">
        <v>2227</v>
      </c>
      <c r="O1095" s="3" t="s">
        <v>64</v>
      </c>
      <c r="P1095" s="3" t="s">
        <v>115</v>
      </c>
      <c r="R1095" s="3" t="s">
        <v>67</v>
      </c>
      <c r="S1095" s="4">
        <v>21</v>
      </c>
      <c r="T1095" s="4">
        <v>21</v>
      </c>
      <c r="U1095" s="5" t="s">
        <v>14144</v>
      </c>
      <c r="V1095" s="5" t="s">
        <v>14144</v>
      </c>
      <c r="W1095" s="5" t="s">
        <v>3457</v>
      </c>
      <c r="X1095" s="5" t="s">
        <v>3457</v>
      </c>
      <c r="Y1095" s="4">
        <v>442</v>
      </c>
      <c r="Z1095" s="4">
        <v>332</v>
      </c>
      <c r="AA1095" s="4">
        <v>339</v>
      </c>
      <c r="AB1095" s="4">
        <v>2</v>
      </c>
      <c r="AC1095" s="4">
        <v>2</v>
      </c>
      <c r="AD1095" s="4">
        <v>16</v>
      </c>
      <c r="AE1095" s="4">
        <v>16</v>
      </c>
      <c r="AF1095" s="4">
        <v>4</v>
      </c>
      <c r="AG1095" s="4">
        <v>4</v>
      </c>
      <c r="AH1095" s="4">
        <v>6</v>
      </c>
      <c r="AI1095" s="4">
        <v>6</v>
      </c>
      <c r="AJ1095" s="4">
        <v>9</v>
      </c>
      <c r="AK1095" s="4">
        <v>9</v>
      </c>
      <c r="AL1095" s="4">
        <v>1</v>
      </c>
      <c r="AM1095" s="4">
        <v>1</v>
      </c>
      <c r="AN1095" s="4">
        <v>0</v>
      </c>
      <c r="AO1095" s="4">
        <v>0</v>
      </c>
      <c r="AP1095" s="3" t="s">
        <v>58</v>
      </c>
      <c r="AQ1095" s="3" t="s">
        <v>86</v>
      </c>
      <c r="AR1095" s="6" t="str">
        <f>HYPERLINK("http://catalog.hathitrust.org/Record/000461621","HathiTrust Record")</f>
        <v>HathiTrust Record</v>
      </c>
      <c r="AS1095" s="6" t="str">
        <f>HYPERLINK("https://creighton-primo.hosted.exlibrisgroup.com/primo-explore/search?tab=default_tab&amp;search_scope=EVERYTHING&amp;vid=01CRU&amp;lang=en_US&amp;offset=0&amp;query=any,contains,991000559589702656","Catalog Record")</f>
        <v>Catalog Record</v>
      </c>
      <c r="AT1095" s="6" t="str">
        <f>HYPERLINK("http://www.worldcat.org/oclc/11574756","WorldCat Record")</f>
        <v>WorldCat Record</v>
      </c>
      <c r="AU1095" s="3" t="s">
        <v>14145</v>
      </c>
      <c r="AV1095" s="3" t="s">
        <v>14146</v>
      </c>
      <c r="AW1095" s="3" t="s">
        <v>14147</v>
      </c>
      <c r="AX1095" s="3" t="s">
        <v>14147</v>
      </c>
      <c r="AY1095" s="3" t="s">
        <v>14148</v>
      </c>
      <c r="AZ1095" s="3" t="s">
        <v>74</v>
      </c>
      <c r="BB1095" s="3" t="s">
        <v>14149</v>
      </c>
      <c r="BC1095" s="3" t="s">
        <v>14150</v>
      </c>
      <c r="BD1095" s="3" t="s">
        <v>14151</v>
      </c>
    </row>
    <row r="1096" spans="1:56" ht="42.75" customHeight="1" x14ac:dyDescent="0.25">
      <c r="A1096" s="7" t="s">
        <v>58</v>
      </c>
      <c r="B1096" s="2" t="s">
        <v>14152</v>
      </c>
      <c r="C1096" s="2" t="s">
        <v>14153</v>
      </c>
      <c r="D1096" s="2" t="s">
        <v>14154</v>
      </c>
      <c r="F1096" s="3" t="s">
        <v>58</v>
      </c>
      <c r="G1096" s="3" t="s">
        <v>59</v>
      </c>
      <c r="H1096" s="3" t="s">
        <v>58</v>
      </c>
      <c r="I1096" s="3" t="s">
        <v>58</v>
      </c>
      <c r="J1096" s="3" t="s">
        <v>60</v>
      </c>
      <c r="L1096" s="2" t="s">
        <v>14155</v>
      </c>
      <c r="M1096" s="3" t="s">
        <v>534</v>
      </c>
      <c r="N1096" s="2" t="s">
        <v>1736</v>
      </c>
      <c r="O1096" s="3" t="s">
        <v>64</v>
      </c>
      <c r="P1096" s="3" t="s">
        <v>145</v>
      </c>
      <c r="R1096" s="3" t="s">
        <v>67</v>
      </c>
      <c r="S1096" s="4">
        <v>41</v>
      </c>
      <c r="T1096" s="4">
        <v>41</v>
      </c>
      <c r="U1096" s="5" t="s">
        <v>14156</v>
      </c>
      <c r="V1096" s="5" t="s">
        <v>14156</v>
      </c>
      <c r="W1096" s="5" t="s">
        <v>14157</v>
      </c>
      <c r="X1096" s="5" t="s">
        <v>14157</v>
      </c>
      <c r="Y1096" s="4">
        <v>519</v>
      </c>
      <c r="Z1096" s="4">
        <v>445</v>
      </c>
      <c r="AA1096" s="4">
        <v>522</v>
      </c>
      <c r="AB1096" s="4">
        <v>4</v>
      </c>
      <c r="AC1096" s="4">
        <v>5</v>
      </c>
      <c r="AD1096" s="4">
        <v>20</v>
      </c>
      <c r="AE1096" s="4">
        <v>25</v>
      </c>
      <c r="AF1096" s="4">
        <v>6</v>
      </c>
      <c r="AG1096" s="4">
        <v>8</v>
      </c>
      <c r="AH1096" s="4">
        <v>5</v>
      </c>
      <c r="AI1096" s="4">
        <v>5</v>
      </c>
      <c r="AJ1096" s="4">
        <v>10</v>
      </c>
      <c r="AK1096" s="4">
        <v>12</v>
      </c>
      <c r="AL1096" s="4">
        <v>3</v>
      </c>
      <c r="AM1096" s="4">
        <v>4</v>
      </c>
      <c r="AN1096" s="4">
        <v>0</v>
      </c>
      <c r="AO1096" s="4">
        <v>0</v>
      </c>
      <c r="AP1096" s="3" t="s">
        <v>58</v>
      </c>
      <c r="AQ1096" s="3" t="s">
        <v>58</v>
      </c>
      <c r="AS1096" s="6" t="str">
        <f>HYPERLINK("https://creighton-primo.hosted.exlibrisgroup.com/primo-explore/search?tab=default_tab&amp;search_scope=EVERYTHING&amp;vid=01CRU&amp;lang=en_US&amp;offset=0&amp;query=any,contains,991001779469702656","Catalog Record")</f>
        <v>Catalog Record</v>
      </c>
      <c r="AT1096" s="6" t="str">
        <f>HYPERLINK("http://www.worldcat.org/oclc/22451552","WorldCat Record")</f>
        <v>WorldCat Record</v>
      </c>
      <c r="AU1096" s="3" t="s">
        <v>14158</v>
      </c>
      <c r="AV1096" s="3" t="s">
        <v>14159</v>
      </c>
      <c r="AW1096" s="3" t="s">
        <v>14160</v>
      </c>
      <c r="AX1096" s="3" t="s">
        <v>14160</v>
      </c>
      <c r="AY1096" s="3" t="s">
        <v>14161</v>
      </c>
      <c r="AZ1096" s="3" t="s">
        <v>74</v>
      </c>
      <c r="BB1096" s="3" t="s">
        <v>14162</v>
      </c>
      <c r="BC1096" s="3" t="s">
        <v>14163</v>
      </c>
      <c r="BD1096" s="3" t="s">
        <v>14164</v>
      </c>
    </row>
    <row r="1097" spans="1:56" ht="42.75" customHeight="1" x14ac:dyDescent="0.25">
      <c r="A1097" s="7" t="s">
        <v>58</v>
      </c>
      <c r="B1097" s="2" t="s">
        <v>14165</v>
      </c>
      <c r="C1097" s="2" t="s">
        <v>14166</v>
      </c>
      <c r="D1097" s="2" t="s">
        <v>14167</v>
      </c>
      <c r="F1097" s="3" t="s">
        <v>58</v>
      </c>
      <c r="G1097" s="3" t="s">
        <v>59</v>
      </c>
      <c r="H1097" s="3" t="s">
        <v>86</v>
      </c>
      <c r="I1097" s="3" t="s">
        <v>58</v>
      </c>
      <c r="J1097" s="3" t="s">
        <v>60</v>
      </c>
      <c r="L1097" s="2" t="s">
        <v>14168</v>
      </c>
      <c r="M1097" s="3" t="s">
        <v>2227</v>
      </c>
      <c r="O1097" s="3" t="s">
        <v>64</v>
      </c>
      <c r="P1097" s="3" t="s">
        <v>65</v>
      </c>
      <c r="R1097" s="3" t="s">
        <v>67</v>
      </c>
      <c r="S1097" s="4">
        <v>3</v>
      </c>
      <c r="T1097" s="4">
        <v>3</v>
      </c>
      <c r="U1097" s="5" t="s">
        <v>9308</v>
      </c>
      <c r="V1097" s="5" t="s">
        <v>9308</v>
      </c>
      <c r="W1097" s="5" t="s">
        <v>3457</v>
      </c>
      <c r="X1097" s="5" t="s">
        <v>3457</v>
      </c>
      <c r="Y1097" s="4">
        <v>513</v>
      </c>
      <c r="Z1097" s="4">
        <v>387</v>
      </c>
      <c r="AA1097" s="4">
        <v>394</v>
      </c>
      <c r="AB1097" s="4">
        <v>5</v>
      </c>
      <c r="AC1097" s="4">
        <v>5</v>
      </c>
      <c r="AD1097" s="4">
        <v>20</v>
      </c>
      <c r="AE1097" s="4">
        <v>20</v>
      </c>
      <c r="AF1097" s="4">
        <v>6</v>
      </c>
      <c r="AG1097" s="4">
        <v>6</v>
      </c>
      <c r="AH1097" s="4">
        <v>5</v>
      </c>
      <c r="AI1097" s="4">
        <v>5</v>
      </c>
      <c r="AJ1097" s="4">
        <v>9</v>
      </c>
      <c r="AK1097" s="4">
        <v>9</v>
      </c>
      <c r="AL1097" s="4">
        <v>3</v>
      </c>
      <c r="AM1097" s="4">
        <v>3</v>
      </c>
      <c r="AN1097" s="4">
        <v>0</v>
      </c>
      <c r="AO1097" s="4">
        <v>0</v>
      </c>
      <c r="AP1097" s="3" t="s">
        <v>58</v>
      </c>
      <c r="AQ1097" s="3" t="s">
        <v>86</v>
      </c>
      <c r="AR1097" s="6" t="str">
        <f>HYPERLINK("http://catalog.hathitrust.org/Record/000652835","HathiTrust Record")</f>
        <v>HathiTrust Record</v>
      </c>
      <c r="AS1097" s="6" t="str">
        <f>HYPERLINK("https://creighton-primo.hosted.exlibrisgroup.com/primo-explore/search?tab=default_tab&amp;search_scope=EVERYTHING&amp;vid=01CRU&amp;lang=en_US&amp;offset=0&amp;query=any,contains,991000555509702656","Catalog Record")</f>
        <v>Catalog Record</v>
      </c>
      <c r="AT1097" s="6" t="str">
        <f>HYPERLINK("http://www.worldcat.org/oclc/11550669","WorldCat Record")</f>
        <v>WorldCat Record</v>
      </c>
      <c r="AU1097" s="3" t="s">
        <v>14169</v>
      </c>
      <c r="AV1097" s="3" t="s">
        <v>14170</v>
      </c>
      <c r="AW1097" s="3" t="s">
        <v>14171</v>
      </c>
      <c r="AX1097" s="3" t="s">
        <v>14171</v>
      </c>
      <c r="AY1097" s="3" t="s">
        <v>14172</v>
      </c>
      <c r="AZ1097" s="3" t="s">
        <v>74</v>
      </c>
      <c r="BB1097" s="3" t="s">
        <v>14173</v>
      </c>
      <c r="BC1097" s="3" t="s">
        <v>14174</v>
      </c>
      <c r="BD1097" s="3" t="s">
        <v>14175</v>
      </c>
    </row>
    <row r="1098" spans="1:56" ht="42.75" customHeight="1" x14ac:dyDescent="0.25">
      <c r="A1098" s="7" t="s">
        <v>58</v>
      </c>
      <c r="B1098" s="2" t="s">
        <v>14176</v>
      </c>
      <c r="C1098" s="2" t="s">
        <v>14177</v>
      </c>
      <c r="D1098" s="2" t="s">
        <v>14178</v>
      </c>
      <c r="F1098" s="3" t="s">
        <v>58</v>
      </c>
      <c r="G1098" s="3" t="s">
        <v>59</v>
      </c>
      <c r="H1098" s="3" t="s">
        <v>58</v>
      </c>
      <c r="I1098" s="3" t="s">
        <v>86</v>
      </c>
      <c r="J1098" s="3" t="s">
        <v>60</v>
      </c>
      <c r="K1098" s="2" t="s">
        <v>14179</v>
      </c>
      <c r="L1098" s="2" t="s">
        <v>9084</v>
      </c>
      <c r="M1098" s="3" t="s">
        <v>695</v>
      </c>
      <c r="N1098" s="2" t="s">
        <v>14180</v>
      </c>
      <c r="O1098" s="3" t="s">
        <v>64</v>
      </c>
      <c r="P1098" s="3" t="s">
        <v>115</v>
      </c>
      <c r="R1098" s="3" t="s">
        <v>67</v>
      </c>
      <c r="S1098" s="4">
        <v>39</v>
      </c>
      <c r="T1098" s="4">
        <v>39</v>
      </c>
      <c r="U1098" s="5" t="s">
        <v>14181</v>
      </c>
      <c r="V1098" s="5" t="s">
        <v>14181</v>
      </c>
      <c r="W1098" s="5" t="s">
        <v>301</v>
      </c>
      <c r="X1098" s="5" t="s">
        <v>301</v>
      </c>
      <c r="Y1098" s="4">
        <v>949</v>
      </c>
      <c r="Z1098" s="4">
        <v>887</v>
      </c>
      <c r="AA1098" s="4">
        <v>1276</v>
      </c>
      <c r="AB1098" s="4">
        <v>5</v>
      </c>
      <c r="AC1098" s="4">
        <v>8</v>
      </c>
      <c r="AD1098" s="4">
        <v>32</v>
      </c>
      <c r="AE1098" s="4">
        <v>36</v>
      </c>
      <c r="AF1098" s="4">
        <v>13</v>
      </c>
      <c r="AG1098" s="4">
        <v>16</v>
      </c>
      <c r="AH1098" s="4">
        <v>6</v>
      </c>
      <c r="AI1098" s="4">
        <v>6</v>
      </c>
      <c r="AJ1098" s="4">
        <v>16</v>
      </c>
      <c r="AK1098" s="4">
        <v>18</v>
      </c>
      <c r="AL1098" s="4">
        <v>3</v>
      </c>
      <c r="AM1098" s="4">
        <v>4</v>
      </c>
      <c r="AN1098" s="4">
        <v>0</v>
      </c>
      <c r="AO1098" s="4">
        <v>0</v>
      </c>
      <c r="AP1098" s="3" t="s">
        <v>58</v>
      </c>
      <c r="AQ1098" s="3" t="s">
        <v>58</v>
      </c>
      <c r="AS1098" s="6" t="str">
        <f>HYPERLINK("https://creighton-primo.hosted.exlibrisgroup.com/primo-explore/search?tab=default_tab&amp;search_scope=EVERYTHING&amp;vid=01CRU&amp;lang=en_US&amp;offset=0&amp;query=any,contains,991002233729702656","Catalog Record")</f>
        <v>Catalog Record</v>
      </c>
      <c r="AT1098" s="6" t="str">
        <f>HYPERLINK("http://www.worldcat.org/oclc/28798885","WorldCat Record")</f>
        <v>WorldCat Record</v>
      </c>
      <c r="AU1098" s="3" t="s">
        <v>14182</v>
      </c>
      <c r="AV1098" s="3" t="s">
        <v>14183</v>
      </c>
      <c r="AW1098" s="3" t="s">
        <v>14184</v>
      </c>
      <c r="AX1098" s="3" t="s">
        <v>14184</v>
      </c>
      <c r="AY1098" s="3" t="s">
        <v>14185</v>
      </c>
      <c r="AZ1098" s="3" t="s">
        <v>74</v>
      </c>
      <c r="BB1098" s="3" t="s">
        <v>14186</v>
      </c>
      <c r="BC1098" s="3" t="s">
        <v>14187</v>
      </c>
      <c r="BD1098" s="3" t="s">
        <v>14188</v>
      </c>
    </row>
    <row r="1099" spans="1:56" ht="42.75" customHeight="1" x14ac:dyDescent="0.25">
      <c r="A1099" s="7" t="s">
        <v>58</v>
      </c>
      <c r="B1099" s="2" t="s">
        <v>14189</v>
      </c>
      <c r="C1099" s="2" t="s">
        <v>14190</v>
      </c>
      <c r="D1099" s="2" t="s">
        <v>14191</v>
      </c>
      <c r="F1099" s="3" t="s">
        <v>58</v>
      </c>
      <c r="G1099" s="3" t="s">
        <v>59</v>
      </c>
      <c r="H1099" s="3" t="s">
        <v>58</v>
      </c>
      <c r="I1099" s="3" t="s">
        <v>58</v>
      </c>
      <c r="J1099" s="3" t="s">
        <v>60</v>
      </c>
      <c r="L1099" s="2" t="s">
        <v>14192</v>
      </c>
      <c r="M1099" s="3" t="s">
        <v>480</v>
      </c>
      <c r="O1099" s="3" t="s">
        <v>64</v>
      </c>
      <c r="P1099" s="3" t="s">
        <v>115</v>
      </c>
      <c r="R1099" s="3" t="s">
        <v>67</v>
      </c>
      <c r="S1099" s="4">
        <v>36</v>
      </c>
      <c r="T1099" s="4">
        <v>36</v>
      </c>
      <c r="U1099" s="5" t="s">
        <v>14193</v>
      </c>
      <c r="V1099" s="5" t="s">
        <v>14193</v>
      </c>
      <c r="W1099" s="5" t="s">
        <v>14194</v>
      </c>
      <c r="X1099" s="5" t="s">
        <v>14194</v>
      </c>
      <c r="Y1099" s="4">
        <v>355</v>
      </c>
      <c r="Z1099" s="4">
        <v>288</v>
      </c>
      <c r="AA1099" s="4">
        <v>289</v>
      </c>
      <c r="AB1099" s="4">
        <v>3</v>
      </c>
      <c r="AC1099" s="4">
        <v>3</v>
      </c>
      <c r="AD1099" s="4">
        <v>15</v>
      </c>
      <c r="AE1099" s="4">
        <v>15</v>
      </c>
      <c r="AF1099" s="4">
        <v>4</v>
      </c>
      <c r="AG1099" s="4">
        <v>4</v>
      </c>
      <c r="AH1099" s="4">
        <v>4</v>
      </c>
      <c r="AI1099" s="4">
        <v>4</v>
      </c>
      <c r="AJ1099" s="4">
        <v>9</v>
      </c>
      <c r="AK1099" s="4">
        <v>9</v>
      </c>
      <c r="AL1099" s="4">
        <v>2</v>
      </c>
      <c r="AM1099" s="4">
        <v>2</v>
      </c>
      <c r="AN1099" s="4">
        <v>0</v>
      </c>
      <c r="AO1099" s="4">
        <v>0</v>
      </c>
      <c r="AP1099" s="3" t="s">
        <v>58</v>
      </c>
      <c r="AQ1099" s="3" t="s">
        <v>58</v>
      </c>
      <c r="AS1099" s="6" t="str">
        <f>HYPERLINK("https://creighton-primo.hosted.exlibrisgroup.com/primo-explore/search?tab=default_tab&amp;search_scope=EVERYTHING&amp;vid=01CRU&amp;lang=en_US&amp;offset=0&amp;query=any,contains,991001339249702656","Catalog Record")</f>
        <v>Catalog Record</v>
      </c>
      <c r="AT1099" s="6" t="str">
        <f>HYPERLINK("http://www.worldcat.org/oclc/18380633","WorldCat Record")</f>
        <v>WorldCat Record</v>
      </c>
      <c r="AU1099" s="3" t="s">
        <v>14195</v>
      </c>
      <c r="AV1099" s="3" t="s">
        <v>14196</v>
      </c>
      <c r="AW1099" s="3" t="s">
        <v>14197</v>
      </c>
      <c r="AX1099" s="3" t="s">
        <v>14197</v>
      </c>
      <c r="AY1099" s="3" t="s">
        <v>14198</v>
      </c>
      <c r="AZ1099" s="3" t="s">
        <v>74</v>
      </c>
      <c r="BB1099" s="3" t="s">
        <v>14199</v>
      </c>
      <c r="BC1099" s="3" t="s">
        <v>14200</v>
      </c>
      <c r="BD1099" s="3" t="s">
        <v>14201</v>
      </c>
    </row>
    <row r="1100" spans="1:56" ht="42.75" customHeight="1" x14ac:dyDescent="0.25">
      <c r="A1100" s="7" t="s">
        <v>58</v>
      </c>
      <c r="B1100" s="2" t="s">
        <v>14202</v>
      </c>
      <c r="C1100" s="2" t="s">
        <v>14203</v>
      </c>
      <c r="D1100" s="2" t="s">
        <v>14204</v>
      </c>
      <c r="F1100" s="3" t="s">
        <v>58</v>
      </c>
      <c r="G1100" s="3" t="s">
        <v>59</v>
      </c>
      <c r="H1100" s="3" t="s">
        <v>58</v>
      </c>
      <c r="I1100" s="3" t="s">
        <v>58</v>
      </c>
      <c r="J1100" s="3" t="s">
        <v>60</v>
      </c>
      <c r="K1100" s="2" t="s">
        <v>14205</v>
      </c>
      <c r="L1100" s="2" t="s">
        <v>14206</v>
      </c>
      <c r="M1100" s="3" t="s">
        <v>177</v>
      </c>
      <c r="O1100" s="3" t="s">
        <v>64</v>
      </c>
      <c r="P1100" s="3" t="s">
        <v>1749</v>
      </c>
      <c r="R1100" s="3" t="s">
        <v>67</v>
      </c>
      <c r="S1100" s="4">
        <v>19</v>
      </c>
      <c r="T1100" s="4">
        <v>19</v>
      </c>
      <c r="U1100" s="5" t="s">
        <v>3667</v>
      </c>
      <c r="V1100" s="5" t="s">
        <v>3667</v>
      </c>
      <c r="W1100" s="5" t="s">
        <v>14207</v>
      </c>
      <c r="X1100" s="5" t="s">
        <v>14207</v>
      </c>
      <c r="Y1100" s="4">
        <v>141</v>
      </c>
      <c r="Z1100" s="4">
        <v>101</v>
      </c>
      <c r="AA1100" s="4">
        <v>102</v>
      </c>
      <c r="AB1100" s="4">
        <v>1</v>
      </c>
      <c r="AC1100" s="4">
        <v>1</v>
      </c>
      <c r="AD1100" s="4">
        <v>3</v>
      </c>
      <c r="AE1100" s="4">
        <v>3</v>
      </c>
      <c r="AF1100" s="4">
        <v>0</v>
      </c>
      <c r="AG1100" s="4">
        <v>0</v>
      </c>
      <c r="AH1100" s="4">
        <v>0</v>
      </c>
      <c r="AI1100" s="4">
        <v>0</v>
      </c>
      <c r="AJ1100" s="4">
        <v>3</v>
      </c>
      <c r="AK1100" s="4">
        <v>3</v>
      </c>
      <c r="AL1100" s="4">
        <v>0</v>
      </c>
      <c r="AM1100" s="4">
        <v>0</v>
      </c>
      <c r="AN1100" s="4">
        <v>0</v>
      </c>
      <c r="AO1100" s="4">
        <v>0</v>
      </c>
      <c r="AP1100" s="3" t="s">
        <v>58</v>
      </c>
      <c r="AQ1100" s="3" t="s">
        <v>86</v>
      </c>
      <c r="AR1100" s="6" t="str">
        <f>HYPERLINK("http://catalog.hathitrust.org/Record/102014051","HathiTrust Record")</f>
        <v>HathiTrust Record</v>
      </c>
      <c r="AS1100" s="6" t="str">
        <f>HYPERLINK("https://creighton-primo.hosted.exlibrisgroup.com/primo-explore/search?tab=default_tab&amp;search_scope=EVERYTHING&amp;vid=01CRU&amp;lang=en_US&amp;offset=0&amp;query=any,contains,991003535219702656","Catalog Record")</f>
        <v>Catalog Record</v>
      </c>
      <c r="AT1100" s="6" t="str">
        <f>HYPERLINK("http://www.worldcat.org/oclc/1099439","WorldCat Record")</f>
        <v>WorldCat Record</v>
      </c>
      <c r="AU1100" s="3" t="s">
        <v>14208</v>
      </c>
      <c r="AV1100" s="3" t="s">
        <v>14209</v>
      </c>
      <c r="AW1100" s="3" t="s">
        <v>14210</v>
      </c>
      <c r="AX1100" s="3" t="s">
        <v>14210</v>
      </c>
      <c r="AY1100" s="3" t="s">
        <v>14211</v>
      </c>
      <c r="AZ1100" s="3" t="s">
        <v>74</v>
      </c>
      <c r="BB1100" s="3" t="s">
        <v>14212</v>
      </c>
      <c r="BC1100" s="3" t="s">
        <v>14213</v>
      </c>
      <c r="BD1100" s="3" t="s">
        <v>14214</v>
      </c>
    </row>
    <row r="1101" spans="1:56" ht="42.75" customHeight="1" x14ac:dyDescent="0.25">
      <c r="A1101" s="7" t="s">
        <v>58</v>
      </c>
      <c r="B1101" s="2" t="s">
        <v>14215</v>
      </c>
      <c r="C1101" s="2" t="s">
        <v>14216</v>
      </c>
      <c r="D1101" s="2" t="s">
        <v>14217</v>
      </c>
      <c r="F1101" s="3" t="s">
        <v>58</v>
      </c>
      <c r="G1101" s="3" t="s">
        <v>59</v>
      </c>
      <c r="H1101" s="3" t="s">
        <v>58</v>
      </c>
      <c r="I1101" s="3" t="s">
        <v>58</v>
      </c>
      <c r="J1101" s="3" t="s">
        <v>60</v>
      </c>
      <c r="L1101" s="2" t="s">
        <v>14218</v>
      </c>
      <c r="M1101" s="3" t="s">
        <v>3914</v>
      </c>
      <c r="O1101" s="3" t="s">
        <v>64</v>
      </c>
      <c r="P1101" s="3" t="s">
        <v>115</v>
      </c>
      <c r="Q1101" s="2" t="s">
        <v>14219</v>
      </c>
      <c r="R1101" s="3" t="s">
        <v>67</v>
      </c>
      <c r="S1101" s="4">
        <v>10</v>
      </c>
      <c r="T1101" s="4">
        <v>10</v>
      </c>
      <c r="U1101" s="5" t="s">
        <v>14220</v>
      </c>
      <c r="V1101" s="5" t="s">
        <v>14220</v>
      </c>
      <c r="W1101" s="5" t="s">
        <v>210</v>
      </c>
      <c r="X1101" s="5" t="s">
        <v>210</v>
      </c>
      <c r="Y1101" s="4">
        <v>255</v>
      </c>
      <c r="Z1101" s="4">
        <v>203</v>
      </c>
      <c r="AA1101" s="4">
        <v>210</v>
      </c>
      <c r="AB1101" s="4">
        <v>2</v>
      </c>
      <c r="AC1101" s="4">
        <v>2</v>
      </c>
      <c r="AD1101" s="4">
        <v>9</v>
      </c>
      <c r="AE1101" s="4">
        <v>9</v>
      </c>
      <c r="AF1101" s="4">
        <v>3</v>
      </c>
      <c r="AG1101" s="4">
        <v>3</v>
      </c>
      <c r="AH1101" s="4">
        <v>3</v>
      </c>
      <c r="AI1101" s="4">
        <v>3</v>
      </c>
      <c r="AJ1101" s="4">
        <v>4</v>
      </c>
      <c r="AK1101" s="4">
        <v>4</v>
      </c>
      <c r="AL1101" s="4">
        <v>1</v>
      </c>
      <c r="AM1101" s="4">
        <v>1</v>
      </c>
      <c r="AN1101" s="4">
        <v>0</v>
      </c>
      <c r="AO1101" s="4">
        <v>0</v>
      </c>
      <c r="AP1101" s="3" t="s">
        <v>58</v>
      </c>
      <c r="AQ1101" s="3" t="s">
        <v>86</v>
      </c>
      <c r="AR1101" s="6" t="str">
        <f>HYPERLINK("http://catalog.hathitrust.org/Record/000739313","HathiTrust Record")</f>
        <v>HathiTrust Record</v>
      </c>
      <c r="AS1101" s="6" t="str">
        <f>HYPERLINK("https://creighton-primo.hosted.exlibrisgroup.com/primo-explore/search?tab=default_tab&amp;search_scope=EVERYTHING&amp;vid=01CRU&amp;lang=en_US&amp;offset=0&amp;query=any,contains,991004083769702656","Catalog Record")</f>
        <v>Catalog Record</v>
      </c>
      <c r="AT1101" s="6" t="str">
        <f>HYPERLINK("http://www.worldcat.org/oclc/2331456","WorldCat Record")</f>
        <v>WorldCat Record</v>
      </c>
      <c r="AU1101" s="3" t="s">
        <v>14221</v>
      </c>
      <c r="AV1101" s="3" t="s">
        <v>14222</v>
      </c>
      <c r="AW1101" s="3" t="s">
        <v>14223</v>
      </c>
      <c r="AX1101" s="3" t="s">
        <v>14223</v>
      </c>
      <c r="AY1101" s="3" t="s">
        <v>14224</v>
      </c>
      <c r="AZ1101" s="3" t="s">
        <v>74</v>
      </c>
      <c r="BB1101" s="3" t="s">
        <v>14225</v>
      </c>
      <c r="BC1101" s="3" t="s">
        <v>14226</v>
      </c>
      <c r="BD1101" s="3" t="s">
        <v>14227</v>
      </c>
    </row>
    <row r="1102" spans="1:56" ht="42.75" customHeight="1" x14ac:dyDescent="0.25">
      <c r="A1102" s="7" t="s">
        <v>58</v>
      </c>
      <c r="B1102" s="2" t="s">
        <v>14228</v>
      </c>
      <c r="C1102" s="2" t="s">
        <v>14229</v>
      </c>
      <c r="D1102" s="2" t="s">
        <v>14230</v>
      </c>
      <c r="F1102" s="3" t="s">
        <v>58</v>
      </c>
      <c r="G1102" s="3" t="s">
        <v>59</v>
      </c>
      <c r="H1102" s="3" t="s">
        <v>58</v>
      </c>
      <c r="I1102" s="3" t="s">
        <v>86</v>
      </c>
      <c r="J1102" s="3" t="s">
        <v>60</v>
      </c>
      <c r="L1102" s="2" t="s">
        <v>14231</v>
      </c>
      <c r="M1102" s="3" t="s">
        <v>223</v>
      </c>
      <c r="O1102" s="3" t="s">
        <v>64</v>
      </c>
      <c r="P1102" s="3" t="s">
        <v>115</v>
      </c>
      <c r="Q1102" s="2" t="s">
        <v>14219</v>
      </c>
      <c r="R1102" s="3" t="s">
        <v>67</v>
      </c>
      <c r="S1102" s="4">
        <v>58</v>
      </c>
      <c r="T1102" s="4">
        <v>58</v>
      </c>
      <c r="U1102" s="5" t="s">
        <v>14232</v>
      </c>
      <c r="V1102" s="5" t="s">
        <v>14232</v>
      </c>
      <c r="W1102" s="5" t="s">
        <v>4848</v>
      </c>
      <c r="X1102" s="5" t="s">
        <v>4848</v>
      </c>
      <c r="Y1102" s="4">
        <v>225</v>
      </c>
      <c r="Z1102" s="4">
        <v>168</v>
      </c>
      <c r="AA1102" s="4">
        <v>337</v>
      </c>
      <c r="AB1102" s="4">
        <v>2</v>
      </c>
      <c r="AC1102" s="4">
        <v>4</v>
      </c>
      <c r="AD1102" s="4">
        <v>4</v>
      </c>
      <c r="AE1102" s="4">
        <v>15</v>
      </c>
      <c r="AF1102" s="4">
        <v>0</v>
      </c>
      <c r="AG1102" s="4">
        <v>3</v>
      </c>
      <c r="AH1102" s="4">
        <v>1</v>
      </c>
      <c r="AI1102" s="4">
        <v>4</v>
      </c>
      <c r="AJ1102" s="4">
        <v>3</v>
      </c>
      <c r="AK1102" s="4">
        <v>9</v>
      </c>
      <c r="AL1102" s="4">
        <v>0</v>
      </c>
      <c r="AM1102" s="4">
        <v>1</v>
      </c>
      <c r="AN1102" s="4">
        <v>0</v>
      </c>
      <c r="AO1102" s="4">
        <v>0</v>
      </c>
      <c r="AP1102" s="3" t="s">
        <v>58</v>
      </c>
      <c r="AQ1102" s="3" t="s">
        <v>86</v>
      </c>
      <c r="AR1102" s="6" t="str">
        <f>HYPERLINK("http://catalog.hathitrust.org/Record/000017849","HathiTrust Record")</f>
        <v>HathiTrust Record</v>
      </c>
      <c r="AS1102" s="6" t="str">
        <f>HYPERLINK("https://creighton-primo.hosted.exlibrisgroup.com/primo-explore/search?tab=default_tab&amp;search_scope=EVERYTHING&amp;vid=01CRU&amp;lang=en_US&amp;offset=0&amp;query=any,contains,991004566619702656","Catalog Record")</f>
        <v>Catalog Record</v>
      </c>
      <c r="AT1102" s="6" t="str">
        <f>HYPERLINK("http://www.worldcat.org/oclc/4004644","WorldCat Record")</f>
        <v>WorldCat Record</v>
      </c>
      <c r="AU1102" s="3" t="s">
        <v>14233</v>
      </c>
      <c r="AV1102" s="3" t="s">
        <v>14234</v>
      </c>
      <c r="AW1102" s="3" t="s">
        <v>14235</v>
      </c>
      <c r="AX1102" s="3" t="s">
        <v>14235</v>
      </c>
      <c r="AY1102" s="3" t="s">
        <v>14236</v>
      </c>
      <c r="AZ1102" s="3" t="s">
        <v>74</v>
      </c>
      <c r="BB1102" s="3" t="s">
        <v>14237</v>
      </c>
      <c r="BC1102" s="3" t="s">
        <v>14238</v>
      </c>
      <c r="BD1102" s="3" t="s">
        <v>14239</v>
      </c>
    </row>
    <row r="1103" spans="1:56" ht="42.75" customHeight="1" x14ac:dyDescent="0.25">
      <c r="A1103" s="7" t="s">
        <v>58</v>
      </c>
      <c r="B1103" s="2" t="s">
        <v>14240</v>
      </c>
      <c r="C1103" s="2" t="s">
        <v>14241</v>
      </c>
      <c r="D1103" s="2" t="s">
        <v>14242</v>
      </c>
      <c r="F1103" s="3" t="s">
        <v>58</v>
      </c>
      <c r="G1103" s="3" t="s">
        <v>59</v>
      </c>
      <c r="H1103" s="3" t="s">
        <v>58</v>
      </c>
      <c r="I1103" s="3" t="s">
        <v>58</v>
      </c>
      <c r="J1103" s="3" t="s">
        <v>60</v>
      </c>
      <c r="L1103" s="2" t="s">
        <v>14243</v>
      </c>
      <c r="M1103" s="3" t="s">
        <v>177</v>
      </c>
      <c r="O1103" s="3" t="s">
        <v>64</v>
      </c>
      <c r="P1103" s="3" t="s">
        <v>115</v>
      </c>
      <c r="R1103" s="3" t="s">
        <v>67</v>
      </c>
      <c r="S1103" s="4">
        <v>11</v>
      </c>
      <c r="T1103" s="4">
        <v>11</v>
      </c>
      <c r="U1103" s="5" t="s">
        <v>3667</v>
      </c>
      <c r="V1103" s="5" t="s">
        <v>3667</v>
      </c>
      <c r="W1103" s="5" t="s">
        <v>165</v>
      </c>
      <c r="X1103" s="5" t="s">
        <v>165</v>
      </c>
      <c r="Y1103" s="4">
        <v>307</v>
      </c>
      <c r="Z1103" s="4">
        <v>254</v>
      </c>
      <c r="AA1103" s="4">
        <v>261</v>
      </c>
      <c r="AB1103" s="4">
        <v>3</v>
      </c>
      <c r="AC1103" s="4">
        <v>3</v>
      </c>
      <c r="AD1103" s="4">
        <v>6</v>
      </c>
      <c r="AE1103" s="4">
        <v>6</v>
      </c>
      <c r="AF1103" s="4">
        <v>0</v>
      </c>
      <c r="AG1103" s="4">
        <v>0</v>
      </c>
      <c r="AH1103" s="4">
        <v>0</v>
      </c>
      <c r="AI1103" s="4">
        <v>0</v>
      </c>
      <c r="AJ1103" s="4">
        <v>4</v>
      </c>
      <c r="AK1103" s="4">
        <v>4</v>
      </c>
      <c r="AL1103" s="4">
        <v>2</v>
      </c>
      <c r="AM1103" s="4">
        <v>2</v>
      </c>
      <c r="AN1103" s="4">
        <v>0</v>
      </c>
      <c r="AO1103" s="4">
        <v>0</v>
      </c>
      <c r="AP1103" s="3" t="s">
        <v>58</v>
      </c>
      <c r="AQ1103" s="3" t="s">
        <v>86</v>
      </c>
      <c r="AR1103" s="6" t="str">
        <f>HYPERLINK("http://catalog.hathitrust.org/Record/001565160","HathiTrust Record")</f>
        <v>HathiTrust Record</v>
      </c>
      <c r="AS1103" s="6" t="str">
        <f>HYPERLINK("https://creighton-primo.hosted.exlibrisgroup.com/primo-explore/search?tab=default_tab&amp;search_scope=EVERYTHING&amp;vid=01CRU&amp;lang=en_US&amp;offset=0&amp;query=any,contains,991003189389702656","Catalog Record")</f>
        <v>Catalog Record</v>
      </c>
      <c r="AT1103" s="6" t="str">
        <f>HYPERLINK("http://www.worldcat.org/oclc/714487","WorldCat Record")</f>
        <v>WorldCat Record</v>
      </c>
      <c r="AU1103" s="3" t="s">
        <v>14244</v>
      </c>
      <c r="AV1103" s="3" t="s">
        <v>14245</v>
      </c>
      <c r="AW1103" s="3" t="s">
        <v>14246</v>
      </c>
      <c r="AX1103" s="3" t="s">
        <v>14246</v>
      </c>
      <c r="AY1103" s="3" t="s">
        <v>14247</v>
      </c>
      <c r="AZ1103" s="3" t="s">
        <v>74</v>
      </c>
      <c r="BB1103" s="3" t="s">
        <v>14248</v>
      </c>
      <c r="BC1103" s="3" t="s">
        <v>14249</v>
      </c>
      <c r="BD1103" s="3" t="s">
        <v>14250</v>
      </c>
    </row>
    <row r="1104" spans="1:56" ht="42.75" customHeight="1" x14ac:dyDescent="0.25">
      <c r="A1104" s="7" t="s">
        <v>58</v>
      </c>
      <c r="B1104" s="2" t="s">
        <v>14251</v>
      </c>
      <c r="C1104" s="2" t="s">
        <v>14252</v>
      </c>
      <c r="D1104" s="2" t="s">
        <v>14253</v>
      </c>
      <c r="F1104" s="3" t="s">
        <v>58</v>
      </c>
      <c r="G1104" s="3" t="s">
        <v>59</v>
      </c>
      <c r="H1104" s="3" t="s">
        <v>58</v>
      </c>
      <c r="I1104" s="3" t="s">
        <v>58</v>
      </c>
      <c r="J1104" s="3" t="s">
        <v>60</v>
      </c>
      <c r="K1104" s="2" t="s">
        <v>14254</v>
      </c>
      <c r="L1104" s="2" t="s">
        <v>5488</v>
      </c>
      <c r="M1104" s="3" t="s">
        <v>2386</v>
      </c>
      <c r="O1104" s="3" t="s">
        <v>64</v>
      </c>
      <c r="P1104" s="3" t="s">
        <v>115</v>
      </c>
      <c r="Q1104" s="2" t="s">
        <v>13798</v>
      </c>
      <c r="R1104" s="3" t="s">
        <v>67</v>
      </c>
      <c r="S1104" s="4">
        <v>4</v>
      </c>
      <c r="T1104" s="4">
        <v>4</v>
      </c>
      <c r="U1104" s="5" t="s">
        <v>14255</v>
      </c>
      <c r="V1104" s="5" t="s">
        <v>14255</v>
      </c>
      <c r="W1104" s="5" t="s">
        <v>210</v>
      </c>
      <c r="X1104" s="5" t="s">
        <v>210</v>
      </c>
      <c r="Y1104" s="4">
        <v>311</v>
      </c>
      <c r="Z1104" s="4">
        <v>237</v>
      </c>
      <c r="AA1104" s="4">
        <v>245</v>
      </c>
      <c r="AB1104" s="4">
        <v>2</v>
      </c>
      <c r="AC1104" s="4">
        <v>2</v>
      </c>
      <c r="AD1104" s="4">
        <v>11</v>
      </c>
      <c r="AE1104" s="4">
        <v>11</v>
      </c>
      <c r="AF1104" s="4">
        <v>3</v>
      </c>
      <c r="AG1104" s="4">
        <v>3</v>
      </c>
      <c r="AH1104" s="4">
        <v>2</v>
      </c>
      <c r="AI1104" s="4">
        <v>2</v>
      </c>
      <c r="AJ1104" s="4">
        <v>6</v>
      </c>
      <c r="AK1104" s="4">
        <v>6</v>
      </c>
      <c r="AL1104" s="4">
        <v>1</v>
      </c>
      <c r="AM1104" s="4">
        <v>1</v>
      </c>
      <c r="AN1104" s="4">
        <v>0</v>
      </c>
      <c r="AO1104" s="4">
        <v>0</v>
      </c>
      <c r="AP1104" s="3" t="s">
        <v>58</v>
      </c>
      <c r="AQ1104" s="3" t="s">
        <v>86</v>
      </c>
      <c r="AR1104" s="6" t="str">
        <f>HYPERLINK("http://catalog.hathitrust.org/Record/001565161","HathiTrust Record")</f>
        <v>HathiTrust Record</v>
      </c>
      <c r="AS1104" s="6" t="str">
        <f>HYPERLINK("https://creighton-primo.hosted.exlibrisgroup.com/primo-explore/search?tab=default_tab&amp;search_scope=EVERYTHING&amp;vid=01CRU&amp;lang=en_US&amp;offset=0&amp;query=any,contains,991003229589702656","Catalog Record")</f>
        <v>Catalog Record</v>
      </c>
      <c r="AT1104" s="6" t="str">
        <f>HYPERLINK("http://www.worldcat.org/oclc/754471","WorldCat Record")</f>
        <v>WorldCat Record</v>
      </c>
      <c r="AU1104" s="3" t="s">
        <v>14256</v>
      </c>
      <c r="AV1104" s="3" t="s">
        <v>14257</v>
      </c>
      <c r="AW1104" s="3" t="s">
        <v>14258</v>
      </c>
      <c r="AX1104" s="3" t="s">
        <v>14258</v>
      </c>
      <c r="AY1104" s="3" t="s">
        <v>14259</v>
      </c>
      <c r="AZ1104" s="3" t="s">
        <v>74</v>
      </c>
      <c r="BB1104" s="3" t="s">
        <v>14260</v>
      </c>
      <c r="BC1104" s="3" t="s">
        <v>14261</v>
      </c>
      <c r="BD1104" s="3" t="s">
        <v>14262</v>
      </c>
    </row>
    <row r="1105" spans="1:56" ht="42.75" customHeight="1" x14ac:dyDescent="0.25">
      <c r="A1105" s="7" t="s">
        <v>58</v>
      </c>
      <c r="B1105" s="2" t="s">
        <v>14263</v>
      </c>
      <c r="C1105" s="2" t="s">
        <v>14264</v>
      </c>
      <c r="D1105" s="2" t="s">
        <v>14265</v>
      </c>
      <c r="F1105" s="3" t="s">
        <v>58</v>
      </c>
      <c r="G1105" s="3" t="s">
        <v>59</v>
      </c>
      <c r="H1105" s="3" t="s">
        <v>58</v>
      </c>
      <c r="I1105" s="3" t="s">
        <v>58</v>
      </c>
      <c r="J1105" s="3" t="s">
        <v>60</v>
      </c>
      <c r="K1105" s="2" t="s">
        <v>14266</v>
      </c>
      <c r="L1105" s="2" t="s">
        <v>14267</v>
      </c>
      <c r="M1105" s="3" t="s">
        <v>737</v>
      </c>
      <c r="O1105" s="3" t="s">
        <v>64</v>
      </c>
      <c r="P1105" s="3" t="s">
        <v>1898</v>
      </c>
      <c r="R1105" s="3" t="s">
        <v>67</v>
      </c>
      <c r="S1105" s="4">
        <v>38</v>
      </c>
      <c r="T1105" s="4">
        <v>38</v>
      </c>
      <c r="U1105" s="5" t="s">
        <v>14268</v>
      </c>
      <c r="V1105" s="5" t="s">
        <v>14268</v>
      </c>
      <c r="W1105" s="5" t="s">
        <v>3000</v>
      </c>
      <c r="X1105" s="5" t="s">
        <v>3000</v>
      </c>
      <c r="Y1105" s="4">
        <v>309</v>
      </c>
      <c r="Z1105" s="4">
        <v>299</v>
      </c>
      <c r="AA1105" s="4">
        <v>312</v>
      </c>
      <c r="AB1105" s="4">
        <v>2</v>
      </c>
      <c r="AC1105" s="4">
        <v>2</v>
      </c>
      <c r="AD1105" s="4">
        <v>4</v>
      </c>
      <c r="AE1105" s="4">
        <v>4</v>
      </c>
      <c r="AF1105" s="4">
        <v>1</v>
      </c>
      <c r="AG1105" s="4">
        <v>1</v>
      </c>
      <c r="AH1105" s="4">
        <v>1</v>
      </c>
      <c r="AI1105" s="4">
        <v>1</v>
      </c>
      <c r="AJ1105" s="4">
        <v>1</v>
      </c>
      <c r="AK1105" s="4">
        <v>1</v>
      </c>
      <c r="AL1105" s="4">
        <v>1</v>
      </c>
      <c r="AM1105" s="4">
        <v>1</v>
      </c>
      <c r="AN1105" s="4">
        <v>0</v>
      </c>
      <c r="AO1105" s="4">
        <v>0</v>
      </c>
      <c r="AP1105" s="3" t="s">
        <v>58</v>
      </c>
      <c r="AQ1105" s="3" t="s">
        <v>86</v>
      </c>
      <c r="AR1105" s="6" t="str">
        <f>HYPERLINK("http://catalog.hathitrust.org/Record/004534132","HathiTrust Record")</f>
        <v>HathiTrust Record</v>
      </c>
      <c r="AS1105" s="6" t="str">
        <f>HYPERLINK("https://creighton-primo.hosted.exlibrisgroup.com/primo-explore/search?tab=default_tab&amp;search_scope=EVERYTHING&amp;vid=01CRU&amp;lang=en_US&amp;offset=0&amp;query=any,contains,991002340139702656","Catalog Record")</f>
        <v>Catalog Record</v>
      </c>
      <c r="AT1105" s="6" t="str">
        <f>HYPERLINK("http://www.worldcat.org/oclc/30473362","WorldCat Record")</f>
        <v>WorldCat Record</v>
      </c>
      <c r="AU1105" s="3" t="s">
        <v>14269</v>
      </c>
      <c r="AV1105" s="3" t="s">
        <v>14270</v>
      </c>
      <c r="AW1105" s="3" t="s">
        <v>14271</v>
      </c>
      <c r="AX1105" s="3" t="s">
        <v>14271</v>
      </c>
      <c r="AY1105" s="3" t="s">
        <v>14272</v>
      </c>
      <c r="AZ1105" s="3" t="s">
        <v>74</v>
      </c>
      <c r="BB1105" s="3" t="s">
        <v>14273</v>
      </c>
      <c r="BC1105" s="3" t="s">
        <v>14274</v>
      </c>
      <c r="BD1105" s="3" t="s">
        <v>14275</v>
      </c>
    </row>
    <row r="1106" spans="1:56" ht="42.75" customHeight="1" x14ac:dyDescent="0.25">
      <c r="A1106" s="7" t="s">
        <v>58</v>
      </c>
      <c r="B1106" s="2" t="s">
        <v>14276</v>
      </c>
      <c r="C1106" s="2" t="s">
        <v>14277</v>
      </c>
      <c r="D1106" s="2" t="s">
        <v>14278</v>
      </c>
      <c r="F1106" s="3" t="s">
        <v>58</v>
      </c>
      <c r="G1106" s="3" t="s">
        <v>59</v>
      </c>
      <c r="H1106" s="3" t="s">
        <v>58</v>
      </c>
      <c r="I1106" s="3" t="s">
        <v>58</v>
      </c>
      <c r="J1106" s="3" t="s">
        <v>60</v>
      </c>
      <c r="K1106" s="2" t="s">
        <v>14279</v>
      </c>
      <c r="L1106" s="2" t="s">
        <v>14280</v>
      </c>
      <c r="M1106" s="3" t="s">
        <v>314</v>
      </c>
      <c r="O1106" s="3" t="s">
        <v>64</v>
      </c>
      <c r="P1106" s="3" t="s">
        <v>316</v>
      </c>
      <c r="R1106" s="3" t="s">
        <v>67</v>
      </c>
      <c r="S1106" s="4">
        <v>16</v>
      </c>
      <c r="T1106" s="4">
        <v>16</v>
      </c>
      <c r="U1106" s="5" t="s">
        <v>6931</v>
      </c>
      <c r="V1106" s="5" t="s">
        <v>6931</v>
      </c>
      <c r="W1106" s="5" t="s">
        <v>165</v>
      </c>
      <c r="X1106" s="5" t="s">
        <v>165</v>
      </c>
      <c r="Y1106" s="4">
        <v>181</v>
      </c>
      <c r="Z1106" s="4">
        <v>147</v>
      </c>
      <c r="AA1106" s="4">
        <v>148</v>
      </c>
      <c r="AB1106" s="4">
        <v>2</v>
      </c>
      <c r="AC1106" s="4">
        <v>2</v>
      </c>
      <c r="AD1106" s="4">
        <v>5</v>
      </c>
      <c r="AE1106" s="4">
        <v>5</v>
      </c>
      <c r="AF1106" s="4">
        <v>0</v>
      </c>
      <c r="AG1106" s="4">
        <v>0</v>
      </c>
      <c r="AH1106" s="4">
        <v>0</v>
      </c>
      <c r="AI1106" s="4">
        <v>0</v>
      </c>
      <c r="AJ1106" s="4">
        <v>2</v>
      </c>
      <c r="AK1106" s="4">
        <v>2</v>
      </c>
      <c r="AL1106" s="4">
        <v>1</v>
      </c>
      <c r="AM1106" s="4">
        <v>1</v>
      </c>
      <c r="AN1106" s="4">
        <v>2</v>
      </c>
      <c r="AO1106" s="4">
        <v>2</v>
      </c>
      <c r="AP1106" s="3" t="s">
        <v>58</v>
      </c>
      <c r="AQ1106" s="3" t="s">
        <v>86</v>
      </c>
      <c r="AR1106" s="6" t="str">
        <f>HYPERLINK("http://catalog.hathitrust.org/Record/001565167","HathiTrust Record")</f>
        <v>HathiTrust Record</v>
      </c>
      <c r="AS1106" s="6" t="str">
        <f>HYPERLINK("https://creighton-primo.hosted.exlibrisgroup.com/primo-explore/search?tab=default_tab&amp;search_scope=EVERYTHING&amp;vid=01CRU&amp;lang=en_US&amp;offset=0&amp;query=any,contains,991002802669702656","Catalog Record")</f>
        <v>Catalog Record</v>
      </c>
      <c r="AT1106" s="6" t="str">
        <f>HYPERLINK("http://www.worldcat.org/oclc/448257","WorldCat Record")</f>
        <v>WorldCat Record</v>
      </c>
      <c r="AU1106" s="3" t="s">
        <v>14281</v>
      </c>
      <c r="AV1106" s="3" t="s">
        <v>14282</v>
      </c>
      <c r="AW1106" s="3" t="s">
        <v>14283</v>
      </c>
      <c r="AX1106" s="3" t="s">
        <v>14283</v>
      </c>
      <c r="AY1106" s="3" t="s">
        <v>14284</v>
      </c>
      <c r="AZ1106" s="3" t="s">
        <v>74</v>
      </c>
      <c r="BC1106" s="3" t="s">
        <v>14285</v>
      </c>
      <c r="BD1106" s="3" t="s">
        <v>14286</v>
      </c>
    </row>
    <row r="1107" spans="1:56" ht="42.75" customHeight="1" x14ac:dyDescent="0.25">
      <c r="A1107" s="7" t="s">
        <v>58</v>
      </c>
      <c r="B1107" s="2" t="s">
        <v>14287</v>
      </c>
      <c r="C1107" s="2" t="s">
        <v>14288</v>
      </c>
      <c r="D1107" s="2" t="s">
        <v>14289</v>
      </c>
      <c r="F1107" s="3" t="s">
        <v>58</v>
      </c>
      <c r="G1107" s="3" t="s">
        <v>59</v>
      </c>
      <c r="H1107" s="3" t="s">
        <v>58</v>
      </c>
      <c r="I1107" s="3" t="s">
        <v>58</v>
      </c>
      <c r="J1107" s="3" t="s">
        <v>60</v>
      </c>
      <c r="K1107" s="2" t="s">
        <v>14290</v>
      </c>
      <c r="L1107" s="2" t="s">
        <v>14291</v>
      </c>
      <c r="M1107" s="3" t="s">
        <v>2227</v>
      </c>
      <c r="O1107" s="3" t="s">
        <v>64</v>
      </c>
      <c r="P1107" s="3" t="s">
        <v>8171</v>
      </c>
      <c r="R1107" s="3" t="s">
        <v>67</v>
      </c>
      <c r="S1107" s="4">
        <v>18</v>
      </c>
      <c r="T1107" s="4">
        <v>18</v>
      </c>
      <c r="U1107" s="5" t="s">
        <v>8144</v>
      </c>
      <c r="V1107" s="5" t="s">
        <v>8144</v>
      </c>
      <c r="W1107" s="5" t="s">
        <v>2065</v>
      </c>
      <c r="X1107" s="5" t="s">
        <v>2065</v>
      </c>
      <c r="Y1107" s="4">
        <v>256</v>
      </c>
      <c r="Z1107" s="4">
        <v>177</v>
      </c>
      <c r="AA1107" s="4">
        <v>179</v>
      </c>
      <c r="AB1107" s="4">
        <v>2</v>
      </c>
      <c r="AC1107" s="4">
        <v>2</v>
      </c>
      <c r="AD1107" s="4">
        <v>9</v>
      </c>
      <c r="AE1107" s="4">
        <v>9</v>
      </c>
      <c r="AF1107" s="4">
        <v>3</v>
      </c>
      <c r="AG1107" s="4">
        <v>3</v>
      </c>
      <c r="AH1107" s="4">
        <v>2</v>
      </c>
      <c r="AI1107" s="4">
        <v>2</v>
      </c>
      <c r="AJ1107" s="4">
        <v>4</v>
      </c>
      <c r="AK1107" s="4">
        <v>4</v>
      </c>
      <c r="AL1107" s="4">
        <v>1</v>
      </c>
      <c r="AM1107" s="4">
        <v>1</v>
      </c>
      <c r="AN1107" s="4">
        <v>0</v>
      </c>
      <c r="AO1107" s="4">
        <v>0</v>
      </c>
      <c r="AP1107" s="3" t="s">
        <v>58</v>
      </c>
      <c r="AQ1107" s="3" t="s">
        <v>86</v>
      </c>
      <c r="AR1107" s="6" t="str">
        <f>HYPERLINK("http://catalog.hathitrust.org/Record/000351951","HathiTrust Record")</f>
        <v>HathiTrust Record</v>
      </c>
      <c r="AS1107" s="6" t="str">
        <f>HYPERLINK("https://creighton-primo.hosted.exlibrisgroup.com/primo-explore/search?tab=default_tab&amp;search_scope=EVERYTHING&amp;vid=01CRU&amp;lang=en_US&amp;offset=0&amp;query=any,contains,991000658779702656","Catalog Record")</f>
        <v>Catalog Record</v>
      </c>
      <c r="AT1107" s="6" t="str">
        <f>HYPERLINK("http://www.worldcat.org/oclc/12498572","WorldCat Record")</f>
        <v>WorldCat Record</v>
      </c>
      <c r="AU1107" s="3" t="s">
        <v>14292</v>
      </c>
      <c r="AV1107" s="3" t="s">
        <v>14293</v>
      </c>
      <c r="AW1107" s="3" t="s">
        <v>14294</v>
      </c>
      <c r="AX1107" s="3" t="s">
        <v>14294</v>
      </c>
      <c r="AY1107" s="3" t="s">
        <v>14295</v>
      </c>
      <c r="AZ1107" s="3" t="s">
        <v>74</v>
      </c>
      <c r="BB1107" s="3" t="s">
        <v>14296</v>
      </c>
      <c r="BC1107" s="3" t="s">
        <v>14297</v>
      </c>
      <c r="BD1107" s="3" t="s">
        <v>14298</v>
      </c>
    </row>
    <row r="1108" spans="1:56" ht="42.75" customHeight="1" x14ac:dyDescent="0.25">
      <c r="A1108" s="7" t="s">
        <v>58</v>
      </c>
      <c r="B1108" s="2" t="s">
        <v>14299</v>
      </c>
      <c r="C1108" s="2" t="s">
        <v>14300</v>
      </c>
      <c r="D1108" s="2" t="s">
        <v>14301</v>
      </c>
      <c r="F1108" s="3" t="s">
        <v>58</v>
      </c>
      <c r="G1108" s="3" t="s">
        <v>59</v>
      </c>
      <c r="H1108" s="3" t="s">
        <v>58</v>
      </c>
      <c r="I1108" s="3" t="s">
        <v>58</v>
      </c>
      <c r="J1108" s="3" t="s">
        <v>60</v>
      </c>
      <c r="K1108" s="2" t="s">
        <v>14302</v>
      </c>
      <c r="L1108" s="2" t="s">
        <v>14303</v>
      </c>
      <c r="M1108" s="3" t="s">
        <v>888</v>
      </c>
      <c r="N1108" s="2" t="s">
        <v>1736</v>
      </c>
      <c r="O1108" s="3" t="s">
        <v>64</v>
      </c>
      <c r="P1108" s="3" t="s">
        <v>115</v>
      </c>
      <c r="R1108" s="3" t="s">
        <v>67</v>
      </c>
      <c r="S1108" s="4">
        <v>30</v>
      </c>
      <c r="T1108" s="4">
        <v>30</v>
      </c>
      <c r="U1108" s="5" t="s">
        <v>14304</v>
      </c>
      <c r="V1108" s="5" t="s">
        <v>14304</v>
      </c>
      <c r="W1108" s="5" t="s">
        <v>14305</v>
      </c>
      <c r="X1108" s="5" t="s">
        <v>14305</v>
      </c>
      <c r="Y1108" s="4">
        <v>542</v>
      </c>
      <c r="Z1108" s="4">
        <v>509</v>
      </c>
      <c r="AA1108" s="4">
        <v>513</v>
      </c>
      <c r="AB1108" s="4">
        <v>4</v>
      </c>
      <c r="AC1108" s="4">
        <v>4</v>
      </c>
      <c r="AD1108" s="4">
        <v>13</v>
      </c>
      <c r="AE1108" s="4">
        <v>13</v>
      </c>
      <c r="AF1108" s="4">
        <v>6</v>
      </c>
      <c r="AG1108" s="4">
        <v>6</v>
      </c>
      <c r="AH1108" s="4">
        <v>1</v>
      </c>
      <c r="AI1108" s="4">
        <v>1</v>
      </c>
      <c r="AJ1108" s="4">
        <v>6</v>
      </c>
      <c r="AK1108" s="4">
        <v>6</v>
      </c>
      <c r="AL1108" s="4">
        <v>1</v>
      </c>
      <c r="AM1108" s="4">
        <v>1</v>
      </c>
      <c r="AN1108" s="4">
        <v>0</v>
      </c>
      <c r="AO1108" s="4">
        <v>0</v>
      </c>
      <c r="AP1108" s="3" t="s">
        <v>58</v>
      </c>
      <c r="AQ1108" s="3" t="s">
        <v>58</v>
      </c>
      <c r="AS1108" s="6" t="str">
        <f>HYPERLINK("https://creighton-primo.hosted.exlibrisgroup.com/primo-explore/search?tab=default_tab&amp;search_scope=EVERYTHING&amp;vid=01CRU&amp;lang=en_US&amp;offset=0&amp;query=any,contains,991002886999702656","Catalog Record")</f>
        <v>Catalog Record</v>
      </c>
      <c r="AT1108" s="6" t="str">
        <f>HYPERLINK("http://www.worldcat.org/oclc/38043060","WorldCat Record")</f>
        <v>WorldCat Record</v>
      </c>
      <c r="AU1108" s="3" t="s">
        <v>14306</v>
      </c>
      <c r="AV1108" s="3" t="s">
        <v>14307</v>
      </c>
      <c r="AW1108" s="3" t="s">
        <v>14308</v>
      </c>
      <c r="AX1108" s="3" t="s">
        <v>14308</v>
      </c>
      <c r="AY1108" s="3" t="s">
        <v>14309</v>
      </c>
      <c r="AZ1108" s="3" t="s">
        <v>74</v>
      </c>
      <c r="BB1108" s="3" t="s">
        <v>14310</v>
      </c>
      <c r="BC1108" s="3" t="s">
        <v>14311</v>
      </c>
      <c r="BD1108" s="3" t="s">
        <v>14312</v>
      </c>
    </row>
    <row r="1109" spans="1:56" ht="42.75" customHeight="1" x14ac:dyDescent="0.25">
      <c r="A1109" s="7" t="s">
        <v>58</v>
      </c>
      <c r="B1109" s="2" t="s">
        <v>14313</v>
      </c>
      <c r="C1109" s="2" t="s">
        <v>14314</v>
      </c>
      <c r="D1109" s="2" t="s">
        <v>14315</v>
      </c>
      <c r="F1109" s="3" t="s">
        <v>58</v>
      </c>
      <c r="G1109" s="3" t="s">
        <v>59</v>
      </c>
      <c r="H1109" s="3" t="s">
        <v>86</v>
      </c>
      <c r="I1109" s="3" t="s">
        <v>58</v>
      </c>
      <c r="J1109" s="3" t="s">
        <v>60</v>
      </c>
      <c r="K1109" s="2" t="s">
        <v>8758</v>
      </c>
      <c r="L1109" s="2" t="s">
        <v>14316</v>
      </c>
      <c r="M1109" s="3" t="s">
        <v>223</v>
      </c>
      <c r="O1109" s="3" t="s">
        <v>64</v>
      </c>
      <c r="P1109" s="3" t="s">
        <v>208</v>
      </c>
      <c r="R1109" s="3" t="s">
        <v>67</v>
      </c>
      <c r="S1109" s="4">
        <v>29</v>
      </c>
      <c r="T1109" s="4">
        <v>53</v>
      </c>
      <c r="U1109" s="5" t="s">
        <v>3667</v>
      </c>
      <c r="V1109" s="5" t="s">
        <v>3667</v>
      </c>
      <c r="W1109" s="5" t="s">
        <v>1978</v>
      </c>
      <c r="X1109" s="5" t="s">
        <v>1978</v>
      </c>
      <c r="Y1109" s="4">
        <v>1255</v>
      </c>
      <c r="Z1109" s="4">
        <v>1153</v>
      </c>
      <c r="AA1109" s="4">
        <v>1525</v>
      </c>
      <c r="AB1109" s="4">
        <v>8</v>
      </c>
      <c r="AC1109" s="4">
        <v>10</v>
      </c>
      <c r="AD1109" s="4">
        <v>29</v>
      </c>
      <c r="AE1109" s="4">
        <v>38</v>
      </c>
      <c r="AF1109" s="4">
        <v>13</v>
      </c>
      <c r="AG1109" s="4">
        <v>18</v>
      </c>
      <c r="AH1109" s="4">
        <v>6</v>
      </c>
      <c r="AI1109" s="4">
        <v>7</v>
      </c>
      <c r="AJ1109" s="4">
        <v>16</v>
      </c>
      <c r="AK1109" s="4">
        <v>20</v>
      </c>
      <c r="AL1109" s="4">
        <v>1</v>
      </c>
      <c r="AM1109" s="4">
        <v>3</v>
      </c>
      <c r="AN1109" s="4">
        <v>0</v>
      </c>
      <c r="AO1109" s="4">
        <v>0</v>
      </c>
      <c r="AP1109" s="3" t="s">
        <v>58</v>
      </c>
      <c r="AQ1109" s="3" t="s">
        <v>86</v>
      </c>
      <c r="AR1109" s="6" t="str">
        <f>HYPERLINK("http://catalog.hathitrust.org/Record/000129120","HathiTrust Record")</f>
        <v>HathiTrust Record</v>
      </c>
      <c r="AS1109" s="6" t="str">
        <f>HYPERLINK("https://creighton-primo.hosted.exlibrisgroup.com/primo-explore/search?tab=default_tab&amp;search_scope=EVERYTHING&amp;vid=01CRU&amp;lang=en_US&amp;offset=0&amp;query=any,contains,991001760819702656","Catalog Record")</f>
        <v>Catalog Record</v>
      </c>
      <c r="AT1109" s="6" t="str">
        <f>HYPERLINK("http://www.worldcat.org/oclc/3204261","WorldCat Record")</f>
        <v>WorldCat Record</v>
      </c>
      <c r="AU1109" s="3" t="s">
        <v>14317</v>
      </c>
      <c r="AV1109" s="3" t="s">
        <v>14318</v>
      </c>
      <c r="AW1109" s="3" t="s">
        <v>14319</v>
      </c>
      <c r="AX1109" s="3" t="s">
        <v>14319</v>
      </c>
      <c r="AY1109" s="3" t="s">
        <v>14320</v>
      </c>
      <c r="AZ1109" s="3" t="s">
        <v>74</v>
      </c>
      <c r="BB1109" s="3" t="s">
        <v>14321</v>
      </c>
      <c r="BC1109" s="3" t="s">
        <v>14322</v>
      </c>
      <c r="BD1109" s="3" t="s">
        <v>14323</v>
      </c>
    </row>
    <row r="1110" spans="1:56" ht="42.75" customHeight="1" x14ac:dyDescent="0.25">
      <c r="A1110" s="7" t="s">
        <v>58</v>
      </c>
      <c r="B1110" s="2" t="s">
        <v>14324</v>
      </c>
      <c r="C1110" s="2" t="s">
        <v>14325</v>
      </c>
      <c r="D1110" s="2" t="s">
        <v>14326</v>
      </c>
      <c r="F1110" s="3" t="s">
        <v>58</v>
      </c>
      <c r="G1110" s="3" t="s">
        <v>59</v>
      </c>
      <c r="H1110" s="3" t="s">
        <v>58</v>
      </c>
      <c r="I1110" s="3" t="s">
        <v>58</v>
      </c>
      <c r="J1110" s="3" t="s">
        <v>60</v>
      </c>
      <c r="K1110" s="2" t="s">
        <v>14327</v>
      </c>
      <c r="L1110" s="2" t="s">
        <v>14328</v>
      </c>
      <c r="M1110" s="3" t="s">
        <v>642</v>
      </c>
      <c r="O1110" s="3" t="s">
        <v>64</v>
      </c>
      <c r="P1110" s="3" t="s">
        <v>1654</v>
      </c>
      <c r="R1110" s="3" t="s">
        <v>67</v>
      </c>
      <c r="S1110" s="4">
        <v>96</v>
      </c>
      <c r="T1110" s="4">
        <v>96</v>
      </c>
      <c r="U1110" s="5" t="s">
        <v>8196</v>
      </c>
      <c r="V1110" s="5" t="s">
        <v>8196</v>
      </c>
      <c r="W1110" s="5" t="s">
        <v>3901</v>
      </c>
      <c r="X1110" s="5" t="s">
        <v>3901</v>
      </c>
      <c r="Y1110" s="4">
        <v>187</v>
      </c>
      <c r="Z1110" s="4">
        <v>140</v>
      </c>
      <c r="AA1110" s="4">
        <v>158</v>
      </c>
      <c r="AB1110" s="4">
        <v>1</v>
      </c>
      <c r="AC1110" s="4">
        <v>1</v>
      </c>
      <c r="AD1110" s="4">
        <v>5</v>
      </c>
      <c r="AE1110" s="4">
        <v>5</v>
      </c>
      <c r="AF1110" s="4">
        <v>2</v>
      </c>
      <c r="AG1110" s="4">
        <v>2</v>
      </c>
      <c r="AH1110" s="4">
        <v>0</v>
      </c>
      <c r="AI1110" s="4">
        <v>0</v>
      </c>
      <c r="AJ1110" s="4">
        <v>4</v>
      </c>
      <c r="AK1110" s="4">
        <v>4</v>
      </c>
      <c r="AL1110" s="4">
        <v>0</v>
      </c>
      <c r="AM1110" s="4">
        <v>0</v>
      </c>
      <c r="AN1110" s="4">
        <v>0</v>
      </c>
      <c r="AO1110" s="4">
        <v>0</v>
      </c>
      <c r="AP1110" s="3" t="s">
        <v>58</v>
      </c>
      <c r="AQ1110" s="3" t="s">
        <v>86</v>
      </c>
      <c r="AR1110" s="6" t="str">
        <f>HYPERLINK("http://catalog.hathitrust.org/Record/002811415","HathiTrust Record")</f>
        <v>HathiTrust Record</v>
      </c>
      <c r="AS1110" s="6" t="str">
        <f>HYPERLINK("https://creighton-primo.hosted.exlibrisgroup.com/primo-explore/search?tab=default_tab&amp;search_scope=EVERYTHING&amp;vid=01CRU&amp;lang=en_US&amp;offset=0&amp;query=any,contains,991001679259702656","Catalog Record")</f>
        <v>Catalog Record</v>
      </c>
      <c r="AT1110" s="6" t="str">
        <f>HYPERLINK("http://www.worldcat.org/oclc/21335953","WorldCat Record")</f>
        <v>WorldCat Record</v>
      </c>
      <c r="AU1110" s="3" t="s">
        <v>14329</v>
      </c>
      <c r="AV1110" s="3" t="s">
        <v>14330</v>
      </c>
      <c r="AW1110" s="3" t="s">
        <v>14331</v>
      </c>
      <c r="AX1110" s="3" t="s">
        <v>14331</v>
      </c>
      <c r="AY1110" s="3" t="s">
        <v>14332</v>
      </c>
      <c r="AZ1110" s="3" t="s">
        <v>74</v>
      </c>
      <c r="BB1110" s="3" t="s">
        <v>14333</v>
      </c>
      <c r="BC1110" s="3" t="s">
        <v>14334</v>
      </c>
      <c r="BD1110" s="3" t="s">
        <v>14335</v>
      </c>
    </row>
    <row r="1111" spans="1:56" ht="42.75" customHeight="1" x14ac:dyDescent="0.25">
      <c r="A1111" s="7" t="s">
        <v>58</v>
      </c>
      <c r="B1111" s="2" t="s">
        <v>14336</v>
      </c>
      <c r="C1111" s="2" t="s">
        <v>14337</v>
      </c>
      <c r="D1111" s="2" t="s">
        <v>14338</v>
      </c>
      <c r="F1111" s="3" t="s">
        <v>58</v>
      </c>
      <c r="G1111" s="3" t="s">
        <v>59</v>
      </c>
      <c r="H1111" s="3" t="s">
        <v>86</v>
      </c>
      <c r="I1111" s="3" t="s">
        <v>58</v>
      </c>
      <c r="J1111" s="3" t="s">
        <v>60</v>
      </c>
      <c r="K1111" s="2" t="s">
        <v>14339</v>
      </c>
      <c r="L1111" s="2" t="s">
        <v>14340</v>
      </c>
      <c r="M1111" s="3" t="s">
        <v>1574</v>
      </c>
      <c r="O1111" s="3" t="s">
        <v>64</v>
      </c>
      <c r="P1111" s="3" t="s">
        <v>115</v>
      </c>
      <c r="R1111" s="3" t="s">
        <v>67</v>
      </c>
      <c r="S1111" s="4">
        <v>42</v>
      </c>
      <c r="T1111" s="4">
        <v>42</v>
      </c>
      <c r="U1111" s="5" t="s">
        <v>14341</v>
      </c>
      <c r="V1111" s="5" t="s">
        <v>14341</v>
      </c>
      <c r="W1111" s="5" t="s">
        <v>2065</v>
      </c>
      <c r="X1111" s="5" t="s">
        <v>2065</v>
      </c>
      <c r="Y1111" s="4">
        <v>890</v>
      </c>
      <c r="Z1111" s="4">
        <v>754</v>
      </c>
      <c r="AA1111" s="4">
        <v>761</v>
      </c>
      <c r="AB1111" s="4">
        <v>7</v>
      </c>
      <c r="AC1111" s="4">
        <v>7</v>
      </c>
      <c r="AD1111" s="4">
        <v>34</v>
      </c>
      <c r="AE1111" s="4">
        <v>34</v>
      </c>
      <c r="AF1111" s="4">
        <v>16</v>
      </c>
      <c r="AG1111" s="4">
        <v>16</v>
      </c>
      <c r="AH1111" s="4">
        <v>5</v>
      </c>
      <c r="AI1111" s="4">
        <v>5</v>
      </c>
      <c r="AJ1111" s="4">
        <v>15</v>
      </c>
      <c r="AK1111" s="4">
        <v>15</v>
      </c>
      <c r="AL1111" s="4">
        <v>5</v>
      </c>
      <c r="AM1111" s="4">
        <v>5</v>
      </c>
      <c r="AN1111" s="4">
        <v>0</v>
      </c>
      <c r="AO1111" s="4">
        <v>0</v>
      </c>
      <c r="AP1111" s="3" t="s">
        <v>58</v>
      </c>
      <c r="AQ1111" s="3" t="s">
        <v>86</v>
      </c>
      <c r="AR1111" s="6" t="str">
        <f>HYPERLINK("http://catalog.hathitrust.org/Record/000189777","HathiTrust Record")</f>
        <v>HathiTrust Record</v>
      </c>
      <c r="AS1111" s="6" t="str">
        <f>HYPERLINK("https://creighton-primo.hosted.exlibrisgroup.com/primo-explore/search?tab=default_tab&amp;search_scope=EVERYTHING&amp;vid=01CRU&amp;lang=en_US&amp;offset=0&amp;query=any,contains,991005219729702656","Catalog Record")</f>
        <v>Catalog Record</v>
      </c>
      <c r="AT1111" s="6" t="str">
        <f>HYPERLINK("http://www.worldcat.org/oclc/8219919","WorldCat Record")</f>
        <v>WorldCat Record</v>
      </c>
      <c r="AU1111" s="3" t="s">
        <v>14342</v>
      </c>
      <c r="AV1111" s="3" t="s">
        <v>14343</v>
      </c>
      <c r="AW1111" s="3" t="s">
        <v>14344</v>
      </c>
      <c r="AX1111" s="3" t="s">
        <v>14344</v>
      </c>
      <c r="AY1111" s="3" t="s">
        <v>14345</v>
      </c>
      <c r="AZ1111" s="3" t="s">
        <v>74</v>
      </c>
      <c r="BB1111" s="3" t="s">
        <v>14346</v>
      </c>
      <c r="BC1111" s="3" t="s">
        <v>14347</v>
      </c>
      <c r="BD1111" s="3" t="s">
        <v>14348</v>
      </c>
    </row>
    <row r="1112" spans="1:56" ht="42.75" customHeight="1" x14ac:dyDescent="0.25">
      <c r="A1112" s="7" t="s">
        <v>58</v>
      </c>
      <c r="B1112" s="2" t="s">
        <v>14349</v>
      </c>
      <c r="C1112" s="2" t="s">
        <v>14350</v>
      </c>
      <c r="D1112" s="2" t="s">
        <v>14351</v>
      </c>
      <c r="F1112" s="3" t="s">
        <v>58</v>
      </c>
      <c r="G1112" s="3" t="s">
        <v>59</v>
      </c>
      <c r="H1112" s="3" t="s">
        <v>58</v>
      </c>
      <c r="I1112" s="3" t="s">
        <v>58</v>
      </c>
      <c r="J1112" s="3" t="s">
        <v>60</v>
      </c>
      <c r="K1112" s="2" t="s">
        <v>14352</v>
      </c>
      <c r="L1112" s="2" t="s">
        <v>14353</v>
      </c>
      <c r="M1112" s="3" t="s">
        <v>942</v>
      </c>
      <c r="N1112" s="2" t="s">
        <v>3823</v>
      </c>
      <c r="O1112" s="3" t="s">
        <v>64</v>
      </c>
      <c r="P1112" s="3" t="s">
        <v>99</v>
      </c>
      <c r="R1112" s="3" t="s">
        <v>67</v>
      </c>
      <c r="S1112" s="4">
        <v>16</v>
      </c>
      <c r="T1112" s="4">
        <v>16</v>
      </c>
      <c r="U1112" s="5" t="s">
        <v>387</v>
      </c>
      <c r="V1112" s="5" t="s">
        <v>387</v>
      </c>
      <c r="W1112" s="5" t="s">
        <v>9858</v>
      </c>
      <c r="X1112" s="5" t="s">
        <v>9858</v>
      </c>
      <c r="Y1112" s="4">
        <v>314</v>
      </c>
      <c r="Z1112" s="4">
        <v>281</v>
      </c>
      <c r="AA1112" s="4">
        <v>450</v>
      </c>
      <c r="AB1112" s="4">
        <v>7</v>
      </c>
      <c r="AC1112" s="4">
        <v>7</v>
      </c>
      <c r="AD1112" s="4">
        <v>6</v>
      </c>
      <c r="AE1112" s="4">
        <v>10</v>
      </c>
      <c r="AF1112" s="4">
        <v>3</v>
      </c>
      <c r="AG1112" s="4">
        <v>6</v>
      </c>
      <c r="AH1112" s="4">
        <v>0</v>
      </c>
      <c r="AI1112" s="4">
        <v>2</v>
      </c>
      <c r="AJ1112" s="4">
        <v>2</v>
      </c>
      <c r="AK1112" s="4">
        <v>2</v>
      </c>
      <c r="AL1112" s="4">
        <v>1</v>
      </c>
      <c r="AM1112" s="4">
        <v>1</v>
      </c>
      <c r="AN1112" s="4">
        <v>0</v>
      </c>
      <c r="AO1112" s="4">
        <v>0</v>
      </c>
      <c r="AP1112" s="3" t="s">
        <v>58</v>
      </c>
      <c r="AQ1112" s="3" t="s">
        <v>58</v>
      </c>
      <c r="AS1112" s="6" t="str">
        <f>HYPERLINK("https://creighton-primo.hosted.exlibrisgroup.com/primo-explore/search?tab=default_tab&amp;search_scope=EVERYTHING&amp;vid=01CRU&amp;lang=en_US&amp;offset=0&amp;query=any,contains,991003933169702656","Catalog Record")</f>
        <v>Catalog Record</v>
      </c>
      <c r="AT1112" s="6" t="str">
        <f>HYPERLINK("http://www.worldcat.org/oclc/39485099","WorldCat Record")</f>
        <v>WorldCat Record</v>
      </c>
      <c r="AU1112" s="3" t="s">
        <v>14354</v>
      </c>
      <c r="AV1112" s="3" t="s">
        <v>14355</v>
      </c>
      <c r="AW1112" s="3" t="s">
        <v>14356</v>
      </c>
      <c r="AX1112" s="3" t="s">
        <v>14356</v>
      </c>
      <c r="AY1112" s="3" t="s">
        <v>14357</v>
      </c>
      <c r="AZ1112" s="3" t="s">
        <v>74</v>
      </c>
      <c r="BB1112" s="3" t="s">
        <v>14358</v>
      </c>
      <c r="BC1112" s="3" t="s">
        <v>14359</v>
      </c>
      <c r="BD1112" s="3" t="s">
        <v>14360</v>
      </c>
    </row>
    <row r="1113" spans="1:56" ht="42.75" customHeight="1" x14ac:dyDescent="0.25">
      <c r="A1113" s="7" t="s">
        <v>58</v>
      </c>
      <c r="B1113" s="2" t="s">
        <v>14361</v>
      </c>
      <c r="C1113" s="2" t="s">
        <v>14362</v>
      </c>
      <c r="D1113" s="2" t="s">
        <v>14363</v>
      </c>
      <c r="F1113" s="3" t="s">
        <v>58</v>
      </c>
      <c r="G1113" s="3" t="s">
        <v>59</v>
      </c>
      <c r="H1113" s="3" t="s">
        <v>86</v>
      </c>
      <c r="I1113" s="3" t="s">
        <v>58</v>
      </c>
      <c r="J1113" s="3" t="s">
        <v>60</v>
      </c>
      <c r="L1113" s="2" t="s">
        <v>5621</v>
      </c>
      <c r="M1113" s="3" t="s">
        <v>2227</v>
      </c>
      <c r="O1113" s="3" t="s">
        <v>64</v>
      </c>
      <c r="P1113" s="3" t="s">
        <v>115</v>
      </c>
      <c r="R1113" s="3" t="s">
        <v>67</v>
      </c>
      <c r="S1113" s="4">
        <v>43</v>
      </c>
      <c r="T1113" s="4">
        <v>43</v>
      </c>
      <c r="U1113" s="5" t="s">
        <v>3273</v>
      </c>
      <c r="V1113" s="5" t="s">
        <v>3273</v>
      </c>
      <c r="W1113" s="5" t="s">
        <v>14364</v>
      </c>
      <c r="X1113" s="5" t="s">
        <v>14364</v>
      </c>
      <c r="Y1113" s="4">
        <v>743</v>
      </c>
      <c r="Z1113" s="4">
        <v>624</v>
      </c>
      <c r="AA1113" s="4">
        <v>638</v>
      </c>
      <c r="AB1113" s="4">
        <v>5</v>
      </c>
      <c r="AC1113" s="4">
        <v>5</v>
      </c>
      <c r="AD1113" s="4">
        <v>29</v>
      </c>
      <c r="AE1113" s="4">
        <v>31</v>
      </c>
      <c r="AF1113" s="4">
        <v>16</v>
      </c>
      <c r="AG1113" s="4">
        <v>17</v>
      </c>
      <c r="AH1113" s="4">
        <v>5</v>
      </c>
      <c r="AI1113" s="4">
        <v>6</v>
      </c>
      <c r="AJ1113" s="4">
        <v>14</v>
      </c>
      <c r="AK1113" s="4">
        <v>14</v>
      </c>
      <c r="AL1113" s="4">
        <v>3</v>
      </c>
      <c r="AM1113" s="4">
        <v>3</v>
      </c>
      <c r="AN1113" s="4">
        <v>0</v>
      </c>
      <c r="AO1113" s="4">
        <v>0</v>
      </c>
      <c r="AP1113" s="3" t="s">
        <v>58</v>
      </c>
      <c r="AQ1113" s="3" t="s">
        <v>58</v>
      </c>
      <c r="AS1113" s="6" t="str">
        <f>HYPERLINK("https://creighton-primo.hosted.exlibrisgroup.com/primo-explore/search?tab=default_tab&amp;search_scope=EVERYTHING&amp;vid=01CRU&amp;lang=en_US&amp;offset=0&amp;query=any,contains,991000514189702656","Catalog Record")</f>
        <v>Catalog Record</v>
      </c>
      <c r="AT1113" s="6" t="str">
        <f>HYPERLINK("http://www.worldcat.org/oclc/11262131","WorldCat Record")</f>
        <v>WorldCat Record</v>
      </c>
      <c r="AU1113" s="3" t="s">
        <v>14365</v>
      </c>
      <c r="AV1113" s="3" t="s">
        <v>14366</v>
      </c>
      <c r="AW1113" s="3" t="s">
        <v>14367</v>
      </c>
      <c r="AX1113" s="3" t="s">
        <v>14367</v>
      </c>
      <c r="AY1113" s="3" t="s">
        <v>14368</v>
      </c>
      <c r="AZ1113" s="3" t="s">
        <v>74</v>
      </c>
      <c r="BB1113" s="3" t="s">
        <v>14369</v>
      </c>
      <c r="BC1113" s="3" t="s">
        <v>14370</v>
      </c>
      <c r="BD1113" s="3" t="s">
        <v>14371</v>
      </c>
    </row>
    <row r="1114" spans="1:56" ht="42.75" customHeight="1" x14ac:dyDescent="0.25">
      <c r="A1114" s="7" t="s">
        <v>58</v>
      </c>
      <c r="B1114" s="2" t="s">
        <v>14372</v>
      </c>
      <c r="C1114" s="2" t="s">
        <v>14373</v>
      </c>
      <c r="D1114" s="2" t="s">
        <v>14374</v>
      </c>
      <c r="F1114" s="3" t="s">
        <v>58</v>
      </c>
      <c r="G1114" s="3" t="s">
        <v>59</v>
      </c>
      <c r="H1114" s="3" t="s">
        <v>58</v>
      </c>
      <c r="I1114" s="3" t="s">
        <v>58</v>
      </c>
      <c r="J1114" s="3" t="s">
        <v>60</v>
      </c>
      <c r="K1114" s="2" t="s">
        <v>14375</v>
      </c>
      <c r="L1114" s="2" t="s">
        <v>14376</v>
      </c>
      <c r="M1114" s="3" t="s">
        <v>1141</v>
      </c>
      <c r="O1114" s="3" t="s">
        <v>64</v>
      </c>
      <c r="P1114" s="3" t="s">
        <v>115</v>
      </c>
      <c r="R1114" s="3" t="s">
        <v>67</v>
      </c>
      <c r="S1114" s="4">
        <v>23</v>
      </c>
      <c r="T1114" s="4">
        <v>23</v>
      </c>
      <c r="U1114" s="5" t="s">
        <v>2064</v>
      </c>
      <c r="V1114" s="5" t="s">
        <v>2064</v>
      </c>
      <c r="W1114" s="5" t="s">
        <v>14377</v>
      </c>
      <c r="X1114" s="5" t="s">
        <v>14377</v>
      </c>
      <c r="Y1114" s="4">
        <v>862</v>
      </c>
      <c r="Z1114" s="4">
        <v>796</v>
      </c>
      <c r="AA1114" s="4">
        <v>1357</v>
      </c>
      <c r="AB1114" s="4">
        <v>6</v>
      </c>
      <c r="AC1114" s="4">
        <v>15</v>
      </c>
      <c r="AD1114" s="4">
        <v>17</v>
      </c>
      <c r="AE1114" s="4">
        <v>23</v>
      </c>
      <c r="AF1114" s="4">
        <v>7</v>
      </c>
      <c r="AG1114" s="4">
        <v>10</v>
      </c>
      <c r="AH1114" s="4">
        <v>3</v>
      </c>
      <c r="AI1114" s="4">
        <v>5</v>
      </c>
      <c r="AJ1114" s="4">
        <v>10</v>
      </c>
      <c r="AK1114" s="4">
        <v>12</v>
      </c>
      <c r="AL1114" s="4">
        <v>3</v>
      </c>
      <c r="AM1114" s="4">
        <v>4</v>
      </c>
      <c r="AN1114" s="4">
        <v>0</v>
      </c>
      <c r="AO1114" s="4">
        <v>0</v>
      </c>
      <c r="AP1114" s="3" t="s">
        <v>58</v>
      </c>
      <c r="AQ1114" s="3" t="s">
        <v>58</v>
      </c>
      <c r="AS1114" s="6" t="str">
        <f>HYPERLINK("https://creighton-primo.hosted.exlibrisgroup.com/primo-explore/search?tab=default_tab&amp;search_scope=EVERYTHING&amp;vid=01CRU&amp;lang=en_US&amp;offset=0&amp;query=any,contains,991004078129702656","Catalog Record")</f>
        <v>Catalog Record</v>
      </c>
      <c r="AT1114" s="6" t="str">
        <f>HYPERLINK("http://www.worldcat.org/oclc/50868247","WorldCat Record")</f>
        <v>WorldCat Record</v>
      </c>
      <c r="AU1114" s="3" t="s">
        <v>14378</v>
      </c>
      <c r="AV1114" s="3" t="s">
        <v>14379</v>
      </c>
      <c r="AW1114" s="3" t="s">
        <v>14380</v>
      </c>
      <c r="AX1114" s="3" t="s">
        <v>14380</v>
      </c>
      <c r="AY1114" s="3" t="s">
        <v>14381</v>
      </c>
      <c r="AZ1114" s="3" t="s">
        <v>74</v>
      </c>
      <c r="BB1114" s="3" t="s">
        <v>14382</v>
      </c>
      <c r="BC1114" s="3" t="s">
        <v>14383</v>
      </c>
      <c r="BD1114" s="3" t="s">
        <v>14384</v>
      </c>
    </row>
    <row r="1115" spans="1:56" ht="42.75" customHeight="1" x14ac:dyDescent="0.25">
      <c r="A1115" s="7" t="s">
        <v>58</v>
      </c>
      <c r="B1115" s="2" t="s">
        <v>14385</v>
      </c>
      <c r="C1115" s="2" t="s">
        <v>14386</v>
      </c>
      <c r="D1115" s="2" t="s">
        <v>14387</v>
      </c>
      <c r="F1115" s="3" t="s">
        <v>58</v>
      </c>
      <c r="G1115" s="3" t="s">
        <v>59</v>
      </c>
      <c r="H1115" s="3" t="s">
        <v>86</v>
      </c>
      <c r="I1115" s="3" t="s">
        <v>58</v>
      </c>
      <c r="J1115" s="3" t="s">
        <v>60</v>
      </c>
      <c r="K1115" s="2" t="s">
        <v>10323</v>
      </c>
      <c r="L1115" s="2" t="s">
        <v>14316</v>
      </c>
      <c r="M1115" s="3" t="s">
        <v>223</v>
      </c>
      <c r="O1115" s="3" t="s">
        <v>64</v>
      </c>
      <c r="P1115" s="3" t="s">
        <v>208</v>
      </c>
      <c r="R1115" s="3" t="s">
        <v>67</v>
      </c>
      <c r="S1115" s="4">
        <v>34</v>
      </c>
      <c r="T1115" s="4">
        <v>43</v>
      </c>
      <c r="U1115" s="5" t="s">
        <v>14388</v>
      </c>
      <c r="V1115" s="5" t="s">
        <v>14388</v>
      </c>
      <c r="W1115" s="5" t="s">
        <v>8983</v>
      </c>
      <c r="X1115" s="5" t="s">
        <v>8983</v>
      </c>
      <c r="Y1115" s="4">
        <v>1122</v>
      </c>
      <c r="Z1115" s="4">
        <v>905</v>
      </c>
      <c r="AA1115" s="4">
        <v>1205</v>
      </c>
      <c r="AB1115" s="4">
        <v>8</v>
      </c>
      <c r="AC1115" s="4">
        <v>9</v>
      </c>
      <c r="AD1115" s="4">
        <v>37</v>
      </c>
      <c r="AE1115" s="4">
        <v>38</v>
      </c>
      <c r="AF1115" s="4">
        <v>20</v>
      </c>
      <c r="AG1115" s="4">
        <v>20</v>
      </c>
      <c r="AH1115" s="4">
        <v>5</v>
      </c>
      <c r="AI1115" s="4">
        <v>5</v>
      </c>
      <c r="AJ1115" s="4">
        <v>17</v>
      </c>
      <c r="AK1115" s="4">
        <v>17</v>
      </c>
      <c r="AL1115" s="4">
        <v>4</v>
      </c>
      <c r="AM1115" s="4">
        <v>5</v>
      </c>
      <c r="AN1115" s="4">
        <v>0</v>
      </c>
      <c r="AO1115" s="4">
        <v>0</v>
      </c>
      <c r="AP1115" s="3" t="s">
        <v>58</v>
      </c>
      <c r="AQ1115" s="3" t="s">
        <v>86</v>
      </c>
      <c r="AR1115" s="6" t="str">
        <f>HYPERLINK("http://catalog.hathitrust.org/Record/000017563","HathiTrust Record")</f>
        <v>HathiTrust Record</v>
      </c>
      <c r="AS1115" s="6" t="str">
        <f>HYPERLINK("https://creighton-primo.hosted.exlibrisgroup.com/primo-explore/search?tab=default_tab&amp;search_scope=EVERYTHING&amp;vid=01CRU&amp;lang=en_US&amp;offset=0&amp;query=any,contains,991001781869702656","Catalog Record")</f>
        <v>Catalog Record</v>
      </c>
      <c r="AT1115" s="6" t="str">
        <f>HYPERLINK("http://www.worldcat.org/oclc/3649730","WorldCat Record")</f>
        <v>WorldCat Record</v>
      </c>
      <c r="AU1115" s="3" t="s">
        <v>14389</v>
      </c>
      <c r="AV1115" s="3" t="s">
        <v>14390</v>
      </c>
      <c r="AW1115" s="3" t="s">
        <v>14391</v>
      </c>
      <c r="AX1115" s="3" t="s">
        <v>14391</v>
      </c>
      <c r="AY1115" s="3" t="s">
        <v>14392</v>
      </c>
      <c r="AZ1115" s="3" t="s">
        <v>74</v>
      </c>
      <c r="BB1115" s="3" t="s">
        <v>14393</v>
      </c>
      <c r="BC1115" s="3" t="s">
        <v>14394</v>
      </c>
      <c r="BD1115" s="3" t="s">
        <v>14395</v>
      </c>
    </row>
    <row r="1116" spans="1:56" ht="42.75" customHeight="1" x14ac:dyDescent="0.25">
      <c r="A1116" s="7" t="s">
        <v>58</v>
      </c>
      <c r="B1116" s="2" t="s">
        <v>14396</v>
      </c>
      <c r="C1116" s="2" t="s">
        <v>14397</v>
      </c>
      <c r="D1116" s="2" t="s">
        <v>14398</v>
      </c>
      <c r="F1116" s="3" t="s">
        <v>58</v>
      </c>
      <c r="G1116" s="3" t="s">
        <v>59</v>
      </c>
      <c r="H1116" s="3" t="s">
        <v>58</v>
      </c>
      <c r="I1116" s="3" t="s">
        <v>58</v>
      </c>
      <c r="J1116" s="3" t="s">
        <v>60</v>
      </c>
      <c r="K1116" s="2" t="s">
        <v>14399</v>
      </c>
      <c r="L1116" s="2" t="s">
        <v>14400</v>
      </c>
      <c r="M1116" s="3" t="s">
        <v>63</v>
      </c>
      <c r="O1116" s="3" t="s">
        <v>64</v>
      </c>
      <c r="P1116" s="3" t="s">
        <v>115</v>
      </c>
      <c r="R1116" s="3" t="s">
        <v>67</v>
      </c>
      <c r="S1116" s="4">
        <v>65</v>
      </c>
      <c r="T1116" s="4">
        <v>65</v>
      </c>
      <c r="U1116" s="5" t="s">
        <v>3273</v>
      </c>
      <c r="V1116" s="5" t="s">
        <v>3273</v>
      </c>
      <c r="W1116" s="5" t="s">
        <v>8983</v>
      </c>
      <c r="X1116" s="5" t="s">
        <v>8983</v>
      </c>
      <c r="Y1116" s="4">
        <v>617</v>
      </c>
      <c r="Z1116" s="4">
        <v>546</v>
      </c>
      <c r="AA1116" s="4">
        <v>554</v>
      </c>
      <c r="AB1116" s="4">
        <v>8</v>
      </c>
      <c r="AC1116" s="4">
        <v>8</v>
      </c>
      <c r="AD1116" s="4">
        <v>30</v>
      </c>
      <c r="AE1116" s="4">
        <v>30</v>
      </c>
      <c r="AF1116" s="4">
        <v>10</v>
      </c>
      <c r="AG1116" s="4">
        <v>10</v>
      </c>
      <c r="AH1116" s="4">
        <v>6</v>
      </c>
      <c r="AI1116" s="4">
        <v>6</v>
      </c>
      <c r="AJ1116" s="4">
        <v>14</v>
      </c>
      <c r="AK1116" s="4">
        <v>14</v>
      </c>
      <c r="AL1116" s="4">
        <v>7</v>
      </c>
      <c r="AM1116" s="4">
        <v>7</v>
      </c>
      <c r="AN1116" s="4">
        <v>0</v>
      </c>
      <c r="AO1116" s="4">
        <v>0</v>
      </c>
      <c r="AP1116" s="3" t="s">
        <v>58</v>
      </c>
      <c r="AQ1116" s="3" t="s">
        <v>86</v>
      </c>
      <c r="AR1116" s="6" t="str">
        <f>HYPERLINK("http://catalog.hathitrust.org/Record/000205522","HathiTrust Record")</f>
        <v>HathiTrust Record</v>
      </c>
      <c r="AS1116" s="6" t="str">
        <f>HYPERLINK("https://creighton-primo.hosted.exlibrisgroup.com/primo-explore/search?tab=default_tab&amp;search_scope=EVERYTHING&amp;vid=01CRU&amp;lang=en_US&amp;offset=0&amp;query=any,contains,991000087669702656","Catalog Record")</f>
        <v>Catalog Record</v>
      </c>
      <c r="AT1116" s="6" t="str">
        <f>HYPERLINK("http://www.worldcat.org/oclc/8866696","WorldCat Record")</f>
        <v>WorldCat Record</v>
      </c>
      <c r="AU1116" s="3" t="s">
        <v>14401</v>
      </c>
      <c r="AV1116" s="3" t="s">
        <v>14402</v>
      </c>
      <c r="AW1116" s="3" t="s">
        <v>14403</v>
      </c>
      <c r="AX1116" s="3" t="s">
        <v>14403</v>
      </c>
      <c r="AY1116" s="3" t="s">
        <v>14404</v>
      </c>
      <c r="AZ1116" s="3" t="s">
        <v>74</v>
      </c>
      <c r="BB1116" s="3" t="s">
        <v>14405</v>
      </c>
      <c r="BC1116" s="3" t="s">
        <v>14406</v>
      </c>
      <c r="BD1116" s="3" t="s">
        <v>14407</v>
      </c>
    </row>
    <row r="1117" spans="1:56" ht="42.75" customHeight="1" x14ac:dyDescent="0.25">
      <c r="A1117" s="7" t="s">
        <v>58</v>
      </c>
      <c r="B1117" s="2" t="s">
        <v>14408</v>
      </c>
      <c r="C1117" s="2" t="s">
        <v>14409</v>
      </c>
      <c r="D1117" s="2" t="s">
        <v>14410</v>
      </c>
      <c r="F1117" s="3" t="s">
        <v>58</v>
      </c>
      <c r="G1117" s="3" t="s">
        <v>59</v>
      </c>
      <c r="H1117" s="3" t="s">
        <v>58</v>
      </c>
      <c r="I1117" s="3" t="s">
        <v>58</v>
      </c>
      <c r="J1117" s="3" t="s">
        <v>60</v>
      </c>
      <c r="L1117" s="2" t="s">
        <v>14411</v>
      </c>
      <c r="M1117" s="3" t="s">
        <v>114</v>
      </c>
      <c r="O1117" s="3" t="s">
        <v>64</v>
      </c>
      <c r="P1117" s="3" t="s">
        <v>13619</v>
      </c>
      <c r="R1117" s="3" t="s">
        <v>67</v>
      </c>
      <c r="S1117" s="4">
        <v>60</v>
      </c>
      <c r="T1117" s="4">
        <v>60</v>
      </c>
      <c r="U1117" s="5" t="s">
        <v>14412</v>
      </c>
      <c r="V1117" s="5" t="s">
        <v>14412</v>
      </c>
      <c r="W1117" s="5" t="s">
        <v>11757</v>
      </c>
      <c r="X1117" s="5" t="s">
        <v>11757</v>
      </c>
      <c r="Y1117" s="4">
        <v>259</v>
      </c>
      <c r="Z1117" s="4">
        <v>187</v>
      </c>
      <c r="AA1117" s="4">
        <v>214</v>
      </c>
      <c r="AB1117" s="4">
        <v>2</v>
      </c>
      <c r="AC1117" s="4">
        <v>2</v>
      </c>
      <c r="AD1117" s="4">
        <v>3</v>
      </c>
      <c r="AE1117" s="4">
        <v>4</v>
      </c>
      <c r="AF1117" s="4">
        <v>0</v>
      </c>
      <c r="AG1117" s="4">
        <v>1</v>
      </c>
      <c r="AH1117" s="4">
        <v>1</v>
      </c>
      <c r="AI1117" s="4">
        <v>1</v>
      </c>
      <c r="AJ1117" s="4">
        <v>1</v>
      </c>
      <c r="AK1117" s="4">
        <v>2</v>
      </c>
      <c r="AL1117" s="4">
        <v>1</v>
      </c>
      <c r="AM1117" s="4">
        <v>1</v>
      </c>
      <c r="AN1117" s="4">
        <v>0</v>
      </c>
      <c r="AO1117" s="4">
        <v>0</v>
      </c>
      <c r="AP1117" s="3" t="s">
        <v>58</v>
      </c>
      <c r="AQ1117" s="3" t="s">
        <v>86</v>
      </c>
      <c r="AR1117" s="6" t="str">
        <f>HYPERLINK("http://catalog.hathitrust.org/Record/008580190","HathiTrust Record")</f>
        <v>HathiTrust Record</v>
      </c>
      <c r="AS1117" s="6" t="str">
        <f>HYPERLINK("https://creighton-primo.hosted.exlibrisgroup.com/primo-explore/search?tab=default_tab&amp;search_scope=EVERYTHING&amp;vid=01CRU&amp;lang=en_US&amp;offset=0&amp;query=any,contains,991000379429702656","Catalog Record")</f>
        <v>Catalog Record</v>
      </c>
      <c r="AT1117" s="6" t="str">
        <f>HYPERLINK("http://www.worldcat.org/oclc/10483895","WorldCat Record")</f>
        <v>WorldCat Record</v>
      </c>
      <c r="AU1117" s="3" t="s">
        <v>14413</v>
      </c>
      <c r="AV1117" s="3" t="s">
        <v>14414</v>
      </c>
      <c r="AW1117" s="3" t="s">
        <v>14415</v>
      </c>
      <c r="AX1117" s="3" t="s">
        <v>14415</v>
      </c>
      <c r="AY1117" s="3" t="s">
        <v>14416</v>
      </c>
      <c r="AZ1117" s="3" t="s">
        <v>74</v>
      </c>
      <c r="BB1117" s="3" t="s">
        <v>14417</v>
      </c>
      <c r="BC1117" s="3" t="s">
        <v>14418</v>
      </c>
      <c r="BD1117" s="3" t="s">
        <v>14419</v>
      </c>
    </row>
    <row r="1118" spans="1:56" ht="42.75" customHeight="1" x14ac:dyDescent="0.25">
      <c r="A1118" s="7" t="s">
        <v>58</v>
      </c>
      <c r="B1118" s="2" t="s">
        <v>14420</v>
      </c>
      <c r="C1118" s="2" t="s">
        <v>14421</v>
      </c>
      <c r="D1118" s="2" t="s">
        <v>14422</v>
      </c>
      <c r="F1118" s="3" t="s">
        <v>58</v>
      </c>
      <c r="G1118" s="3" t="s">
        <v>59</v>
      </c>
      <c r="H1118" s="3" t="s">
        <v>58</v>
      </c>
      <c r="I1118" s="3" t="s">
        <v>58</v>
      </c>
      <c r="J1118" s="3" t="s">
        <v>60</v>
      </c>
      <c r="K1118" s="2" t="s">
        <v>14423</v>
      </c>
      <c r="L1118" s="2" t="s">
        <v>14424</v>
      </c>
      <c r="M1118" s="3" t="s">
        <v>114</v>
      </c>
      <c r="O1118" s="3" t="s">
        <v>64</v>
      </c>
      <c r="P1118" s="3" t="s">
        <v>2331</v>
      </c>
      <c r="R1118" s="3" t="s">
        <v>67</v>
      </c>
      <c r="S1118" s="4">
        <v>82</v>
      </c>
      <c r="T1118" s="4">
        <v>82</v>
      </c>
      <c r="U1118" s="5" t="s">
        <v>14425</v>
      </c>
      <c r="V1118" s="5" t="s">
        <v>14425</v>
      </c>
      <c r="W1118" s="5" t="s">
        <v>7013</v>
      </c>
      <c r="X1118" s="5" t="s">
        <v>7013</v>
      </c>
      <c r="Y1118" s="4">
        <v>77</v>
      </c>
      <c r="Z1118" s="4">
        <v>76</v>
      </c>
      <c r="AA1118" s="4">
        <v>77</v>
      </c>
      <c r="AB1118" s="4">
        <v>2</v>
      </c>
      <c r="AC1118" s="4">
        <v>2</v>
      </c>
      <c r="AD1118" s="4">
        <v>2</v>
      </c>
      <c r="AE1118" s="4">
        <v>2</v>
      </c>
      <c r="AF1118" s="4">
        <v>1</v>
      </c>
      <c r="AG1118" s="4">
        <v>1</v>
      </c>
      <c r="AH1118" s="4">
        <v>0</v>
      </c>
      <c r="AI1118" s="4">
        <v>0</v>
      </c>
      <c r="AJ1118" s="4">
        <v>1</v>
      </c>
      <c r="AK1118" s="4">
        <v>1</v>
      </c>
      <c r="AL1118" s="4">
        <v>1</v>
      </c>
      <c r="AM1118" s="4">
        <v>1</v>
      </c>
      <c r="AN1118" s="4">
        <v>0</v>
      </c>
      <c r="AO1118" s="4">
        <v>0</v>
      </c>
      <c r="AP1118" s="3" t="s">
        <v>58</v>
      </c>
      <c r="AQ1118" s="3" t="s">
        <v>86</v>
      </c>
      <c r="AR1118" s="6" t="str">
        <f>HYPERLINK("http://catalog.hathitrust.org/Record/101884106","HathiTrust Record")</f>
        <v>HathiTrust Record</v>
      </c>
      <c r="AS1118" s="6" t="str">
        <f>HYPERLINK("https://creighton-primo.hosted.exlibrisgroup.com/primo-explore/search?tab=default_tab&amp;search_scope=EVERYTHING&amp;vid=01CRU&amp;lang=en_US&amp;offset=0&amp;query=any,contains,991000508059702656","Catalog Record")</f>
        <v>Catalog Record</v>
      </c>
      <c r="AT1118" s="6" t="str">
        <f>HYPERLINK("http://www.worldcat.org/oclc/11225070","WorldCat Record")</f>
        <v>WorldCat Record</v>
      </c>
      <c r="AU1118" s="3" t="s">
        <v>14426</v>
      </c>
      <c r="AV1118" s="3" t="s">
        <v>14427</v>
      </c>
      <c r="AW1118" s="3" t="s">
        <v>14428</v>
      </c>
      <c r="AX1118" s="3" t="s">
        <v>14428</v>
      </c>
      <c r="AY1118" s="3" t="s">
        <v>14429</v>
      </c>
      <c r="AZ1118" s="3" t="s">
        <v>74</v>
      </c>
      <c r="BB1118" s="3" t="s">
        <v>14430</v>
      </c>
      <c r="BC1118" s="3" t="s">
        <v>14431</v>
      </c>
      <c r="BD1118" s="3" t="s">
        <v>14432</v>
      </c>
    </row>
    <row r="1119" spans="1:56" ht="42.75" customHeight="1" x14ac:dyDescent="0.25">
      <c r="A1119" s="7" t="s">
        <v>58</v>
      </c>
      <c r="B1119" s="2" t="s">
        <v>14433</v>
      </c>
      <c r="C1119" s="2" t="s">
        <v>14434</v>
      </c>
      <c r="D1119" s="2" t="s">
        <v>14435</v>
      </c>
      <c r="F1119" s="3" t="s">
        <v>58</v>
      </c>
      <c r="G1119" s="3" t="s">
        <v>59</v>
      </c>
      <c r="H1119" s="3" t="s">
        <v>58</v>
      </c>
      <c r="I1119" s="3" t="s">
        <v>58</v>
      </c>
      <c r="J1119" s="3" t="s">
        <v>60</v>
      </c>
      <c r="K1119" s="2" t="s">
        <v>14436</v>
      </c>
      <c r="L1119" s="2" t="s">
        <v>14437</v>
      </c>
      <c r="M1119" s="3" t="s">
        <v>63</v>
      </c>
      <c r="O1119" s="3" t="s">
        <v>64</v>
      </c>
      <c r="P1119" s="3" t="s">
        <v>3070</v>
      </c>
      <c r="R1119" s="3" t="s">
        <v>67</v>
      </c>
      <c r="S1119" s="4">
        <v>54</v>
      </c>
      <c r="T1119" s="4">
        <v>54</v>
      </c>
      <c r="U1119" s="5" t="s">
        <v>8835</v>
      </c>
      <c r="V1119" s="5" t="s">
        <v>8835</v>
      </c>
      <c r="W1119" s="5" t="s">
        <v>2827</v>
      </c>
      <c r="X1119" s="5" t="s">
        <v>2827</v>
      </c>
      <c r="Y1119" s="4">
        <v>249</v>
      </c>
      <c r="Z1119" s="4">
        <v>210</v>
      </c>
      <c r="AA1119" s="4">
        <v>217</v>
      </c>
      <c r="AB1119" s="4">
        <v>3</v>
      </c>
      <c r="AC1119" s="4">
        <v>3</v>
      </c>
      <c r="AD1119" s="4">
        <v>10</v>
      </c>
      <c r="AE1119" s="4">
        <v>10</v>
      </c>
      <c r="AF1119" s="4">
        <v>5</v>
      </c>
      <c r="AG1119" s="4">
        <v>5</v>
      </c>
      <c r="AH1119" s="4">
        <v>1</v>
      </c>
      <c r="AI1119" s="4">
        <v>1</v>
      </c>
      <c r="AJ1119" s="4">
        <v>5</v>
      </c>
      <c r="AK1119" s="4">
        <v>5</v>
      </c>
      <c r="AL1119" s="4">
        <v>2</v>
      </c>
      <c r="AM1119" s="4">
        <v>2</v>
      </c>
      <c r="AN1119" s="4">
        <v>0</v>
      </c>
      <c r="AO1119" s="4">
        <v>0</v>
      </c>
      <c r="AP1119" s="3" t="s">
        <v>58</v>
      </c>
      <c r="AQ1119" s="3" t="s">
        <v>86</v>
      </c>
      <c r="AR1119" s="6" t="str">
        <f>HYPERLINK("http://catalog.hathitrust.org/Record/000121906","HathiTrust Record")</f>
        <v>HathiTrust Record</v>
      </c>
      <c r="AS1119" s="6" t="str">
        <f>HYPERLINK("https://creighton-primo.hosted.exlibrisgroup.com/primo-explore/search?tab=default_tab&amp;search_scope=EVERYTHING&amp;vid=01CRU&amp;lang=en_US&amp;offset=0&amp;query=any,contains,991000301019702656","Catalog Record")</f>
        <v>Catalog Record</v>
      </c>
      <c r="AT1119" s="6" t="str">
        <f>HYPERLINK("http://www.worldcat.org/oclc/10022275","WorldCat Record")</f>
        <v>WorldCat Record</v>
      </c>
      <c r="AU1119" s="3" t="s">
        <v>14438</v>
      </c>
      <c r="AV1119" s="3" t="s">
        <v>14439</v>
      </c>
      <c r="AW1119" s="3" t="s">
        <v>14440</v>
      </c>
      <c r="AX1119" s="3" t="s">
        <v>14440</v>
      </c>
      <c r="AY1119" s="3" t="s">
        <v>14441</v>
      </c>
      <c r="AZ1119" s="3" t="s">
        <v>74</v>
      </c>
      <c r="BB1119" s="3" t="s">
        <v>14442</v>
      </c>
      <c r="BC1119" s="3" t="s">
        <v>14443</v>
      </c>
      <c r="BD1119" s="3" t="s">
        <v>14444</v>
      </c>
    </row>
    <row r="1120" spans="1:56" ht="42.75" customHeight="1" x14ac:dyDescent="0.25">
      <c r="A1120" s="7" t="s">
        <v>58</v>
      </c>
      <c r="B1120" s="2" t="s">
        <v>14445</v>
      </c>
      <c r="C1120" s="2" t="s">
        <v>14446</v>
      </c>
      <c r="D1120" s="2" t="s">
        <v>14447</v>
      </c>
      <c r="F1120" s="3" t="s">
        <v>58</v>
      </c>
      <c r="G1120" s="3" t="s">
        <v>59</v>
      </c>
      <c r="H1120" s="3" t="s">
        <v>58</v>
      </c>
      <c r="I1120" s="3" t="s">
        <v>58</v>
      </c>
      <c r="J1120" s="3" t="s">
        <v>60</v>
      </c>
      <c r="K1120" s="2" t="s">
        <v>14448</v>
      </c>
      <c r="L1120" s="2" t="s">
        <v>7652</v>
      </c>
      <c r="M1120" s="3" t="s">
        <v>480</v>
      </c>
      <c r="O1120" s="3" t="s">
        <v>64</v>
      </c>
      <c r="P1120" s="3" t="s">
        <v>115</v>
      </c>
      <c r="R1120" s="3" t="s">
        <v>67</v>
      </c>
      <c r="S1120" s="4">
        <v>34</v>
      </c>
      <c r="T1120" s="4">
        <v>34</v>
      </c>
      <c r="U1120" s="5" t="s">
        <v>14449</v>
      </c>
      <c r="V1120" s="5" t="s">
        <v>14449</v>
      </c>
      <c r="W1120" s="5" t="s">
        <v>14450</v>
      </c>
      <c r="X1120" s="5" t="s">
        <v>14450</v>
      </c>
      <c r="Y1120" s="4">
        <v>468</v>
      </c>
      <c r="Z1120" s="4">
        <v>409</v>
      </c>
      <c r="AA1120" s="4">
        <v>416</v>
      </c>
      <c r="AB1120" s="4">
        <v>5</v>
      </c>
      <c r="AC1120" s="4">
        <v>5</v>
      </c>
      <c r="AD1120" s="4">
        <v>19</v>
      </c>
      <c r="AE1120" s="4">
        <v>19</v>
      </c>
      <c r="AF1120" s="4">
        <v>6</v>
      </c>
      <c r="AG1120" s="4">
        <v>6</v>
      </c>
      <c r="AH1120" s="4">
        <v>5</v>
      </c>
      <c r="AI1120" s="4">
        <v>5</v>
      </c>
      <c r="AJ1120" s="4">
        <v>8</v>
      </c>
      <c r="AK1120" s="4">
        <v>8</v>
      </c>
      <c r="AL1120" s="4">
        <v>4</v>
      </c>
      <c r="AM1120" s="4">
        <v>4</v>
      </c>
      <c r="AN1120" s="4">
        <v>0</v>
      </c>
      <c r="AO1120" s="4">
        <v>0</v>
      </c>
      <c r="AP1120" s="3" t="s">
        <v>58</v>
      </c>
      <c r="AQ1120" s="3" t="s">
        <v>86</v>
      </c>
      <c r="AR1120" s="6" t="str">
        <f>HYPERLINK("http://catalog.hathitrust.org/Record/001536519","HathiTrust Record")</f>
        <v>HathiTrust Record</v>
      </c>
      <c r="AS1120" s="6" t="str">
        <f>HYPERLINK("https://creighton-primo.hosted.exlibrisgroup.com/primo-explore/search?tab=default_tab&amp;search_scope=EVERYTHING&amp;vid=01CRU&amp;lang=en_US&amp;offset=0&amp;query=any,contains,991001345839702656","Catalog Record")</f>
        <v>Catalog Record</v>
      </c>
      <c r="AT1120" s="6" t="str">
        <f>HYPERLINK("http://www.worldcat.org/oclc/18413841","WorldCat Record")</f>
        <v>WorldCat Record</v>
      </c>
      <c r="AU1120" s="3" t="s">
        <v>14451</v>
      </c>
      <c r="AV1120" s="3" t="s">
        <v>14452</v>
      </c>
      <c r="AW1120" s="3" t="s">
        <v>14453</v>
      </c>
      <c r="AX1120" s="3" t="s">
        <v>14453</v>
      </c>
      <c r="AY1120" s="3" t="s">
        <v>14454</v>
      </c>
      <c r="AZ1120" s="3" t="s">
        <v>74</v>
      </c>
      <c r="BB1120" s="3" t="s">
        <v>14455</v>
      </c>
      <c r="BC1120" s="3" t="s">
        <v>14456</v>
      </c>
      <c r="BD1120" s="3" t="s">
        <v>14457</v>
      </c>
    </row>
    <row r="1121" spans="1:56" ht="42.75" customHeight="1" x14ac:dyDescent="0.25">
      <c r="A1121" s="7" t="s">
        <v>58</v>
      </c>
      <c r="B1121" s="2" t="s">
        <v>14458</v>
      </c>
      <c r="C1121" s="2" t="s">
        <v>14459</v>
      </c>
      <c r="D1121" s="2" t="s">
        <v>14460</v>
      </c>
      <c r="F1121" s="3" t="s">
        <v>58</v>
      </c>
      <c r="G1121" s="3" t="s">
        <v>59</v>
      </c>
      <c r="H1121" s="3" t="s">
        <v>86</v>
      </c>
      <c r="I1121" s="3" t="s">
        <v>58</v>
      </c>
      <c r="J1121" s="3" t="s">
        <v>60</v>
      </c>
      <c r="K1121" s="2" t="s">
        <v>10617</v>
      </c>
      <c r="L1121" s="2" t="s">
        <v>13823</v>
      </c>
      <c r="M1121" s="3" t="s">
        <v>82</v>
      </c>
      <c r="O1121" s="3" t="s">
        <v>64</v>
      </c>
      <c r="P1121" s="3" t="s">
        <v>115</v>
      </c>
      <c r="Q1121" s="2" t="s">
        <v>4445</v>
      </c>
      <c r="R1121" s="3" t="s">
        <v>67</v>
      </c>
      <c r="S1121" s="4">
        <v>98</v>
      </c>
      <c r="T1121" s="4">
        <v>98</v>
      </c>
      <c r="U1121" s="5" t="s">
        <v>14461</v>
      </c>
      <c r="V1121" s="5" t="s">
        <v>14461</v>
      </c>
      <c r="W1121" s="5" t="s">
        <v>2542</v>
      </c>
      <c r="X1121" s="5" t="s">
        <v>2542</v>
      </c>
      <c r="Y1121" s="4">
        <v>455</v>
      </c>
      <c r="Z1121" s="4">
        <v>359</v>
      </c>
      <c r="AA1121" s="4">
        <v>366</v>
      </c>
      <c r="AB1121" s="4">
        <v>5</v>
      </c>
      <c r="AC1121" s="4">
        <v>5</v>
      </c>
      <c r="AD1121" s="4">
        <v>20</v>
      </c>
      <c r="AE1121" s="4">
        <v>20</v>
      </c>
      <c r="AF1121" s="4">
        <v>5</v>
      </c>
      <c r="AG1121" s="4">
        <v>5</v>
      </c>
      <c r="AH1121" s="4">
        <v>4</v>
      </c>
      <c r="AI1121" s="4">
        <v>4</v>
      </c>
      <c r="AJ1121" s="4">
        <v>13</v>
      </c>
      <c r="AK1121" s="4">
        <v>13</v>
      </c>
      <c r="AL1121" s="4">
        <v>3</v>
      </c>
      <c r="AM1121" s="4">
        <v>3</v>
      </c>
      <c r="AN1121" s="4">
        <v>0</v>
      </c>
      <c r="AO1121" s="4">
        <v>0</v>
      </c>
      <c r="AP1121" s="3" t="s">
        <v>58</v>
      </c>
      <c r="AQ1121" s="3" t="s">
        <v>86</v>
      </c>
      <c r="AR1121" s="6" t="str">
        <f>HYPERLINK("http://catalog.hathitrust.org/Record/000834921","HathiTrust Record")</f>
        <v>HathiTrust Record</v>
      </c>
      <c r="AS1121" s="6" t="str">
        <f>HYPERLINK("https://creighton-primo.hosted.exlibrisgroup.com/primo-explore/search?tab=default_tab&amp;search_scope=EVERYTHING&amp;vid=01CRU&amp;lang=en_US&amp;offset=0&amp;query=any,contains,991000927909702656","Catalog Record")</f>
        <v>Catalog Record</v>
      </c>
      <c r="AT1121" s="6" t="str">
        <f>HYPERLINK("http://www.worldcat.org/oclc/14242002","WorldCat Record")</f>
        <v>WorldCat Record</v>
      </c>
      <c r="AU1121" s="3" t="s">
        <v>14462</v>
      </c>
      <c r="AV1121" s="3" t="s">
        <v>14463</v>
      </c>
      <c r="AW1121" s="3" t="s">
        <v>14464</v>
      </c>
      <c r="AX1121" s="3" t="s">
        <v>14464</v>
      </c>
      <c r="AY1121" s="3" t="s">
        <v>14465</v>
      </c>
      <c r="AZ1121" s="3" t="s">
        <v>74</v>
      </c>
      <c r="BB1121" s="3" t="s">
        <v>14466</v>
      </c>
      <c r="BC1121" s="3" t="s">
        <v>14467</v>
      </c>
      <c r="BD1121" s="3" t="s">
        <v>14468</v>
      </c>
    </row>
    <row r="1122" spans="1:56" ht="42.75" customHeight="1" x14ac:dyDescent="0.25">
      <c r="A1122" s="7" t="s">
        <v>58</v>
      </c>
      <c r="B1122" s="2" t="s">
        <v>14469</v>
      </c>
      <c r="C1122" s="2" t="s">
        <v>14470</v>
      </c>
      <c r="D1122" s="2" t="s">
        <v>14471</v>
      </c>
      <c r="F1122" s="3" t="s">
        <v>58</v>
      </c>
      <c r="G1122" s="3" t="s">
        <v>59</v>
      </c>
      <c r="H1122" s="3" t="s">
        <v>58</v>
      </c>
      <c r="I1122" s="3" t="s">
        <v>58</v>
      </c>
      <c r="J1122" s="3" t="s">
        <v>60</v>
      </c>
      <c r="K1122" s="2" t="s">
        <v>14472</v>
      </c>
      <c r="L1122" s="2" t="s">
        <v>9267</v>
      </c>
      <c r="M1122" s="3" t="s">
        <v>2227</v>
      </c>
      <c r="N1122" s="2" t="s">
        <v>1736</v>
      </c>
      <c r="O1122" s="3" t="s">
        <v>64</v>
      </c>
      <c r="P1122" s="3" t="s">
        <v>115</v>
      </c>
      <c r="R1122" s="3" t="s">
        <v>67</v>
      </c>
      <c r="S1122" s="4">
        <v>19</v>
      </c>
      <c r="T1122" s="4">
        <v>19</v>
      </c>
      <c r="U1122" s="5" t="s">
        <v>14473</v>
      </c>
      <c r="V1122" s="5" t="s">
        <v>14473</v>
      </c>
      <c r="W1122" s="5" t="s">
        <v>549</v>
      </c>
      <c r="X1122" s="5" t="s">
        <v>549</v>
      </c>
      <c r="Y1122" s="4">
        <v>272</v>
      </c>
      <c r="Z1122" s="4">
        <v>227</v>
      </c>
      <c r="AA1122" s="4">
        <v>227</v>
      </c>
      <c r="AB1122" s="4">
        <v>2</v>
      </c>
      <c r="AC1122" s="4">
        <v>2</v>
      </c>
      <c r="AD1122" s="4">
        <v>8</v>
      </c>
      <c r="AE1122" s="4">
        <v>8</v>
      </c>
      <c r="AF1122" s="4">
        <v>3</v>
      </c>
      <c r="AG1122" s="4">
        <v>3</v>
      </c>
      <c r="AH1122" s="4">
        <v>2</v>
      </c>
      <c r="AI1122" s="4">
        <v>2</v>
      </c>
      <c r="AJ1122" s="4">
        <v>4</v>
      </c>
      <c r="AK1122" s="4">
        <v>4</v>
      </c>
      <c r="AL1122" s="4">
        <v>0</v>
      </c>
      <c r="AM1122" s="4">
        <v>0</v>
      </c>
      <c r="AN1122" s="4">
        <v>0</v>
      </c>
      <c r="AO1122" s="4">
        <v>0</v>
      </c>
      <c r="AP1122" s="3" t="s">
        <v>58</v>
      </c>
      <c r="AQ1122" s="3" t="s">
        <v>58</v>
      </c>
      <c r="AS1122" s="6" t="str">
        <f>HYPERLINK("https://creighton-primo.hosted.exlibrisgroup.com/primo-explore/search?tab=default_tab&amp;search_scope=EVERYTHING&amp;vid=01CRU&amp;lang=en_US&amp;offset=0&amp;query=any,contains,991000585739702656","Catalog Record")</f>
        <v>Catalog Record</v>
      </c>
      <c r="AT1122" s="6" t="str">
        <f>HYPERLINK("http://www.worldcat.org/oclc/11756336","WorldCat Record")</f>
        <v>WorldCat Record</v>
      </c>
      <c r="AU1122" s="3" t="s">
        <v>14474</v>
      </c>
      <c r="AV1122" s="3" t="s">
        <v>14475</v>
      </c>
      <c r="AW1122" s="3" t="s">
        <v>14476</v>
      </c>
      <c r="AX1122" s="3" t="s">
        <v>14476</v>
      </c>
      <c r="AY1122" s="3" t="s">
        <v>14477</v>
      </c>
      <c r="AZ1122" s="3" t="s">
        <v>74</v>
      </c>
      <c r="BB1122" s="3" t="s">
        <v>14478</v>
      </c>
      <c r="BC1122" s="3" t="s">
        <v>14479</v>
      </c>
      <c r="BD1122" s="3" t="s">
        <v>14480</v>
      </c>
    </row>
    <row r="1123" spans="1:56" ht="42.75" customHeight="1" x14ac:dyDescent="0.25">
      <c r="A1123" s="7" t="s">
        <v>58</v>
      </c>
      <c r="B1123" s="2" t="s">
        <v>14481</v>
      </c>
      <c r="C1123" s="2" t="s">
        <v>14482</v>
      </c>
      <c r="D1123" s="2" t="s">
        <v>14483</v>
      </c>
      <c r="F1123" s="3" t="s">
        <v>58</v>
      </c>
      <c r="G1123" s="3" t="s">
        <v>59</v>
      </c>
      <c r="H1123" s="3" t="s">
        <v>58</v>
      </c>
      <c r="I1123" s="3" t="s">
        <v>58</v>
      </c>
      <c r="J1123" s="3" t="s">
        <v>60</v>
      </c>
      <c r="L1123" s="2" t="s">
        <v>14484</v>
      </c>
      <c r="M1123" s="3" t="s">
        <v>371</v>
      </c>
      <c r="O1123" s="3" t="s">
        <v>64</v>
      </c>
      <c r="P1123" s="3" t="s">
        <v>115</v>
      </c>
      <c r="R1123" s="3" t="s">
        <v>67</v>
      </c>
      <c r="S1123" s="4">
        <v>75</v>
      </c>
      <c r="T1123" s="4">
        <v>75</v>
      </c>
      <c r="U1123" s="5" t="s">
        <v>14093</v>
      </c>
      <c r="V1123" s="5" t="s">
        <v>14093</v>
      </c>
      <c r="W1123" s="5" t="s">
        <v>4459</v>
      </c>
      <c r="X1123" s="5" t="s">
        <v>4459</v>
      </c>
      <c r="Y1123" s="4">
        <v>763</v>
      </c>
      <c r="Z1123" s="4">
        <v>658</v>
      </c>
      <c r="AA1123" s="4">
        <v>664</v>
      </c>
      <c r="AB1123" s="4">
        <v>2</v>
      </c>
      <c r="AC1123" s="4">
        <v>2</v>
      </c>
      <c r="AD1123" s="4">
        <v>24</v>
      </c>
      <c r="AE1123" s="4">
        <v>24</v>
      </c>
      <c r="AF1123" s="4">
        <v>11</v>
      </c>
      <c r="AG1123" s="4">
        <v>11</v>
      </c>
      <c r="AH1123" s="4">
        <v>5</v>
      </c>
      <c r="AI1123" s="4">
        <v>5</v>
      </c>
      <c r="AJ1123" s="4">
        <v>13</v>
      </c>
      <c r="AK1123" s="4">
        <v>13</v>
      </c>
      <c r="AL1123" s="4">
        <v>1</v>
      </c>
      <c r="AM1123" s="4">
        <v>1</v>
      </c>
      <c r="AN1123" s="4">
        <v>0</v>
      </c>
      <c r="AO1123" s="4">
        <v>0</v>
      </c>
      <c r="AP1123" s="3" t="s">
        <v>58</v>
      </c>
      <c r="AQ1123" s="3" t="s">
        <v>86</v>
      </c>
      <c r="AR1123" s="6" t="str">
        <f>HYPERLINK("http://catalog.hathitrust.org/Record/000807301","HathiTrust Record")</f>
        <v>HathiTrust Record</v>
      </c>
      <c r="AS1123" s="6" t="str">
        <f>HYPERLINK("https://creighton-primo.hosted.exlibrisgroup.com/primo-explore/search?tab=default_tab&amp;search_scope=EVERYTHING&amp;vid=01CRU&amp;lang=en_US&amp;offset=0&amp;query=any,contains,991000796459702656","Catalog Record")</f>
        <v>Catalog Record</v>
      </c>
      <c r="AT1123" s="6" t="str">
        <f>HYPERLINK("http://www.worldcat.org/oclc/13186548","WorldCat Record")</f>
        <v>WorldCat Record</v>
      </c>
      <c r="AU1123" s="3" t="s">
        <v>14485</v>
      </c>
      <c r="AV1123" s="3" t="s">
        <v>14486</v>
      </c>
      <c r="AW1123" s="3" t="s">
        <v>14487</v>
      </c>
      <c r="AX1123" s="3" t="s">
        <v>14487</v>
      </c>
      <c r="AY1123" s="3" t="s">
        <v>14488</v>
      </c>
      <c r="AZ1123" s="3" t="s">
        <v>74</v>
      </c>
      <c r="BB1123" s="3" t="s">
        <v>14489</v>
      </c>
      <c r="BC1123" s="3" t="s">
        <v>14490</v>
      </c>
      <c r="BD1123" s="3" t="s">
        <v>14491</v>
      </c>
    </row>
    <row r="1124" spans="1:56" ht="42.75" customHeight="1" x14ac:dyDescent="0.25">
      <c r="A1124" s="7" t="s">
        <v>58</v>
      </c>
      <c r="B1124" s="2" t="s">
        <v>14492</v>
      </c>
      <c r="C1124" s="2" t="s">
        <v>14493</v>
      </c>
      <c r="D1124" s="2" t="s">
        <v>14494</v>
      </c>
      <c r="F1124" s="3" t="s">
        <v>58</v>
      </c>
      <c r="G1124" s="3" t="s">
        <v>59</v>
      </c>
      <c r="H1124" s="3" t="s">
        <v>58</v>
      </c>
      <c r="I1124" s="3" t="s">
        <v>58</v>
      </c>
      <c r="J1124" s="3" t="s">
        <v>60</v>
      </c>
      <c r="K1124" s="2" t="s">
        <v>7982</v>
      </c>
      <c r="L1124" s="2" t="s">
        <v>14495</v>
      </c>
      <c r="M1124" s="3" t="s">
        <v>63</v>
      </c>
      <c r="N1124" s="2" t="s">
        <v>1736</v>
      </c>
      <c r="O1124" s="3" t="s">
        <v>64</v>
      </c>
      <c r="P1124" s="3" t="s">
        <v>2130</v>
      </c>
      <c r="Q1124" s="2" t="s">
        <v>14496</v>
      </c>
      <c r="R1124" s="3" t="s">
        <v>67</v>
      </c>
      <c r="S1124" s="4">
        <v>83</v>
      </c>
      <c r="T1124" s="4">
        <v>83</v>
      </c>
      <c r="U1124" s="5" t="s">
        <v>387</v>
      </c>
      <c r="V1124" s="5" t="s">
        <v>387</v>
      </c>
      <c r="W1124" s="5" t="s">
        <v>4486</v>
      </c>
      <c r="X1124" s="5" t="s">
        <v>4486</v>
      </c>
      <c r="Y1124" s="4">
        <v>113</v>
      </c>
      <c r="Z1124" s="4">
        <v>102</v>
      </c>
      <c r="AA1124" s="4">
        <v>104</v>
      </c>
      <c r="AB1124" s="4">
        <v>3</v>
      </c>
      <c r="AC1124" s="4">
        <v>3</v>
      </c>
      <c r="AD1124" s="4">
        <v>4</v>
      </c>
      <c r="AE1124" s="4">
        <v>4</v>
      </c>
      <c r="AF1124" s="4">
        <v>1</v>
      </c>
      <c r="AG1124" s="4">
        <v>1</v>
      </c>
      <c r="AH1124" s="4">
        <v>1</v>
      </c>
      <c r="AI1124" s="4">
        <v>1</v>
      </c>
      <c r="AJ1124" s="4">
        <v>2</v>
      </c>
      <c r="AK1124" s="4">
        <v>2</v>
      </c>
      <c r="AL1124" s="4">
        <v>1</v>
      </c>
      <c r="AM1124" s="4">
        <v>1</v>
      </c>
      <c r="AN1124" s="4">
        <v>0</v>
      </c>
      <c r="AO1124" s="4">
        <v>0</v>
      </c>
      <c r="AP1124" s="3" t="s">
        <v>58</v>
      </c>
      <c r="AQ1124" s="3" t="s">
        <v>86</v>
      </c>
      <c r="AR1124" s="6" t="str">
        <f>HYPERLINK("http://catalog.hathitrust.org/Record/008580193","HathiTrust Record")</f>
        <v>HathiTrust Record</v>
      </c>
      <c r="AS1124" s="6" t="str">
        <f>HYPERLINK("https://creighton-primo.hosted.exlibrisgroup.com/primo-explore/search?tab=default_tab&amp;search_scope=EVERYTHING&amp;vid=01CRU&amp;lang=en_US&amp;offset=0&amp;query=any,contains,991000268359702656","Catalog Record")</f>
        <v>Catalog Record</v>
      </c>
      <c r="AT1124" s="6" t="str">
        <f>HYPERLINK("http://www.worldcat.org/oclc/9851842","WorldCat Record")</f>
        <v>WorldCat Record</v>
      </c>
      <c r="AU1124" s="3" t="s">
        <v>14497</v>
      </c>
      <c r="AV1124" s="3" t="s">
        <v>14498</v>
      </c>
      <c r="AW1124" s="3" t="s">
        <v>14499</v>
      </c>
      <c r="AX1124" s="3" t="s">
        <v>14499</v>
      </c>
      <c r="AY1124" s="3" t="s">
        <v>14500</v>
      </c>
      <c r="AZ1124" s="3" t="s">
        <v>74</v>
      </c>
      <c r="BB1124" s="3" t="s">
        <v>14501</v>
      </c>
      <c r="BC1124" s="3" t="s">
        <v>14502</v>
      </c>
      <c r="BD1124" s="3" t="s">
        <v>14503</v>
      </c>
    </row>
    <row r="1125" spans="1:56" ht="42.75" customHeight="1" x14ac:dyDescent="0.25">
      <c r="A1125" s="7" t="s">
        <v>58</v>
      </c>
      <c r="B1125" s="2" t="s">
        <v>14504</v>
      </c>
      <c r="C1125" s="2" t="s">
        <v>14505</v>
      </c>
      <c r="D1125" s="2" t="s">
        <v>14506</v>
      </c>
      <c r="F1125" s="3" t="s">
        <v>58</v>
      </c>
      <c r="G1125" s="3" t="s">
        <v>59</v>
      </c>
      <c r="H1125" s="3" t="s">
        <v>58</v>
      </c>
      <c r="I1125" s="3" t="s">
        <v>58</v>
      </c>
      <c r="J1125" s="3" t="s">
        <v>60</v>
      </c>
      <c r="K1125" s="2" t="s">
        <v>14507</v>
      </c>
      <c r="L1125" s="2" t="s">
        <v>14508</v>
      </c>
      <c r="M1125" s="3" t="s">
        <v>371</v>
      </c>
      <c r="O1125" s="3" t="s">
        <v>64</v>
      </c>
      <c r="P1125" s="3" t="s">
        <v>2144</v>
      </c>
      <c r="R1125" s="3" t="s">
        <v>67</v>
      </c>
      <c r="S1125" s="4">
        <v>53</v>
      </c>
      <c r="T1125" s="4">
        <v>53</v>
      </c>
      <c r="U1125" s="5" t="s">
        <v>14509</v>
      </c>
      <c r="V1125" s="5" t="s">
        <v>14509</v>
      </c>
      <c r="W1125" s="5" t="s">
        <v>14510</v>
      </c>
      <c r="X1125" s="5" t="s">
        <v>14510</v>
      </c>
      <c r="Y1125" s="4">
        <v>278</v>
      </c>
      <c r="Z1125" s="4">
        <v>260</v>
      </c>
      <c r="AA1125" s="4">
        <v>279</v>
      </c>
      <c r="AB1125" s="4">
        <v>3</v>
      </c>
      <c r="AC1125" s="4">
        <v>3</v>
      </c>
      <c r="AD1125" s="4">
        <v>7</v>
      </c>
      <c r="AE1125" s="4">
        <v>7</v>
      </c>
      <c r="AF1125" s="4">
        <v>2</v>
      </c>
      <c r="AG1125" s="4">
        <v>2</v>
      </c>
      <c r="AH1125" s="4">
        <v>0</v>
      </c>
      <c r="AI1125" s="4">
        <v>0</v>
      </c>
      <c r="AJ1125" s="4">
        <v>5</v>
      </c>
      <c r="AK1125" s="4">
        <v>5</v>
      </c>
      <c r="AL1125" s="4">
        <v>2</v>
      </c>
      <c r="AM1125" s="4">
        <v>2</v>
      </c>
      <c r="AN1125" s="4">
        <v>0</v>
      </c>
      <c r="AO1125" s="4">
        <v>0</v>
      </c>
      <c r="AP1125" s="3" t="s">
        <v>58</v>
      </c>
      <c r="AQ1125" s="3" t="s">
        <v>58</v>
      </c>
      <c r="AS1125" s="6" t="str">
        <f>HYPERLINK("https://creighton-primo.hosted.exlibrisgroup.com/primo-explore/search?tab=default_tab&amp;search_scope=EVERYTHING&amp;vid=01CRU&amp;lang=en_US&amp;offset=0&amp;query=any,contains,991001213369702656","Catalog Record")</f>
        <v>Catalog Record</v>
      </c>
      <c r="AT1125" s="6" t="str">
        <f>HYPERLINK("http://www.worldcat.org/oclc/17412346","WorldCat Record")</f>
        <v>WorldCat Record</v>
      </c>
      <c r="AU1125" s="3" t="s">
        <v>14511</v>
      </c>
      <c r="AV1125" s="3" t="s">
        <v>14512</v>
      </c>
      <c r="AW1125" s="3" t="s">
        <v>14513</v>
      </c>
      <c r="AX1125" s="3" t="s">
        <v>14513</v>
      </c>
      <c r="AY1125" s="3" t="s">
        <v>14514</v>
      </c>
      <c r="AZ1125" s="3" t="s">
        <v>74</v>
      </c>
      <c r="BB1125" s="3" t="s">
        <v>14515</v>
      </c>
      <c r="BC1125" s="3" t="s">
        <v>14516</v>
      </c>
      <c r="BD1125" s="3" t="s">
        <v>14517</v>
      </c>
    </row>
    <row r="1126" spans="1:56" ht="42.75" customHeight="1" x14ac:dyDescent="0.25">
      <c r="A1126" s="7" t="s">
        <v>58</v>
      </c>
      <c r="B1126" s="2" t="s">
        <v>14518</v>
      </c>
      <c r="C1126" s="2" t="s">
        <v>14519</v>
      </c>
      <c r="D1126" s="2" t="s">
        <v>14520</v>
      </c>
      <c r="F1126" s="3" t="s">
        <v>58</v>
      </c>
      <c r="G1126" s="3" t="s">
        <v>59</v>
      </c>
      <c r="H1126" s="3" t="s">
        <v>58</v>
      </c>
      <c r="I1126" s="3" t="s">
        <v>58</v>
      </c>
      <c r="J1126" s="3" t="s">
        <v>60</v>
      </c>
      <c r="L1126" s="2" t="s">
        <v>113</v>
      </c>
      <c r="M1126" s="3" t="s">
        <v>114</v>
      </c>
      <c r="O1126" s="3" t="s">
        <v>64</v>
      </c>
      <c r="P1126" s="3" t="s">
        <v>115</v>
      </c>
      <c r="Q1126" s="2" t="s">
        <v>14521</v>
      </c>
      <c r="R1126" s="3" t="s">
        <v>67</v>
      </c>
      <c r="S1126" s="4">
        <v>53</v>
      </c>
      <c r="T1126" s="4">
        <v>53</v>
      </c>
      <c r="U1126" s="5" t="s">
        <v>6044</v>
      </c>
      <c r="V1126" s="5" t="s">
        <v>6044</v>
      </c>
      <c r="W1126" s="5" t="s">
        <v>12722</v>
      </c>
      <c r="X1126" s="5" t="s">
        <v>12722</v>
      </c>
      <c r="Y1126" s="4">
        <v>440</v>
      </c>
      <c r="Z1126" s="4">
        <v>385</v>
      </c>
      <c r="AA1126" s="4">
        <v>394</v>
      </c>
      <c r="AB1126" s="4">
        <v>3</v>
      </c>
      <c r="AC1126" s="4">
        <v>3</v>
      </c>
      <c r="AD1126" s="4">
        <v>18</v>
      </c>
      <c r="AE1126" s="4">
        <v>18</v>
      </c>
      <c r="AF1126" s="4">
        <v>8</v>
      </c>
      <c r="AG1126" s="4">
        <v>8</v>
      </c>
      <c r="AH1126" s="4">
        <v>4</v>
      </c>
      <c r="AI1126" s="4">
        <v>4</v>
      </c>
      <c r="AJ1126" s="4">
        <v>8</v>
      </c>
      <c r="AK1126" s="4">
        <v>8</v>
      </c>
      <c r="AL1126" s="4">
        <v>2</v>
      </c>
      <c r="AM1126" s="4">
        <v>2</v>
      </c>
      <c r="AN1126" s="4">
        <v>0</v>
      </c>
      <c r="AO1126" s="4">
        <v>0</v>
      </c>
      <c r="AP1126" s="3" t="s">
        <v>58</v>
      </c>
      <c r="AQ1126" s="3" t="s">
        <v>86</v>
      </c>
      <c r="AR1126" s="6" t="str">
        <f>HYPERLINK("http://catalog.hathitrust.org/Record/000326347","HathiTrust Record")</f>
        <v>HathiTrust Record</v>
      </c>
      <c r="AS1126" s="6" t="str">
        <f>HYPERLINK("https://creighton-primo.hosted.exlibrisgroup.com/primo-explore/search?tab=default_tab&amp;search_scope=EVERYTHING&amp;vid=01CRU&amp;lang=en_US&amp;offset=0&amp;query=any,contains,991000312519702656","Catalog Record")</f>
        <v>Catalog Record</v>
      </c>
      <c r="AT1126" s="6" t="str">
        <f>HYPERLINK("http://www.worldcat.org/oclc/10100684","WorldCat Record")</f>
        <v>WorldCat Record</v>
      </c>
      <c r="AU1126" s="3" t="s">
        <v>14522</v>
      </c>
      <c r="AV1126" s="3" t="s">
        <v>14523</v>
      </c>
      <c r="AW1126" s="3" t="s">
        <v>14524</v>
      </c>
      <c r="AX1126" s="3" t="s">
        <v>14524</v>
      </c>
      <c r="AY1126" s="3" t="s">
        <v>14525</v>
      </c>
      <c r="AZ1126" s="3" t="s">
        <v>74</v>
      </c>
      <c r="BB1126" s="3" t="s">
        <v>14526</v>
      </c>
      <c r="BC1126" s="3" t="s">
        <v>14527</v>
      </c>
      <c r="BD1126" s="3" t="s">
        <v>14528</v>
      </c>
    </row>
    <row r="1127" spans="1:56" ht="42.75" customHeight="1" x14ac:dyDescent="0.25">
      <c r="A1127" s="7" t="s">
        <v>58</v>
      </c>
      <c r="B1127" s="2" t="s">
        <v>14529</v>
      </c>
      <c r="C1127" s="2" t="s">
        <v>14530</v>
      </c>
      <c r="D1127" s="2" t="s">
        <v>14531</v>
      </c>
      <c r="F1127" s="3" t="s">
        <v>58</v>
      </c>
      <c r="G1127" s="3" t="s">
        <v>59</v>
      </c>
      <c r="H1127" s="3" t="s">
        <v>58</v>
      </c>
      <c r="I1127" s="3" t="s">
        <v>58</v>
      </c>
      <c r="J1127" s="3" t="s">
        <v>60</v>
      </c>
      <c r="L1127" s="2" t="s">
        <v>14532</v>
      </c>
      <c r="M1127" s="3" t="s">
        <v>1404</v>
      </c>
      <c r="O1127" s="3" t="s">
        <v>64</v>
      </c>
      <c r="P1127" s="3" t="s">
        <v>178</v>
      </c>
      <c r="Q1127" s="2" t="s">
        <v>14533</v>
      </c>
      <c r="R1127" s="3" t="s">
        <v>67</v>
      </c>
      <c r="S1127" s="4">
        <v>2</v>
      </c>
      <c r="T1127" s="4">
        <v>2</v>
      </c>
      <c r="U1127" s="5" t="s">
        <v>14534</v>
      </c>
      <c r="V1127" s="5" t="s">
        <v>14534</v>
      </c>
      <c r="W1127" s="5" t="s">
        <v>13308</v>
      </c>
      <c r="X1127" s="5" t="s">
        <v>13308</v>
      </c>
      <c r="Y1127" s="4">
        <v>379</v>
      </c>
      <c r="Z1127" s="4">
        <v>359</v>
      </c>
      <c r="AA1127" s="4">
        <v>611</v>
      </c>
      <c r="AB1127" s="4">
        <v>6</v>
      </c>
      <c r="AC1127" s="4">
        <v>7</v>
      </c>
      <c r="AD1127" s="4">
        <v>3</v>
      </c>
      <c r="AE1127" s="4">
        <v>12</v>
      </c>
      <c r="AF1127" s="4">
        <v>0</v>
      </c>
      <c r="AG1127" s="4">
        <v>5</v>
      </c>
      <c r="AH1127" s="4">
        <v>0</v>
      </c>
      <c r="AI1127" s="4">
        <v>2</v>
      </c>
      <c r="AJ1127" s="4">
        <v>0</v>
      </c>
      <c r="AK1127" s="4">
        <v>2</v>
      </c>
      <c r="AL1127" s="4">
        <v>3</v>
      </c>
      <c r="AM1127" s="4">
        <v>4</v>
      </c>
      <c r="AN1127" s="4">
        <v>0</v>
      </c>
      <c r="AO1127" s="4">
        <v>0</v>
      </c>
      <c r="AP1127" s="3" t="s">
        <v>58</v>
      </c>
      <c r="AQ1127" s="3" t="s">
        <v>58</v>
      </c>
      <c r="AS1127" s="6" t="str">
        <f>HYPERLINK("https://creighton-primo.hosted.exlibrisgroup.com/primo-explore/search?tab=default_tab&amp;search_scope=EVERYTHING&amp;vid=01CRU&amp;lang=en_US&amp;offset=0&amp;query=any,contains,991005166839702656","Catalog Record")</f>
        <v>Catalog Record</v>
      </c>
      <c r="AT1127" s="6" t="str">
        <f>HYPERLINK("http://www.worldcat.org/oclc/155756734","WorldCat Record")</f>
        <v>WorldCat Record</v>
      </c>
      <c r="AU1127" s="3" t="s">
        <v>14535</v>
      </c>
      <c r="AV1127" s="3" t="s">
        <v>14536</v>
      </c>
      <c r="AW1127" s="3" t="s">
        <v>14537</v>
      </c>
      <c r="AX1127" s="3" t="s">
        <v>14537</v>
      </c>
      <c r="AY1127" s="3" t="s">
        <v>14538</v>
      </c>
      <c r="AZ1127" s="3" t="s">
        <v>74</v>
      </c>
      <c r="BB1127" s="3" t="s">
        <v>14539</v>
      </c>
      <c r="BC1127" s="3" t="s">
        <v>14540</v>
      </c>
      <c r="BD1127" s="3" t="s">
        <v>14541</v>
      </c>
    </row>
    <row r="1128" spans="1:56" ht="42.75" customHeight="1" x14ac:dyDescent="0.25">
      <c r="A1128" s="7" t="s">
        <v>58</v>
      </c>
      <c r="B1128" s="2" t="s">
        <v>14542</v>
      </c>
      <c r="C1128" s="2" t="s">
        <v>14543</v>
      </c>
      <c r="D1128" s="2" t="s">
        <v>14544</v>
      </c>
      <c r="F1128" s="3" t="s">
        <v>58</v>
      </c>
      <c r="G1128" s="3" t="s">
        <v>59</v>
      </c>
      <c r="H1128" s="3" t="s">
        <v>58</v>
      </c>
      <c r="I1128" s="3" t="s">
        <v>58</v>
      </c>
      <c r="J1128" s="3" t="s">
        <v>60</v>
      </c>
      <c r="L1128" s="2" t="s">
        <v>14545</v>
      </c>
      <c r="M1128" s="3" t="s">
        <v>642</v>
      </c>
      <c r="O1128" s="3" t="s">
        <v>64</v>
      </c>
      <c r="P1128" s="3" t="s">
        <v>145</v>
      </c>
      <c r="Q1128" s="2" t="s">
        <v>14546</v>
      </c>
      <c r="R1128" s="3" t="s">
        <v>67</v>
      </c>
      <c r="S1128" s="4">
        <v>40</v>
      </c>
      <c r="T1128" s="4">
        <v>40</v>
      </c>
      <c r="U1128" s="5" t="s">
        <v>3273</v>
      </c>
      <c r="V1128" s="5" t="s">
        <v>3273</v>
      </c>
      <c r="W1128" s="5" t="s">
        <v>14547</v>
      </c>
      <c r="X1128" s="5" t="s">
        <v>14547</v>
      </c>
      <c r="Y1128" s="4">
        <v>309</v>
      </c>
      <c r="Z1128" s="4">
        <v>245</v>
      </c>
      <c r="AA1128" s="4">
        <v>267</v>
      </c>
      <c r="AB1128" s="4">
        <v>3</v>
      </c>
      <c r="AC1128" s="4">
        <v>3</v>
      </c>
      <c r="AD1128" s="4">
        <v>13</v>
      </c>
      <c r="AE1128" s="4">
        <v>13</v>
      </c>
      <c r="AF1128" s="4">
        <v>3</v>
      </c>
      <c r="AG1128" s="4">
        <v>3</v>
      </c>
      <c r="AH1128" s="4">
        <v>2</v>
      </c>
      <c r="AI1128" s="4">
        <v>2</v>
      </c>
      <c r="AJ1128" s="4">
        <v>8</v>
      </c>
      <c r="AK1128" s="4">
        <v>8</v>
      </c>
      <c r="AL1128" s="4">
        <v>2</v>
      </c>
      <c r="AM1128" s="4">
        <v>2</v>
      </c>
      <c r="AN1128" s="4">
        <v>0</v>
      </c>
      <c r="AO1128" s="4">
        <v>0</v>
      </c>
      <c r="AP1128" s="3" t="s">
        <v>58</v>
      </c>
      <c r="AQ1128" s="3" t="s">
        <v>58</v>
      </c>
      <c r="AS1128" s="6" t="str">
        <f>HYPERLINK("https://creighton-primo.hosted.exlibrisgroup.com/primo-explore/search?tab=default_tab&amp;search_scope=EVERYTHING&amp;vid=01CRU&amp;lang=en_US&amp;offset=0&amp;query=any,contains,991001940319702656","Catalog Record")</f>
        <v>Catalog Record</v>
      </c>
      <c r="AT1128" s="6" t="str">
        <f>HYPERLINK("http://www.worldcat.org/oclc/24504420","WorldCat Record")</f>
        <v>WorldCat Record</v>
      </c>
      <c r="AU1128" s="3" t="s">
        <v>14548</v>
      </c>
      <c r="AV1128" s="3" t="s">
        <v>14549</v>
      </c>
      <c r="AW1128" s="3" t="s">
        <v>14550</v>
      </c>
      <c r="AX1128" s="3" t="s">
        <v>14550</v>
      </c>
      <c r="AY1128" s="3" t="s">
        <v>14551</v>
      </c>
      <c r="AZ1128" s="3" t="s">
        <v>74</v>
      </c>
      <c r="BB1128" s="3" t="s">
        <v>14552</v>
      </c>
      <c r="BC1128" s="3" t="s">
        <v>14553</v>
      </c>
      <c r="BD1128" s="3" t="s">
        <v>14554</v>
      </c>
    </row>
    <row r="1129" spans="1:56" ht="42.75" customHeight="1" x14ac:dyDescent="0.25">
      <c r="A1129" s="7" t="s">
        <v>58</v>
      </c>
      <c r="B1129" s="2" t="s">
        <v>14555</v>
      </c>
      <c r="C1129" s="2" t="s">
        <v>14556</v>
      </c>
      <c r="D1129" s="2" t="s">
        <v>14557</v>
      </c>
      <c r="F1129" s="3" t="s">
        <v>58</v>
      </c>
      <c r="G1129" s="3" t="s">
        <v>59</v>
      </c>
      <c r="H1129" s="3" t="s">
        <v>86</v>
      </c>
      <c r="I1129" s="3" t="s">
        <v>58</v>
      </c>
      <c r="J1129" s="3" t="s">
        <v>60</v>
      </c>
      <c r="K1129" s="2" t="s">
        <v>14558</v>
      </c>
      <c r="L1129" s="2" t="s">
        <v>14559</v>
      </c>
      <c r="M1129" s="3" t="s">
        <v>82</v>
      </c>
      <c r="O1129" s="3" t="s">
        <v>64</v>
      </c>
      <c r="P1129" s="3" t="s">
        <v>115</v>
      </c>
      <c r="R1129" s="3" t="s">
        <v>67</v>
      </c>
      <c r="S1129" s="4">
        <v>37</v>
      </c>
      <c r="T1129" s="4">
        <v>37</v>
      </c>
      <c r="U1129" s="5" t="s">
        <v>14560</v>
      </c>
      <c r="V1129" s="5" t="s">
        <v>14560</v>
      </c>
      <c r="W1129" s="5" t="s">
        <v>10583</v>
      </c>
      <c r="X1129" s="5" t="s">
        <v>10583</v>
      </c>
      <c r="Y1129" s="4">
        <v>382</v>
      </c>
      <c r="Z1129" s="4">
        <v>334</v>
      </c>
      <c r="AA1129" s="4">
        <v>365</v>
      </c>
      <c r="AB1129" s="4">
        <v>3</v>
      </c>
      <c r="AC1129" s="4">
        <v>3</v>
      </c>
      <c r="AD1129" s="4">
        <v>15</v>
      </c>
      <c r="AE1129" s="4">
        <v>20</v>
      </c>
      <c r="AF1129" s="4">
        <v>6</v>
      </c>
      <c r="AG1129" s="4">
        <v>9</v>
      </c>
      <c r="AH1129" s="4">
        <v>3</v>
      </c>
      <c r="AI1129" s="4">
        <v>3</v>
      </c>
      <c r="AJ1129" s="4">
        <v>9</v>
      </c>
      <c r="AK1129" s="4">
        <v>13</v>
      </c>
      <c r="AL1129" s="4">
        <v>1</v>
      </c>
      <c r="AM1129" s="4">
        <v>1</v>
      </c>
      <c r="AN1129" s="4">
        <v>0</v>
      </c>
      <c r="AO1129" s="4">
        <v>0</v>
      </c>
      <c r="AP1129" s="3" t="s">
        <v>58</v>
      </c>
      <c r="AQ1129" s="3" t="s">
        <v>86</v>
      </c>
      <c r="AR1129" s="6" t="str">
        <f>HYPERLINK("http://catalog.hathitrust.org/Record/000834686","HathiTrust Record")</f>
        <v>HathiTrust Record</v>
      </c>
      <c r="AS1129" s="6" t="str">
        <f>HYPERLINK("https://creighton-primo.hosted.exlibrisgroup.com/primo-explore/search?tab=default_tab&amp;search_scope=EVERYTHING&amp;vid=01CRU&amp;lang=en_US&amp;offset=0&amp;query=any,contains,991000992479702656","Catalog Record")</f>
        <v>Catalog Record</v>
      </c>
      <c r="AT1129" s="6" t="str">
        <f>HYPERLINK("http://www.worldcat.org/oclc/15108875","WorldCat Record")</f>
        <v>WorldCat Record</v>
      </c>
      <c r="AU1129" s="3" t="s">
        <v>14561</v>
      </c>
      <c r="AV1129" s="3" t="s">
        <v>14562</v>
      </c>
      <c r="AW1129" s="3" t="s">
        <v>14563</v>
      </c>
      <c r="AX1129" s="3" t="s">
        <v>14563</v>
      </c>
      <c r="AY1129" s="3" t="s">
        <v>14564</v>
      </c>
      <c r="AZ1129" s="3" t="s">
        <v>74</v>
      </c>
      <c r="BB1129" s="3" t="s">
        <v>14565</v>
      </c>
      <c r="BC1129" s="3" t="s">
        <v>14566</v>
      </c>
      <c r="BD1129" s="3" t="s">
        <v>14567</v>
      </c>
    </row>
    <row r="1130" spans="1:56" ht="42.75" customHeight="1" x14ac:dyDescent="0.25">
      <c r="A1130" s="7" t="s">
        <v>58</v>
      </c>
      <c r="B1130" s="2" t="s">
        <v>14568</v>
      </c>
      <c r="C1130" s="2" t="s">
        <v>14569</v>
      </c>
      <c r="D1130" s="2" t="s">
        <v>14570</v>
      </c>
      <c r="F1130" s="3" t="s">
        <v>58</v>
      </c>
      <c r="G1130" s="3" t="s">
        <v>59</v>
      </c>
      <c r="H1130" s="3" t="s">
        <v>86</v>
      </c>
      <c r="I1130" s="3" t="s">
        <v>58</v>
      </c>
      <c r="J1130" s="3" t="s">
        <v>60</v>
      </c>
      <c r="K1130" s="2" t="s">
        <v>14571</v>
      </c>
      <c r="L1130" s="2" t="s">
        <v>7261</v>
      </c>
      <c r="M1130" s="3" t="s">
        <v>114</v>
      </c>
      <c r="N1130" s="2" t="s">
        <v>1736</v>
      </c>
      <c r="O1130" s="3" t="s">
        <v>64</v>
      </c>
      <c r="P1130" s="3" t="s">
        <v>115</v>
      </c>
      <c r="R1130" s="3" t="s">
        <v>67</v>
      </c>
      <c r="S1130" s="4">
        <v>24</v>
      </c>
      <c r="T1130" s="4">
        <v>48</v>
      </c>
      <c r="U1130" s="5" t="s">
        <v>14572</v>
      </c>
      <c r="V1130" s="5" t="s">
        <v>14509</v>
      </c>
      <c r="W1130" s="5" t="s">
        <v>14573</v>
      </c>
      <c r="X1130" s="5" t="s">
        <v>14573</v>
      </c>
      <c r="Y1130" s="4">
        <v>695</v>
      </c>
      <c r="Z1130" s="4">
        <v>655</v>
      </c>
      <c r="AA1130" s="4">
        <v>714</v>
      </c>
      <c r="AB1130" s="4">
        <v>3</v>
      </c>
      <c r="AC1130" s="4">
        <v>3</v>
      </c>
      <c r="AD1130" s="4">
        <v>11</v>
      </c>
      <c r="AE1130" s="4">
        <v>14</v>
      </c>
      <c r="AF1130" s="4">
        <v>4</v>
      </c>
      <c r="AG1130" s="4">
        <v>5</v>
      </c>
      <c r="AH1130" s="4">
        <v>3</v>
      </c>
      <c r="AI1130" s="4">
        <v>4</v>
      </c>
      <c r="AJ1130" s="4">
        <v>7</v>
      </c>
      <c r="AK1130" s="4">
        <v>9</v>
      </c>
      <c r="AL1130" s="4">
        <v>0</v>
      </c>
      <c r="AM1130" s="4">
        <v>0</v>
      </c>
      <c r="AN1130" s="4">
        <v>0</v>
      </c>
      <c r="AO1130" s="4">
        <v>0</v>
      </c>
      <c r="AP1130" s="3" t="s">
        <v>58</v>
      </c>
      <c r="AQ1130" s="3" t="s">
        <v>86</v>
      </c>
      <c r="AR1130" s="6" t="str">
        <f>HYPERLINK("http://catalog.hathitrust.org/Record/000780927","HathiTrust Record")</f>
        <v>HathiTrust Record</v>
      </c>
      <c r="AS1130" s="6" t="str">
        <f>HYPERLINK("https://creighton-primo.hosted.exlibrisgroup.com/primo-explore/search?tab=default_tab&amp;search_scope=EVERYTHING&amp;vid=01CRU&amp;lang=en_US&amp;offset=0&amp;query=any,contains,991000222329702656","Catalog Record")</f>
        <v>Catalog Record</v>
      </c>
      <c r="AT1130" s="6" t="str">
        <f>HYPERLINK("http://www.worldcat.org/oclc/9576900","WorldCat Record")</f>
        <v>WorldCat Record</v>
      </c>
      <c r="AU1130" s="3" t="s">
        <v>14574</v>
      </c>
      <c r="AV1130" s="3" t="s">
        <v>14575</v>
      </c>
      <c r="AW1130" s="3" t="s">
        <v>14576</v>
      </c>
      <c r="AX1130" s="3" t="s">
        <v>14576</v>
      </c>
      <c r="AY1130" s="3" t="s">
        <v>14577</v>
      </c>
      <c r="AZ1130" s="3" t="s">
        <v>74</v>
      </c>
      <c r="BB1130" s="3" t="s">
        <v>14578</v>
      </c>
      <c r="BC1130" s="3" t="s">
        <v>14579</v>
      </c>
      <c r="BD1130" s="3" t="s">
        <v>14580</v>
      </c>
    </row>
    <row r="1131" spans="1:56" ht="42.75" customHeight="1" x14ac:dyDescent="0.25">
      <c r="A1131" s="7" t="s">
        <v>58</v>
      </c>
      <c r="B1131" s="2" t="s">
        <v>14568</v>
      </c>
      <c r="C1131" s="2" t="s">
        <v>14569</v>
      </c>
      <c r="D1131" s="2" t="s">
        <v>14570</v>
      </c>
      <c r="F1131" s="3" t="s">
        <v>58</v>
      </c>
      <c r="G1131" s="3" t="s">
        <v>59</v>
      </c>
      <c r="H1131" s="3" t="s">
        <v>86</v>
      </c>
      <c r="I1131" s="3" t="s">
        <v>58</v>
      </c>
      <c r="J1131" s="3" t="s">
        <v>60</v>
      </c>
      <c r="K1131" s="2" t="s">
        <v>14571</v>
      </c>
      <c r="L1131" s="2" t="s">
        <v>7261</v>
      </c>
      <c r="M1131" s="3" t="s">
        <v>114</v>
      </c>
      <c r="N1131" s="2" t="s">
        <v>1736</v>
      </c>
      <c r="O1131" s="3" t="s">
        <v>64</v>
      </c>
      <c r="P1131" s="3" t="s">
        <v>115</v>
      </c>
      <c r="R1131" s="3" t="s">
        <v>67</v>
      </c>
      <c r="S1131" s="4">
        <v>24</v>
      </c>
      <c r="T1131" s="4">
        <v>48</v>
      </c>
      <c r="U1131" s="5" t="s">
        <v>14509</v>
      </c>
      <c r="V1131" s="5" t="s">
        <v>14509</v>
      </c>
      <c r="W1131" s="5" t="s">
        <v>7013</v>
      </c>
      <c r="X1131" s="5" t="s">
        <v>14573</v>
      </c>
      <c r="Y1131" s="4">
        <v>695</v>
      </c>
      <c r="Z1131" s="4">
        <v>655</v>
      </c>
      <c r="AA1131" s="4">
        <v>714</v>
      </c>
      <c r="AB1131" s="4">
        <v>3</v>
      </c>
      <c r="AC1131" s="4">
        <v>3</v>
      </c>
      <c r="AD1131" s="4">
        <v>11</v>
      </c>
      <c r="AE1131" s="4">
        <v>14</v>
      </c>
      <c r="AF1131" s="4">
        <v>4</v>
      </c>
      <c r="AG1131" s="4">
        <v>5</v>
      </c>
      <c r="AH1131" s="4">
        <v>3</v>
      </c>
      <c r="AI1131" s="4">
        <v>4</v>
      </c>
      <c r="AJ1131" s="4">
        <v>7</v>
      </c>
      <c r="AK1131" s="4">
        <v>9</v>
      </c>
      <c r="AL1131" s="4">
        <v>0</v>
      </c>
      <c r="AM1131" s="4">
        <v>0</v>
      </c>
      <c r="AN1131" s="4">
        <v>0</v>
      </c>
      <c r="AO1131" s="4">
        <v>0</v>
      </c>
      <c r="AP1131" s="3" t="s">
        <v>58</v>
      </c>
      <c r="AQ1131" s="3" t="s">
        <v>86</v>
      </c>
      <c r="AR1131" s="6" t="str">
        <f>HYPERLINK("http://catalog.hathitrust.org/Record/000780927","HathiTrust Record")</f>
        <v>HathiTrust Record</v>
      </c>
      <c r="AS1131" s="6" t="str">
        <f>HYPERLINK("https://creighton-primo.hosted.exlibrisgroup.com/primo-explore/search?tab=default_tab&amp;search_scope=EVERYTHING&amp;vid=01CRU&amp;lang=en_US&amp;offset=0&amp;query=any,contains,991000222329702656","Catalog Record")</f>
        <v>Catalog Record</v>
      </c>
      <c r="AT1131" s="6" t="str">
        <f>HYPERLINK("http://www.worldcat.org/oclc/9576900","WorldCat Record")</f>
        <v>WorldCat Record</v>
      </c>
      <c r="AU1131" s="3" t="s">
        <v>14574</v>
      </c>
      <c r="AV1131" s="3" t="s">
        <v>14575</v>
      </c>
      <c r="AW1131" s="3" t="s">
        <v>14576</v>
      </c>
      <c r="AX1131" s="3" t="s">
        <v>14576</v>
      </c>
      <c r="AY1131" s="3" t="s">
        <v>14577</v>
      </c>
      <c r="AZ1131" s="3" t="s">
        <v>74</v>
      </c>
      <c r="BB1131" s="3" t="s">
        <v>14578</v>
      </c>
      <c r="BC1131" s="3" t="s">
        <v>14581</v>
      </c>
      <c r="BD1131" s="3" t="s">
        <v>14582</v>
      </c>
    </row>
    <row r="1132" spans="1:56" ht="42.75" customHeight="1" x14ac:dyDescent="0.25">
      <c r="A1132" s="7" t="s">
        <v>58</v>
      </c>
      <c r="B1132" s="2" t="s">
        <v>14583</v>
      </c>
      <c r="C1132" s="2" t="s">
        <v>14584</v>
      </c>
      <c r="D1132" s="2" t="s">
        <v>14585</v>
      </c>
      <c r="F1132" s="3" t="s">
        <v>58</v>
      </c>
      <c r="G1132" s="3" t="s">
        <v>59</v>
      </c>
      <c r="H1132" s="3" t="s">
        <v>58</v>
      </c>
      <c r="I1132" s="3" t="s">
        <v>58</v>
      </c>
      <c r="J1132" s="3" t="s">
        <v>60</v>
      </c>
      <c r="K1132" s="2" t="s">
        <v>14586</v>
      </c>
      <c r="L1132" s="2" t="s">
        <v>14587</v>
      </c>
      <c r="M1132" s="3" t="s">
        <v>371</v>
      </c>
      <c r="N1132" s="2" t="s">
        <v>1736</v>
      </c>
      <c r="O1132" s="3" t="s">
        <v>64</v>
      </c>
      <c r="P1132" s="3" t="s">
        <v>115</v>
      </c>
      <c r="R1132" s="3" t="s">
        <v>67</v>
      </c>
      <c r="S1132" s="4">
        <v>31</v>
      </c>
      <c r="T1132" s="4">
        <v>31</v>
      </c>
      <c r="U1132" s="5" t="s">
        <v>14588</v>
      </c>
      <c r="V1132" s="5" t="s">
        <v>14588</v>
      </c>
      <c r="W1132" s="5" t="s">
        <v>14589</v>
      </c>
      <c r="X1132" s="5" t="s">
        <v>14589</v>
      </c>
      <c r="Y1132" s="4">
        <v>366</v>
      </c>
      <c r="Z1132" s="4">
        <v>317</v>
      </c>
      <c r="AA1132" s="4">
        <v>318</v>
      </c>
      <c r="AB1132" s="4">
        <v>2</v>
      </c>
      <c r="AC1132" s="4">
        <v>2</v>
      </c>
      <c r="AD1132" s="4">
        <v>11</v>
      </c>
      <c r="AE1132" s="4">
        <v>11</v>
      </c>
      <c r="AF1132" s="4">
        <v>4</v>
      </c>
      <c r="AG1132" s="4">
        <v>4</v>
      </c>
      <c r="AH1132" s="4">
        <v>1</v>
      </c>
      <c r="AI1132" s="4">
        <v>1</v>
      </c>
      <c r="AJ1132" s="4">
        <v>8</v>
      </c>
      <c r="AK1132" s="4">
        <v>8</v>
      </c>
      <c r="AL1132" s="4">
        <v>1</v>
      </c>
      <c r="AM1132" s="4">
        <v>1</v>
      </c>
      <c r="AN1132" s="4">
        <v>0</v>
      </c>
      <c r="AO1132" s="4">
        <v>0</v>
      </c>
      <c r="AP1132" s="3" t="s">
        <v>58</v>
      </c>
      <c r="AQ1132" s="3" t="s">
        <v>58</v>
      </c>
      <c r="AS1132" s="6" t="str">
        <f>HYPERLINK("https://creighton-primo.hosted.exlibrisgroup.com/primo-explore/search?tab=default_tab&amp;search_scope=EVERYTHING&amp;vid=01CRU&amp;lang=en_US&amp;offset=0&amp;query=any,contains,991000785399702656","Catalog Record")</f>
        <v>Catalog Record</v>
      </c>
      <c r="AT1132" s="6" t="str">
        <f>HYPERLINK("http://www.worldcat.org/oclc/13124021","WorldCat Record")</f>
        <v>WorldCat Record</v>
      </c>
      <c r="AU1132" s="3" t="s">
        <v>14590</v>
      </c>
      <c r="AV1132" s="3" t="s">
        <v>14591</v>
      </c>
      <c r="AW1132" s="3" t="s">
        <v>14592</v>
      </c>
      <c r="AX1132" s="3" t="s">
        <v>14592</v>
      </c>
      <c r="AY1132" s="3" t="s">
        <v>14593</v>
      </c>
      <c r="AZ1132" s="3" t="s">
        <v>74</v>
      </c>
      <c r="BB1132" s="3" t="s">
        <v>14594</v>
      </c>
      <c r="BC1132" s="3" t="s">
        <v>14595</v>
      </c>
      <c r="BD1132" s="3" t="s">
        <v>14596</v>
      </c>
    </row>
    <row r="1133" spans="1:56" ht="42.75" customHeight="1" x14ac:dyDescent="0.25">
      <c r="A1133" s="7" t="s">
        <v>58</v>
      </c>
      <c r="B1133" s="2" t="s">
        <v>14597</v>
      </c>
      <c r="C1133" s="2" t="s">
        <v>14598</v>
      </c>
      <c r="D1133" s="2" t="s">
        <v>14599</v>
      </c>
      <c r="F1133" s="3" t="s">
        <v>58</v>
      </c>
      <c r="G1133" s="3" t="s">
        <v>59</v>
      </c>
      <c r="H1133" s="3" t="s">
        <v>58</v>
      </c>
      <c r="I1133" s="3" t="s">
        <v>58</v>
      </c>
      <c r="J1133" s="3" t="s">
        <v>60</v>
      </c>
      <c r="K1133" s="2" t="s">
        <v>14600</v>
      </c>
      <c r="L1133" s="2" t="s">
        <v>14601</v>
      </c>
      <c r="M1133" s="3" t="s">
        <v>1101</v>
      </c>
      <c r="O1133" s="3" t="s">
        <v>64</v>
      </c>
      <c r="P1133" s="3" t="s">
        <v>178</v>
      </c>
      <c r="R1133" s="3" t="s">
        <v>67</v>
      </c>
      <c r="S1133" s="4">
        <v>9</v>
      </c>
      <c r="T1133" s="4">
        <v>9</v>
      </c>
      <c r="U1133" s="5" t="s">
        <v>14602</v>
      </c>
      <c r="V1133" s="5" t="s">
        <v>14602</v>
      </c>
      <c r="W1133" s="5" t="s">
        <v>7707</v>
      </c>
      <c r="X1133" s="5" t="s">
        <v>7707</v>
      </c>
      <c r="Y1133" s="4">
        <v>81</v>
      </c>
      <c r="Z1133" s="4">
        <v>77</v>
      </c>
      <c r="AA1133" s="4">
        <v>83</v>
      </c>
      <c r="AB1133" s="4">
        <v>2</v>
      </c>
      <c r="AC1133" s="4">
        <v>2</v>
      </c>
      <c r="AD1133" s="4">
        <v>2</v>
      </c>
      <c r="AE1133" s="4">
        <v>3</v>
      </c>
      <c r="AF1133" s="4">
        <v>1</v>
      </c>
      <c r="AG1133" s="4">
        <v>2</v>
      </c>
      <c r="AH1133" s="4">
        <v>0</v>
      </c>
      <c r="AI1133" s="4">
        <v>1</v>
      </c>
      <c r="AJ1133" s="4">
        <v>1</v>
      </c>
      <c r="AK1133" s="4">
        <v>1</v>
      </c>
      <c r="AL1133" s="4">
        <v>0</v>
      </c>
      <c r="AM1133" s="4">
        <v>0</v>
      </c>
      <c r="AN1133" s="4">
        <v>0</v>
      </c>
      <c r="AO1133" s="4">
        <v>0</v>
      </c>
      <c r="AP1133" s="3" t="s">
        <v>58</v>
      </c>
      <c r="AQ1133" s="3" t="s">
        <v>58</v>
      </c>
      <c r="AS1133" s="6" t="str">
        <f>HYPERLINK("https://creighton-primo.hosted.exlibrisgroup.com/primo-explore/search?tab=default_tab&amp;search_scope=EVERYTHING&amp;vid=01CRU&amp;lang=en_US&amp;offset=0&amp;query=any,contains,991003933539702656","Catalog Record")</f>
        <v>Catalog Record</v>
      </c>
      <c r="AT1133" s="6" t="str">
        <f>HYPERLINK("http://www.worldcat.org/oclc/49284360","WorldCat Record")</f>
        <v>WorldCat Record</v>
      </c>
      <c r="AU1133" s="3" t="s">
        <v>14603</v>
      </c>
      <c r="AV1133" s="3" t="s">
        <v>14604</v>
      </c>
      <c r="AW1133" s="3" t="s">
        <v>14605</v>
      </c>
      <c r="AX1133" s="3" t="s">
        <v>14605</v>
      </c>
      <c r="AY1133" s="3" t="s">
        <v>14606</v>
      </c>
      <c r="AZ1133" s="3" t="s">
        <v>74</v>
      </c>
      <c r="BB1133" s="3" t="s">
        <v>14607</v>
      </c>
      <c r="BC1133" s="3" t="s">
        <v>14608</v>
      </c>
      <c r="BD1133" s="3" t="s">
        <v>14609</v>
      </c>
    </row>
    <row r="1134" spans="1:56" ht="42.75" customHeight="1" x14ac:dyDescent="0.25">
      <c r="A1134" s="7" t="s">
        <v>58</v>
      </c>
      <c r="B1134" s="2" t="s">
        <v>14610</v>
      </c>
      <c r="C1134" s="2" t="s">
        <v>14611</v>
      </c>
      <c r="D1134" s="2" t="s">
        <v>14612</v>
      </c>
      <c r="F1134" s="3" t="s">
        <v>58</v>
      </c>
      <c r="G1134" s="3" t="s">
        <v>59</v>
      </c>
      <c r="H1134" s="3" t="s">
        <v>58</v>
      </c>
      <c r="I1134" s="3" t="s">
        <v>58</v>
      </c>
      <c r="J1134" s="3" t="s">
        <v>60</v>
      </c>
      <c r="K1134" s="2" t="s">
        <v>14613</v>
      </c>
      <c r="L1134" s="2" t="s">
        <v>14614</v>
      </c>
      <c r="M1134" s="3" t="s">
        <v>63</v>
      </c>
      <c r="N1134" s="2" t="s">
        <v>1736</v>
      </c>
      <c r="O1134" s="3" t="s">
        <v>64</v>
      </c>
      <c r="P1134" s="3" t="s">
        <v>115</v>
      </c>
      <c r="R1134" s="3" t="s">
        <v>67</v>
      </c>
      <c r="S1134" s="4">
        <v>30</v>
      </c>
      <c r="T1134" s="4">
        <v>30</v>
      </c>
      <c r="U1134" s="5" t="s">
        <v>14615</v>
      </c>
      <c r="V1134" s="5" t="s">
        <v>14615</v>
      </c>
      <c r="W1134" s="5" t="s">
        <v>12722</v>
      </c>
      <c r="X1134" s="5" t="s">
        <v>12722</v>
      </c>
      <c r="Y1134" s="4">
        <v>876</v>
      </c>
      <c r="Z1134" s="4">
        <v>811</v>
      </c>
      <c r="AA1134" s="4">
        <v>1222</v>
      </c>
      <c r="AB1134" s="4">
        <v>9</v>
      </c>
      <c r="AC1134" s="4">
        <v>11</v>
      </c>
      <c r="AD1134" s="4">
        <v>20</v>
      </c>
      <c r="AE1134" s="4">
        <v>29</v>
      </c>
      <c r="AF1134" s="4">
        <v>8</v>
      </c>
      <c r="AG1134" s="4">
        <v>11</v>
      </c>
      <c r="AH1134" s="4">
        <v>3</v>
      </c>
      <c r="AI1134" s="4">
        <v>5</v>
      </c>
      <c r="AJ1134" s="4">
        <v>9</v>
      </c>
      <c r="AK1134" s="4">
        <v>13</v>
      </c>
      <c r="AL1134" s="4">
        <v>4</v>
      </c>
      <c r="AM1134" s="4">
        <v>6</v>
      </c>
      <c r="AN1134" s="4">
        <v>0</v>
      </c>
      <c r="AO1134" s="4">
        <v>0</v>
      </c>
      <c r="AP1134" s="3" t="s">
        <v>58</v>
      </c>
      <c r="AQ1134" s="3" t="s">
        <v>58</v>
      </c>
      <c r="AS1134" s="6" t="str">
        <f>HYPERLINK("https://creighton-primo.hosted.exlibrisgroup.com/primo-explore/search?tab=default_tab&amp;search_scope=EVERYTHING&amp;vid=01CRU&amp;lang=en_US&amp;offset=0&amp;query=any,contains,991000065899702656","Catalog Record")</f>
        <v>Catalog Record</v>
      </c>
      <c r="AT1134" s="6" t="str">
        <f>HYPERLINK("http://www.worldcat.org/oclc/8763610","WorldCat Record")</f>
        <v>WorldCat Record</v>
      </c>
      <c r="AU1134" s="3" t="s">
        <v>14616</v>
      </c>
      <c r="AV1134" s="3" t="s">
        <v>14617</v>
      </c>
      <c r="AW1134" s="3" t="s">
        <v>14618</v>
      </c>
      <c r="AX1134" s="3" t="s">
        <v>14618</v>
      </c>
      <c r="AY1134" s="3" t="s">
        <v>14619</v>
      </c>
      <c r="AZ1134" s="3" t="s">
        <v>74</v>
      </c>
      <c r="BB1134" s="3" t="s">
        <v>14620</v>
      </c>
      <c r="BC1134" s="3" t="s">
        <v>14621</v>
      </c>
      <c r="BD1134" s="3" t="s">
        <v>14622</v>
      </c>
    </row>
    <row r="1135" spans="1:56" ht="42.75" customHeight="1" x14ac:dyDescent="0.25">
      <c r="A1135" s="7" t="s">
        <v>58</v>
      </c>
      <c r="B1135" s="2" t="s">
        <v>14623</v>
      </c>
      <c r="C1135" s="2" t="s">
        <v>14624</v>
      </c>
      <c r="D1135" s="2" t="s">
        <v>14625</v>
      </c>
      <c r="F1135" s="3" t="s">
        <v>58</v>
      </c>
      <c r="G1135" s="3" t="s">
        <v>59</v>
      </c>
      <c r="H1135" s="3" t="s">
        <v>58</v>
      </c>
      <c r="I1135" s="3" t="s">
        <v>58</v>
      </c>
      <c r="J1135" s="3" t="s">
        <v>60</v>
      </c>
      <c r="K1135" s="2" t="s">
        <v>14626</v>
      </c>
      <c r="L1135" s="2" t="s">
        <v>14627</v>
      </c>
      <c r="M1135" s="3" t="s">
        <v>695</v>
      </c>
      <c r="O1135" s="3" t="s">
        <v>64</v>
      </c>
      <c r="P1135" s="3" t="s">
        <v>115</v>
      </c>
      <c r="R1135" s="3" t="s">
        <v>67</v>
      </c>
      <c r="S1135" s="4">
        <v>55</v>
      </c>
      <c r="T1135" s="4">
        <v>55</v>
      </c>
      <c r="U1135" s="5" t="s">
        <v>14628</v>
      </c>
      <c r="V1135" s="5" t="s">
        <v>14628</v>
      </c>
      <c r="W1135" s="5" t="s">
        <v>14629</v>
      </c>
      <c r="X1135" s="5" t="s">
        <v>14629</v>
      </c>
      <c r="Y1135" s="4">
        <v>249</v>
      </c>
      <c r="Z1135" s="4">
        <v>226</v>
      </c>
      <c r="AA1135" s="4">
        <v>645</v>
      </c>
      <c r="AB1135" s="4">
        <v>2</v>
      </c>
      <c r="AC1135" s="4">
        <v>7</v>
      </c>
      <c r="AD1135" s="4">
        <v>3</v>
      </c>
      <c r="AE1135" s="4">
        <v>7</v>
      </c>
      <c r="AF1135" s="4">
        <v>1</v>
      </c>
      <c r="AG1135" s="4">
        <v>2</v>
      </c>
      <c r="AH1135" s="4">
        <v>0</v>
      </c>
      <c r="AI1135" s="4">
        <v>1</v>
      </c>
      <c r="AJ1135" s="4">
        <v>1</v>
      </c>
      <c r="AK1135" s="4">
        <v>2</v>
      </c>
      <c r="AL1135" s="4">
        <v>1</v>
      </c>
      <c r="AM1135" s="4">
        <v>3</v>
      </c>
      <c r="AN1135" s="4">
        <v>0</v>
      </c>
      <c r="AO1135" s="4">
        <v>0</v>
      </c>
      <c r="AP1135" s="3" t="s">
        <v>58</v>
      </c>
      <c r="AQ1135" s="3" t="s">
        <v>58</v>
      </c>
      <c r="AS1135" s="6" t="str">
        <f>HYPERLINK("https://creighton-primo.hosted.exlibrisgroup.com/primo-explore/search?tab=default_tab&amp;search_scope=EVERYTHING&amp;vid=01CRU&amp;lang=en_US&amp;offset=0&amp;query=any,contains,991002167899702656","Catalog Record")</f>
        <v>Catalog Record</v>
      </c>
      <c r="AT1135" s="6" t="str">
        <f>HYPERLINK("http://www.worldcat.org/oclc/27897616","WorldCat Record")</f>
        <v>WorldCat Record</v>
      </c>
      <c r="AU1135" s="3" t="s">
        <v>14630</v>
      </c>
      <c r="AV1135" s="3" t="s">
        <v>14631</v>
      </c>
      <c r="AW1135" s="3" t="s">
        <v>14632</v>
      </c>
      <c r="AX1135" s="3" t="s">
        <v>14632</v>
      </c>
      <c r="AY1135" s="3" t="s">
        <v>14633</v>
      </c>
      <c r="AZ1135" s="3" t="s">
        <v>74</v>
      </c>
      <c r="BB1135" s="3" t="s">
        <v>14634</v>
      </c>
      <c r="BC1135" s="3" t="s">
        <v>14635</v>
      </c>
      <c r="BD1135" s="3" t="s">
        <v>14636</v>
      </c>
    </row>
    <row r="1136" spans="1:56" ht="42.75" customHeight="1" x14ac:dyDescent="0.25">
      <c r="A1136" s="7" t="s">
        <v>58</v>
      </c>
      <c r="B1136" s="2" t="s">
        <v>14637</v>
      </c>
      <c r="C1136" s="2" t="s">
        <v>14638</v>
      </c>
      <c r="D1136" s="2" t="s">
        <v>14639</v>
      </c>
      <c r="F1136" s="3" t="s">
        <v>58</v>
      </c>
      <c r="G1136" s="3" t="s">
        <v>59</v>
      </c>
      <c r="H1136" s="3" t="s">
        <v>58</v>
      </c>
      <c r="I1136" s="3" t="s">
        <v>58</v>
      </c>
      <c r="J1136" s="3" t="s">
        <v>60</v>
      </c>
      <c r="K1136" s="2" t="s">
        <v>14640</v>
      </c>
      <c r="L1136" s="2" t="s">
        <v>14641</v>
      </c>
      <c r="M1136" s="3" t="s">
        <v>695</v>
      </c>
      <c r="N1136" s="2" t="s">
        <v>1736</v>
      </c>
      <c r="O1136" s="3" t="s">
        <v>64</v>
      </c>
      <c r="P1136" s="3" t="s">
        <v>99</v>
      </c>
      <c r="R1136" s="3" t="s">
        <v>67</v>
      </c>
      <c r="S1136" s="4">
        <v>52</v>
      </c>
      <c r="T1136" s="4">
        <v>52</v>
      </c>
      <c r="U1136" s="5" t="s">
        <v>14642</v>
      </c>
      <c r="V1136" s="5" t="s">
        <v>14642</v>
      </c>
      <c r="W1136" s="5" t="s">
        <v>14643</v>
      </c>
      <c r="X1136" s="5" t="s">
        <v>14643</v>
      </c>
      <c r="Y1136" s="4">
        <v>31</v>
      </c>
      <c r="Z1136" s="4">
        <v>28</v>
      </c>
      <c r="AA1136" s="4">
        <v>28</v>
      </c>
      <c r="AB1136" s="4">
        <v>1</v>
      </c>
      <c r="AC1136" s="4">
        <v>1</v>
      </c>
      <c r="AD1136" s="4">
        <v>0</v>
      </c>
      <c r="AE1136" s="4">
        <v>0</v>
      </c>
      <c r="AF1136" s="4">
        <v>0</v>
      </c>
      <c r="AG1136" s="4">
        <v>0</v>
      </c>
      <c r="AH1136" s="4">
        <v>0</v>
      </c>
      <c r="AI1136" s="4">
        <v>0</v>
      </c>
      <c r="AJ1136" s="4">
        <v>0</v>
      </c>
      <c r="AK1136" s="4">
        <v>0</v>
      </c>
      <c r="AL1136" s="4">
        <v>0</v>
      </c>
      <c r="AM1136" s="4">
        <v>0</v>
      </c>
      <c r="AN1136" s="4">
        <v>0</v>
      </c>
      <c r="AO1136" s="4">
        <v>0</v>
      </c>
      <c r="AP1136" s="3" t="s">
        <v>58</v>
      </c>
      <c r="AQ1136" s="3" t="s">
        <v>58</v>
      </c>
      <c r="AS1136" s="6" t="str">
        <f>HYPERLINK("https://creighton-primo.hosted.exlibrisgroup.com/primo-explore/search?tab=default_tab&amp;search_scope=EVERYTHING&amp;vid=01CRU&amp;lang=en_US&amp;offset=0&amp;query=any,contains,991002158379702656","Catalog Record")</f>
        <v>Catalog Record</v>
      </c>
      <c r="AT1136" s="6" t="str">
        <f>HYPERLINK("http://www.worldcat.org/oclc/27811459","WorldCat Record")</f>
        <v>WorldCat Record</v>
      </c>
      <c r="AU1136" s="3" t="s">
        <v>14644</v>
      </c>
      <c r="AV1136" s="3" t="s">
        <v>14645</v>
      </c>
      <c r="AW1136" s="3" t="s">
        <v>14646</v>
      </c>
      <c r="AX1136" s="3" t="s">
        <v>14646</v>
      </c>
      <c r="AY1136" s="3" t="s">
        <v>14647</v>
      </c>
      <c r="AZ1136" s="3" t="s">
        <v>74</v>
      </c>
      <c r="BB1136" s="3" t="s">
        <v>14648</v>
      </c>
      <c r="BC1136" s="3" t="s">
        <v>14649</v>
      </c>
      <c r="BD1136" s="3" t="s">
        <v>14650</v>
      </c>
    </row>
    <row r="1137" spans="1:56" ht="42.75" customHeight="1" x14ac:dyDescent="0.25">
      <c r="A1137" s="7" t="s">
        <v>58</v>
      </c>
      <c r="B1137" s="2" t="s">
        <v>14651</v>
      </c>
      <c r="C1137" s="2" t="s">
        <v>14652</v>
      </c>
      <c r="D1137" s="2" t="s">
        <v>14653</v>
      </c>
      <c r="F1137" s="3" t="s">
        <v>58</v>
      </c>
      <c r="G1137" s="3" t="s">
        <v>59</v>
      </c>
      <c r="H1137" s="3" t="s">
        <v>58</v>
      </c>
      <c r="I1137" s="3" t="s">
        <v>58</v>
      </c>
      <c r="J1137" s="3" t="s">
        <v>60</v>
      </c>
      <c r="L1137" s="2" t="s">
        <v>7154</v>
      </c>
      <c r="M1137" s="3" t="s">
        <v>805</v>
      </c>
      <c r="N1137" s="2" t="s">
        <v>1736</v>
      </c>
      <c r="O1137" s="3" t="s">
        <v>64</v>
      </c>
      <c r="P1137" s="3" t="s">
        <v>145</v>
      </c>
      <c r="R1137" s="3" t="s">
        <v>67</v>
      </c>
      <c r="S1137" s="4">
        <v>54</v>
      </c>
      <c r="T1137" s="4">
        <v>54</v>
      </c>
      <c r="U1137" s="5" t="s">
        <v>7089</v>
      </c>
      <c r="V1137" s="5" t="s">
        <v>7089</v>
      </c>
      <c r="W1137" s="5" t="s">
        <v>13346</v>
      </c>
      <c r="X1137" s="5" t="s">
        <v>13346</v>
      </c>
      <c r="Y1137" s="4">
        <v>579</v>
      </c>
      <c r="Z1137" s="4">
        <v>489</v>
      </c>
      <c r="AA1137" s="4">
        <v>551</v>
      </c>
      <c r="AB1137" s="4">
        <v>4</v>
      </c>
      <c r="AC1137" s="4">
        <v>5</v>
      </c>
      <c r="AD1137" s="4">
        <v>23</v>
      </c>
      <c r="AE1137" s="4">
        <v>28</v>
      </c>
      <c r="AF1137" s="4">
        <v>11</v>
      </c>
      <c r="AG1137" s="4">
        <v>13</v>
      </c>
      <c r="AH1137" s="4">
        <v>5</v>
      </c>
      <c r="AI1137" s="4">
        <v>5</v>
      </c>
      <c r="AJ1137" s="4">
        <v>10</v>
      </c>
      <c r="AK1137" s="4">
        <v>12</v>
      </c>
      <c r="AL1137" s="4">
        <v>3</v>
      </c>
      <c r="AM1137" s="4">
        <v>4</v>
      </c>
      <c r="AN1137" s="4">
        <v>0</v>
      </c>
      <c r="AO1137" s="4">
        <v>0</v>
      </c>
      <c r="AP1137" s="3" t="s">
        <v>58</v>
      </c>
      <c r="AQ1137" s="3" t="s">
        <v>58</v>
      </c>
      <c r="AS1137" s="6" t="str">
        <f>HYPERLINK("https://creighton-primo.hosted.exlibrisgroup.com/primo-explore/search?tab=default_tab&amp;search_scope=EVERYTHING&amp;vid=01CRU&amp;lang=en_US&amp;offset=0&amp;query=any,contains,991002544569702656","Catalog Record")</f>
        <v>Catalog Record</v>
      </c>
      <c r="AT1137" s="6" t="str">
        <f>HYPERLINK("http://www.worldcat.org/oclc/33077413","WorldCat Record")</f>
        <v>WorldCat Record</v>
      </c>
      <c r="AU1137" s="3" t="s">
        <v>14654</v>
      </c>
      <c r="AV1137" s="3" t="s">
        <v>14655</v>
      </c>
      <c r="AW1137" s="3" t="s">
        <v>14656</v>
      </c>
      <c r="AX1137" s="3" t="s">
        <v>14656</v>
      </c>
      <c r="AY1137" s="3" t="s">
        <v>14657</v>
      </c>
      <c r="AZ1137" s="3" t="s">
        <v>74</v>
      </c>
      <c r="BB1137" s="3" t="s">
        <v>14658</v>
      </c>
      <c r="BC1137" s="3" t="s">
        <v>14659</v>
      </c>
      <c r="BD1137" s="3" t="s">
        <v>14660</v>
      </c>
    </row>
    <row r="1138" spans="1:56" ht="42.75" customHeight="1" x14ac:dyDescent="0.25">
      <c r="A1138" s="7" t="s">
        <v>58</v>
      </c>
      <c r="B1138" s="2" t="s">
        <v>14661</v>
      </c>
      <c r="C1138" s="2" t="s">
        <v>14662</v>
      </c>
      <c r="D1138" s="2" t="s">
        <v>14663</v>
      </c>
      <c r="F1138" s="3" t="s">
        <v>58</v>
      </c>
      <c r="G1138" s="3" t="s">
        <v>59</v>
      </c>
      <c r="H1138" s="3" t="s">
        <v>58</v>
      </c>
      <c r="I1138" s="3" t="s">
        <v>58</v>
      </c>
      <c r="J1138" s="3" t="s">
        <v>60</v>
      </c>
      <c r="L1138" s="2" t="s">
        <v>14664</v>
      </c>
      <c r="M1138" s="3" t="s">
        <v>586</v>
      </c>
      <c r="O1138" s="3" t="s">
        <v>64</v>
      </c>
      <c r="P1138" s="3" t="s">
        <v>1763</v>
      </c>
      <c r="R1138" s="3" t="s">
        <v>67</v>
      </c>
      <c r="S1138" s="4">
        <v>65</v>
      </c>
      <c r="T1138" s="4">
        <v>65</v>
      </c>
      <c r="U1138" s="5" t="s">
        <v>387</v>
      </c>
      <c r="V1138" s="5" t="s">
        <v>387</v>
      </c>
      <c r="W1138" s="5" t="s">
        <v>13210</v>
      </c>
      <c r="X1138" s="5" t="s">
        <v>13210</v>
      </c>
      <c r="Y1138" s="4">
        <v>101</v>
      </c>
      <c r="Z1138" s="4">
        <v>93</v>
      </c>
      <c r="AA1138" s="4">
        <v>93</v>
      </c>
      <c r="AB1138" s="4">
        <v>3</v>
      </c>
      <c r="AC1138" s="4">
        <v>3</v>
      </c>
      <c r="AD1138" s="4">
        <v>5</v>
      </c>
      <c r="AE1138" s="4">
        <v>5</v>
      </c>
      <c r="AF1138" s="4">
        <v>3</v>
      </c>
      <c r="AG1138" s="4">
        <v>3</v>
      </c>
      <c r="AH1138" s="4">
        <v>0</v>
      </c>
      <c r="AI1138" s="4">
        <v>0</v>
      </c>
      <c r="AJ1138" s="4">
        <v>2</v>
      </c>
      <c r="AK1138" s="4">
        <v>2</v>
      </c>
      <c r="AL1138" s="4">
        <v>2</v>
      </c>
      <c r="AM1138" s="4">
        <v>2</v>
      </c>
      <c r="AN1138" s="4">
        <v>0</v>
      </c>
      <c r="AO1138" s="4">
        <v>0</v>
      </c>
      <c r="AP1138" s="3" t="s">
        <v>58</v>
      </c>
      <c r="AQ1138" s="3" t="s">
        <v>58</v>
      </c>
      <c r="AS1138" s="6" t="str">
        <f>HYPERLINK("https://creighton-primo.hosted.exlibrisgroup.com/primo-explore/search?tab=default_tab&amp;search_scope=EVERYTHING&amp;vid=01CRU&amp;lang=en_US&amp;offset=0&amp;query=any,contains,991001956169702656","Catalog Record")</f>
        <v>Catalog Record</v>
      </c>
      <c r="AT1138" s="6" t="str">
        <f>HYPERLINK("http://www.worldcat.org/oclc/24760692","WorldCat Record")</f>
        <v>WorldCat Record</v>
      </c>
      <c r="AU1138" s="3" t="s">
        <v>14665</v>
      </c>
      <c r="AV1138" s="3" t="s">
        <v>14666</v>
      </c>
      <c r="AW1138" s="3" t="s">
        <v>14667</v>
      </c>
      <c r="AX1138" s="3" t="s">
        <v>14667</v>
      </c>
      <c r="AY1138" s="3" t="s">
        <v>14668</v>
      </c>
      <c r="AZ1138" s="3" t="s">
        <v>74</v>
      </c>
      <c r="BB1138" s="3" t="s">
        <v>14669</v>
      </c>
      <c r="BC1138" s="3" t="s">
        <v>14670</v>
      </c>
      <c r="BD1138" s="3" t="s">
        <v>14671</v>
      </c>
    </row>
    <row r="1139" spans="1:56" ht="42.75" customHeight="1" x14ac:dyDescent="0.25">
      <c r="A1139" s="7" t="s">
        <v>58</v>
      </c>
      <c r="B1139" s="2" t="s">
        <v>14672</v>
      </c>
      <c r="C1139" s="2" t="s">
        <v>14673</v>
      </c>
      <c r="D1139" s="2" t="s">
        <v>14674</v>
      </c>
      <c r="F1139" s="3" t="s">
        <v>58</v>
      </c>
      <c r="G1139" s="3" t="s">
        <v>59</v>
      </c>
      <c r="H1139" s="3" t="s">
        <v>58</v>
      </c>
      <c r="I1139" s="3" t="s">
        <v>58</v>
      </c>
      <c r="J1139" s="3" t="s">
        <v>60</v>
      </c>
      <c r="K1139" s="2" t="s">
        <v>14675</v>
      </c>
      <c r="L1139" s="2" t="s">
        <v>14676</v>
      </c>
      <c r="M1139" s="3" t="s">
        <v>805</v>
      </c>
      <c r="N1139" s="2" t="s">
        <v>1613</v>
      </c>
      <c r="O1139" s="3" t="s">
        <v>64</v>
      </c>
      <c r="P1139" s="3" t="s">
        <v>99</v>
      </c>
      <c r="R1139" s="3" t="s">
        <v>67</v>
      </c>
      <c r="S1139" s="4">
        <v>15</v>
      </c>
      <c r="T1139" s="4">
        <v>15</v>
      </c>
      <c r="U1139" s="5" t="s">
        <v>14628</v>
      </c>
      <c r="V1139" s="5" t="s">
        <v>14628</v>
      </c>
      <c r="W1139" s="5" t="s">
        <v>14677</v>
      </c>
      <c r="X1139" s="5" t="s">
        <v>14677</v>
      </c>
      <c r="Y1139" s="4">
        <v>178</v>
      </c>
      <c r="Z1139" s="4">
        <v>163</v>
      </c>
      <c r="AA1139" s="4">
        <v>342</v>
      </c>
      <c r="AB1139" s="4">
        <v>3</v>
      </c>
      <c r="AC1139" s="4">
        <v>5</v>
      </c>
      <c r="AD1139" s="4">
        <v>2</v>
      </c>
      <c r="AE1139" s="4">
        <v>5</v>
      </c>
      <c r="AF1139" s="4">
        <v>0</v>
      </c>
      <c r="AG1139" s="4">
        <v>3</v>
      </c>
      <c r="AH1139" s="4">
        <v>1</v>
      </c>
      <c r="AI1139" s="4">
        <v>2</v>
      </c>
      <c r="AJ1139" s="4">
        <v>0</v>
      </c>
      <c r="AK1139" s="4">
        <v>0</v>
      </c>
      <c r="AL1139" s="4">
        <v>1</v>
      </c>
      <c r="AM1139" s="4">
        <v>1</v>
      </c>
      <c r="AN1139" s="4">
        <v>0</v>
      </c>
      <c r="AO1139" s="4">
        <v>0</v>
      </c>
      <c r="AP1139" s="3" t="s">
        <v>58</v>
      </c>
      <c r="AQ1139" s="3" t="s">
        <v>58</v>
      </c>
      <c r="AS1139" s="6" t="str">
        <f>HYPERLINK("https://creighton-primo.hosted.exlibrisgroup.com/primo-explore/search?tab=default_tab&amp;search_scope=EVERYTHING&amp;vid=01CRU&amp;lang=en_US&amp;offset=0&amp;query=any,contains,991003931289702656","Catalog Record")</f>
        <v>Catalog Record</v>
      </c>
      <c r="AT1139" s="6" t="str">
        <f>HYPERLINK("http://www.worldcat.org/oclc/35986626","WorldCat Record")</f>
        <v>WorldCat Record</v>
      </c>
      <c r="AU1139" s="3" t="s">
        <v>14678</v>
      </c>
      <c r="AV1139" s="3" t="s">
        <v>14679</v>
      </c>
      <c r="AW1139" s="3" t="s">
        <v>14680</v>
      </c>
      <c r="AX1139" s="3" t="s">
        <v>14680</v>
      </c>
      <c r="AY1139" s="3" t="s">
        <v>14681</v>
      </c>
      <c r="AZ1139" s="3" t="s">
        <v>74</v>
      </c>
      <c r="BB1139" s="3" t="s">
        <v>14682</v>
      </c>
      <c r="BC1139" s="3" t="s">
        <v>14683</v>
      </c>
      <c r="BD1139" s="3" t="s">
        <v>14684</v>
      </c>
    </row>
    <row r="1140" spans="1:56" ht="42.75" customHeight="1" x14ac:dyDescent="0.25">
      <c r="A1140" s="7" t="s">
        <v>58</v>
      </c>
      <c r="B1140" s="2" t="s">
        <v>14685</v>
      </c>
      <c r="C1140" s="2" t="s">
        <v>14686</v>
      </c>
      <c r="D1140" s="2" t="s">
        <v>14687</v>
      </c>
      <c r="F1140" s="3" t="s">
        <v>58</v>
      </c>
      <c r="G1140" s="3" t="s">
        <v>59</v>
      </c>
      <c r="H1140" s="3" t="s">
        <v>58</v>
      </c>
      <c r="I1140" s="3" t="s">
        <v>58</v>
      </c>
      <c r="J1140" s="3" t="s">
        <v>60</v>
      </c>
      <c r="L1140" s="2" t="s">
        <v>10163</v>
      </c>
      <c r="M1140" s="3" t="s">
        <v>82</v>
      </c>
      <c r="O1140" s="3" t="s">
        <v>64</v>
      </c>
      <c r="P1140" s="3" t="s">
        <v>115</v>
      </c>
      <c r="Q1140" s="2" t="s">
        <v>14688</v>
      </c>
      <c r="R1140" s="3" t="s">
        <v>67</v>
      </c>
      <c r="S1140" s="4">
        <v>43</v>
      </c>
      <c r="T1140" s="4">
        <v>43</v>
      </c>
      <c r="U1140" s="5" t="s">
        <v>8196</v>
      </c>
      <c r="V1140" s="5" t="s">
        <v>8196</v>
      </c>
      <c r="W1140" s="5" t="s">
        <v>10100</v>
      </c>
      <c r="X1140" s="5" t="s">
        <v>10100</v>
      </c>
      <c r="Y1140" s="4">
        <v>230</v>
      </c>
      <c r="Z1140" s="4">
        <v>186</v>
      </c>
      <c r="AA1140" s="4">
        <v>193</v>
      </c>
      <c r="AB1140" s="4">
        <v>2</v>
      </c>
      <c r="AC1140" s="4">
        <v>2</v>
      </c>
      <c r="AD1140" s="4">
        <v>8</v>
      </c>
      <c r="AE1140" s="4">
        <v>8</v>
      </c>
      <c r="AF1140" s="4">
        <v>2</v>
      </c>
      <c r="AG1140" s="4">
        <v>2</v>
      </c>
      <c r="AH1140" s="4">
        <v>3</v>
      </c>
      <c r="AI1140" s="4">
        <v>3</v>
      </c>
      <c r="AJ1140" s="4">
        <v>5</v>
      </c>
      <c r="AK1140" s="4">
        <v>5</v>
      </c>
      <c r="AL1140" s="4">
        <v>1</v>
      </c>
      <c r="AM1140" s="4">
        <v>1</v>
      </c>
      <c r="AN1140" s="4">
        <v>0</v>
      </c>
      <c r="AO1140" s="4">
        <v>0</v>
      </c>
      <c r="AP1140" s="3" t="s">
        <v>58</v>
      </c>
      <c r="AQ1140" s="3" t="s">
        <v>86</v>
      </c>
      <c r="AR1140" s="6" t="str">
        <f>HYPERLINK("http://catalog.hathitrust.org/Record/000834307","HathiTrust Record")</f>
        <v>HathiTrust Record</v>
      </c>
      <c r="AS1140" s="6" t="str">
        <f>HYPERLINK("https://creighton-primo.hosted.exlibrisgroup.com/primo-explore/search?tab=default_tab&amp;search_scope=EVERYTHING&amp;vid=01CRU&amp;lang=en_US&amp;offset=0&amp;query=any,contains,991000984289702656","Catalog Record")</f>
        <v>Catalog Record</v>
      </c>
      <c r="AT1140" s="6" t="str">
        <f>HYPERLINK("http://www.worldcat.org/oclc/15055382","WorldCat Record")</f>
        <v>WorldCat Record</v>
      </c>
      <c r="AU1140" s="3" t="s">
        <v>14689</v>
      </c>
      <c r="AV1140" s="3" t="s">
        <v>14690</v>
      </c>
      <c r="AW1140" s="3" t="s">
        <v>14691</v>
      </c>
      <c r="AX1140" s="3" t="s">
        <v>14691</v>
      </c>
      <c r="AY1140" s="3" t="s">
        <v>14692</v>
      </c>
      <c r="AZ1140" s="3" t="s">
        <v>74</v>
      </c>
      <c r="BB1140" s="3" t="s">
        <v>14693</v>
      </c>
      <c r="BC1140" s="3" t="s">
        <v>14694</v>
      </c>
      <c r="BD1140" s="3" t="s">
        <v>14695</v>
      </c>
    </row>
    <row r="1141" spans="1:56" ht="42.75" customHeight="1" x14ac:dyDescent="0.25">
      <c r="A1141" s="7" t="s">
        <v>58</v>
      </c>
      <c r="B1141" s="2" t="s">
        <v>14696</v>
      </c>
      <c r="C1141" s="2" t="s">
        <v>14697</v>
      </c>
      <c r="D1141" s="2" t="s">
        <v>14698</v>
      </c>
      <c r="F1141" s="3" t="s">
        <v>58</v>
      </c>
      <c r="G1141" s="3" t="s">
        <v>59</v>
      </c>
      <c r="H1141" s="3" t="s">
        <v>58</v>
      </c>
      <c r="I1141" s="3" t="s">
        <v>58</v>
      </c>
      <c r="J1141" s="3" t="s">
        <v>60</v>
      </c>
      <c r="K1141" s="2" t="s">
        <v>14699</v>
      </c>
      <c r="L1141" s="2" t="s">
        <v>14700</v>
      </c>
      <c r="M1141" s="3" t="s">
        <v>534</v>
      </c>
      <c r="O1141" s="3" t="s">
        <v>64</v>
      </c>
      <c r="P1141" s="3" t="s">
        <v>208</v>
      </c>
      <c r="R1141" s="3" t="s">
        <v>67</v>
      </c>
      <c r="S1141" s="4">
        <v>76</v>
      </c>
      <c r="T1141" s="4">
        <v>76</v>
      </c>
      <c r="U1141" s="5" t="s">
        <v>14701</v>
      </c>
      <c r="V1141" s="5" t="s">
        <v>14701</v>
      </c>
      <c r="W1141" s="5" t="s">
        <v>14702</v>
      </c>
      <c r="X1141" s="5" t="s">
        <v>14702</v>
      </c>
      <c r="Y1141" s="4">
        <v>226</v>
      </c>
      <c r="Z1141" s="4">
        <v>181</v>
      </c>
      <c r="AA1141" s="4">
        <v>191</v>
      </c>
      <c r="AB1141" s="4">
        <v>3</v>
      </c>
      <c r="AC1141" s="4">
        <v>3</v>
      </c>
      <c r="AD1141" s="4">
        <v>9</v>
      </c>
      <c r="AE1141" s="4">
        <v>9</v>
      </c>
      <c r="AF1141" s="4">
        <v>3</v>
      </c>
      <c r="AG1141" s="4">
        <v>3</v>
      </c>
      <c r="AH1141" s="4">
        <v>1</v>
      </c>
      <c r="AI1141" s="4">
        <v>1</v>
      </c>
      <c r="AJ1141" s="4">
        <v>4</v>
      </c>
      <c r="AK1141" s="4">
        <v>4</v>
      </c>
      <c r="AL1141" s="4">
        <v>2</v>
      </c>
      <c r="AM1141" s="4">
        <v>2</v>
      </c>
      <c r="AN1141" s="4">
        <v>0</v>
      </c>
      <c r="AO1141" s="4">
        <v>0</v>
      </c>
      <c r="AP1141" s="3" t="s">
        <v>58</v>
      </c>
      <c r="AQ1141" s="3" t="s">
        <v>86</v>
      </c>
      <c r="AR1141" s="6" t="str">
        <f>HYPERLINK("http://catalog.hathitrust.org/Record/001950400","HathiTrust Record")</f>
        <v>HathiTrust Record</v>
      </c>
      <c r="AS1141" s="6" t="str">
        <f>HYPERLINK("https://creighton-primo.hosted.exlibrisgroup.com/primo-explore/search?tab=default_tab&amp;search_scope=EVERYTHING&amp;vid=01CRU&amp;lang=en_US&amp;offset=0&amp;query=any,contains,991001543119702656","Catalog Record")</f>
        <v>Catalog Record</v>
      </c>
      <c r="AT1141" s="6" t="str">
        <f>HYPERLINK("http://www.worldcat.org/oclc/20133529","WorldCat Record")</f>
        <v>WorldCat Record</v>
      </c>
      <c r="AU1141" s="3" t="s">
        <v>14703</v>
      </c>
      <c r="AV1141" s="3" t="s">
        <v>14704</v>
      </c>
      <c r="AW1141" s="3" t="s">
        <v>14705</v>
      </c>
      <c r="AX1141" s="3" t="s">
        <v>14705</v>
      </c>
      <c r="AY1141" s="3" t="s">
        <v>14706</v>
      </c>
      <c r="AZ1141" s="3" t="s">
        <v>74</v>
      </c>
      <c r="BB1141" s="3" t="s">
        <v>14707</v>
      </c>
      <c r="BC1141" s="3" t="s">
        <v>14708</v>
      </c>
      <c r="BD1141" s="3" t="s">
        <v>14709</v>
      </c>
    </row>
    <row r="1142" spans="1:56" ht="42.75" customHeight="1" x14ac:dyDescent="0.25">
      <c r="A1142" s="7" t="s">
        <v>58</v>
      </c>
      <c r="B1142" s="2" t="s">
        <v>14710</v>
      </c>
      <c r="C1142" s="2" t="s">
        <v>14711</v>
      </c>
      <c r="D1142" s="2" t="s">
        <v>14712</v>
      </c>
      <c r="F1142" s="3" t="s">
        <v>58</v>
      </c>
      <c r="G1142" s="3" t="s">
        <v>59</v>
      </c>
      <c r="H1142" s="3" t="s">
        <v>58</v>
      </c>
      <c r="I1142" s="3" t="s">
        <v>58</v>
      </c>
      <c r="J1142" s="3" t="s">
        <v>60</v>
      </c>
      <c r="K1142" s="2" t="s">
        <v>14713</v>
      </c>
      <c r="L1142" s="2" t="s">
        <v>14714</v>
      </c>
      <c r="M1142" s="3" t="s">
        <v>144</v>
      </c>
      <c r="N1142" s="2" t="s">
        <v>14715</v>
      </c>
      <c r="O1142" s="3" t="s">
        <v>64</v>
      </c>
      <c r="P1142" s="3" t="s">
        <v>115</v>
      </c>
      <c r="R1142" s="3" t="s">
        <v>67</v>
      </c>
      <c r="S1142" s="4">
        <v>8</v>
      </c>
      <c r="T1142" s="4">
        <v>8</v>
      </c>
      <c r="U1142" s="5" t="s">
        <v>14701</v>
      </c>
      <c r="V1142" s="5" t="s">
        <v>14701</v>
      </c>
      <c r="W1142" s="5" t="s">
        <v>7626</v>
      </c>
      <c r="X1142" s="5" t="s">
        <v>7626</v>
      </c>
      <c r="Y1142" s="4">
        <v>307</v>
      </c>
      <c r="Z1142" s="4">
        <v>274</v>
      </c>
      <c r="AA1142" s="4">
        <v>966</v>
      </c>
      <c r="AB1142" s="4">
        <v>2</v>
      </c>
      <c r="AC1142" s="4">
        <v>8</v>
      </c>
      <c r="AD1142" s="4">
        <v>9</v>
      </c>
      <c r="AE1142" s="4">
        <v>24</v>
      </c>
      <c r="AF1142" s="4">
        <v>5</v>
      </c>
      <c r="AG1142" s="4">
        <v>10</v>
      </c>
      <c r="AH1142" s="4">
        <v>2</v>
      </c>
      <c r="AI1142" s="4">
        <v>4</v>
      </c>
      <c r="AJ1142" s="4">
        <v>5</v>
      </c>
      <c r="AK1142" s="4">
        <v>13</v>
      </c>
      <c r="AL1142" s="4">
        <v>0</v>
      </c>
      <c r="AM1142" s="4">
        <v>3</v>
      </c>
      <c r="AN1142" s="4">
        <v>0</v>
      </c>
      <c r="AO1142" s="4">
        <v>0</v>
      </c>
      <c r="AP1142" s="3" t="s">
        <v>58</v>
      </c>
      <c r="AQ1142" s="3" t="s">
        <v>58</v>
      </c>
      <c r="AS1142" s="6" t="str">
        <f>HYPERLINK("https://creighton-primo.hosted.exlibrisgroup.com/primo-explore/search?tab=default_tab&amp;search_scope=EVERYTHING&amp;vid=01CRU&amp;lang=en_US&amp;offset=0&amp;query=any,contains,991003930789702656","Catalog Record")</f>
        <v>Catalog Record</v>
      </c>
      <c r="AT1142" s="6" t="str">
        <f>HYPERLINK("http://www.worldcat.org/oclc/35331272","WorldCat Record")</f>
        <v>WorldCat Record</v>
      </c>
      <c r="AU1142" s="3" t="s">
        <v>14716</v>
      </c>
      <c r="AV1142" s="3" t="s">
        <v>14717</v>
      </c>
      <c r="AW1142" s="3" t="s">
        <v>14718</v>
      </c>
      <c r="AX1142" s="3" t="s">
        <v>14718</v>
      </c>
      <c r="AY1142" s="3" t="s">
        <v>14719</v>
      </c>
      <c r="AZ1142" s="3" t="s">
        <v>74</v>
      </c>
      <c r="BB1142" s="3" t="s">
        <v>14720</v>
      </c>
      <c r="BC1142" s="3" t="s">
        <v>14721</v>
      </c>
      <c r="BD1142" s="3" t="s">
        <v>14722</v>
      </c>
    </row>
    <row r="1143" spans="1:56" ht="42.75" customHeight="1" x14ac:dyDescent="0.25">
      <c r="A1143" s="7" t="s">
        <v>58</v>
      </c>
      <c r="B1143" s="2" t="s">
        <v>14723</v>
      </c>
      <c r="C1143" s="2" t="s">
        <v>14724</v>
      </c>
      <c r="D1143" s="2" t="s">
        <v>14725</v>
      </c>
      <c r="F1143" s="3" t="s">
        <v>58</v>
      </c>
      <c r="G1143" s="3" t="s">
        <v>59</v>
      </c>
      <c r="H1143" s="3" t="s">
        <v>58</v>
      </c>
      <c r="I1143" s="3" t="s">
        <v>58</v>
      </c>
      <c r="J1143" s="3" t="s">
        <v>60</v>
      </c>
      <c r="L1143" s="2" t="s">
        <v>14726</v>
      </c>
      <c r="M1143" s="3" t="s">
        <v>642</v>
      </c>
      <c r="N1143" s="2" t="s">
        <v>1736</v>
      </c>
      <c r="O1143" s="3" t="s">
        <v>64</v>
      </c>
      <c r="P1143" s="3" t="s">
        <v>145</v>
      </c>
      <c r="Q1143" s="2" t="s">
        <v>14727</v>
      </c>
      <c r="R1143" s="3" t="s">
        <v>67</v>
      </c>
      <c r="S1143" s="4">
        <v>58</v>
      </c>
      <c r="T1143" s="4">
        <v>58</v>
      </c>
      <c r="U1143" s="5" t="s">
        <v>14728</v>
      </c>
      <c r="V1143" s="5" t="s">
        <v>14728</v>
      </c>
      <c r="W1143" s="5" t="s">
        <v>4847</v>
      </c>
      <c r="X1143" s="5" t="s">
        <v>4847</v>
      </c>
      <c r="Y1143" s="4">
        <v>168</v>
      </c>
      <c r="Z1143" s="4">
        <v>143</v>
      </c>
      <c r="AA1143" s="4">
        <v>149</v>
      </c>
      <c r="AB1143" s="4">
        <v>2</v>
      </c>
      <c r="AC1143" s="4">
        <v>2</v>
      </c>
      <c r="AD1143" s="4">
        <v>9</v>
      </c>
      <c r="AE1143" s="4">
        <v>9</v>
      </c>
      <c r="AF1143" s="4">
        <v>2</v>
      </c>
      <c r="AG1143" s="4">
        <v>2</v>
      </c>
      <c r="AH1143" s="4">
        <v>1</v>
      </c>
      <c r="AI1143" s="4">
        <v>1</v>
      </c>
      <c r="AJ1143" s="4">
        <v>8</v>
      </c>
      <c r="AK1143" s="4">
        <v>8</v>
      </c>
      <c r="AL1143" s="4">
        <v>1</v>
      </c>
      <c r="AM1143" s="4">
        <v>1</v>
      </c>
      <c r="AN1143" s="4">
        <v>0</v>
      </c>
      <c r="AO1143" s="4">
        <v>0</v>
      </c>
      <c r="AP1143" s="3" t="s">
        <v>58</v>
      </c>
      <c r="AQ1143" s="3" t="s">
        <v>86</v>
      </c>
      <c r="AR1143" s="6" t="str">
        <f>HYPERLINK("http://catalog.hathitrust.org/Record/002525281","HathiTrust Record")</f>
        <v>HathiTrust Record</v>
      </c>
      <c r="AS1143" s="6" t="str">
        <f>HYPERLINK("https://creighton-primo.hosted.exlibrisgroup.com/primo-explore/search?tab=default_tab&amp;search_scope=EVERYTHING&amp;vid=01CRU&amp;lang=en_US&amp;offset=0&amp;query=any,contains,991001856759702656","Catalog Record")</f>
        <v>Catalog Record</v>
      </c>
      <c r="AT1143" s="6" t="str">
        <f>HYPERLINK("http://www.worldcat.org/oclc/23287547","WorldCat Record")</f>
        <v>WorldCat Record</v>
      </c>
      <c r="AU1143" s="3" t="s">
        <v>14729</v>
      </c>
      <c r="AV1143" s="3" t="s">
        <v>14730</v>
      </c>
      <c r="AW1143" s="3" t="s">
        <v>14731</v>
      </c>
      <c r="AX1143" s="3" t="s">
        <v>14731</v>
      </c>
      <c r="AY1143" s="3" t="s">
        <v>14732</v>
      </c>
      <c r="AZ1143" s="3" t="s">
        <v>74</v>
      </c>
      <c r="BB1143" s="3" t="s">
        <v>14733</v>
      </c>
      <c r="BC1143" s="3" t="s">
        <v>14734</v>
      </c>
      <c r="BD1143" s="3" t="s">
        <v>14735</v>
      </c>
    </row>
    <row r="1144" spans="1:56" ht="42.75" customHeight="1" x14ac:dyDescent="0.25">
      <c r="A1144" s="7" t="s">
        <v>58</v>
      </c>
      <c r="B1144" s="2" t="s">
        <v>14736</v>
      </c>
      <c r="C1144" s="2" t="s">
        <v>14737</v>
      </c>
      <c r="D1144" s="2" t="s">
        <v>14738</v>
      </c>
      <c r="F1144" s="3" t="s">
        <v>58</v>
      </c>
      <c r="G1144" s="3" t="s">
        <v>59</v>
      </c>
      <c r="H1144" s="3" t="s">
        <v>58</v>
      </c>
      <c r="I1144" s="3" t="s">
        <v>58</v>
      </c>
      <c r="J1144" s="3" t="s">
        <v>60</v>
      </c>
      <c r="K1144" s="2" t="s">
        <v>14739</v>
      </c>
      <c r="L1144" s="2" t="s">
        <v>14740</v>
      </c>
      <c r="M1144" s="3" t="s">
        <v>695</v>
      </c>
      <c r="O1144" s="3" t="s">
        <v>64</v>
      </c>
      <c r="P1144" s="3" t="s">
        <v>83</v>
      </c>
      <c r="R1144" s="3" t="s">
        <v>67</v>
      </c>
      <c r="S1144" s="4">
        <v>76</v>
      </c>
      <c r="T1144" s="4">
        <v>76</v>
      </c>
      <c r="U1144" s="5" t="s">
        <v>14741</v>
      </c>
      <c r="V1144" s="5" t="s">
        <v>14741</v>
      </c>
      <c r="W1144" s="5" t="s">
        <v>14742</v>
      </c>
      <c r="X1144" s="5" t="s">
        <v>14742</v>
      </c>
      <c r="Y1144" s="4">
        <v>722</v>
      </c>
      <c r="Z1144" s="4">
        <v>592</v>
      </c>
      <c r="AA1144" s="4">
        <v>599</v>
      </c>
      <c r="AB1144" s="4">
        <v>8</v>
      </c>
      <c r="AC1144" s="4">
        <v>8</v>
      </c>
      <c r="AD1144" s="4">
        <v>27</v>
      </c>
      <c r="AE1144" s="4">
        <v>27</v>
      </c>
      <c r="AF1144" s="4">
        <v>16</v>
      </c>
      <c r="AG1144" s="4">
        <v>16</v>
      </c>
      <c r="AH1144" s="4">
        <v>3</v>
      </c>
      <c r="AI1144" s="4">
        <v>3</v>
      </c>
      <c r="AJ1144" s="4">
        <v>8</v>
      </c>
      <c r="AK1144" s="4">
        <v>8</v>
      </c>
      <c r="AL1144" s="4">
        <v>6</v>
      </c>
      <c r="AM1144" s="4">
        <v>6</v>
      </c>
      <c r="AN1144" s="4">
        <v>0</v>
      </c>
      <c r="AO1144" s="4">
        <v>0</v>
      </c>
      <c r="AP1144" s="3" t="s">
        <v>58</v>
      </c>
      <c r="AQ1144" s="3" t="s">
        <v>86</v>
      </c>
      <c r="AR1144" s="6" t="str">
        <f>HYPERLINK("http://catalog.hathitrust.org/Record/002610080","HathiTrust Record")</f>
        <v>HathiTrust Record</v>
      </c>
      <c r="AS1144" s="6" t="str">
        <f>HYPERLINK("https://creighton-primo.hosted.exlibrisgroup.com/primo-explore/search?tab=default_tab&amp;search_scope=EVERYTHING&amp;vid=01CRU&amp;lang=en_US&amp;offset=0&amp;query=any,contains,991002032659702656","Catalog Record")</f>
        <v>Catalog Record</v>
      </c>
      <c r="AT1144" s="6" t="str">
        <f>HYPERLINK("http://www.worldcat.org/oclc/25873994","WorldCat Record")</f>
        <v>WorldCat Record</v>
      </c>
      <c r="AU1144" s="3" t="s">
        <v>14743</v>
      </c>
      <c r="AV1144" s="3" t="s">
        <v>14744</v>
      </c>
      <c r="AW1144" s="3" t="s">
        <v>14745</v>
      </c>
      <c r="AX1144" s="3" t="s">
        <v>14745</v>
      </c>
      <c r="AY1144" s="3" t="s">
        <v>14746</v>
      </c>
      <c r="AZ1144" s="3" t="s">
        <v>74</v>
      </c>
      <c r="BB1144" s="3" t="s">
        <v>14747</v>
      </c>
      <c r="BC1144" s="3" t="s">
        <v>14748</v>
      </c>
      <c r="BD1144" s="3" t="s">
        <v>14749</v>
      </c>
    </row>
    <row r="1145" spans="1:56" ht="42.75" customHeight="1" x14ac:dyDescent="0.25">
      <c r="A1145" s="7" t="s">
        <v>58</v>
      </c>
      <c r="B1145" s="2" t="s">
        <v>14750</v>
      </c>
      <c r="C1145" s="2" t="s">
        <v>14751</v>
      </c>
      <c r="D1145" s="2" t="s">
        <v>14752</v>
      </c>
      <c r="F1145" s="3" t="s">
        <v>58</v>
      </c>
      <c r="G1145" s="3" t="s">
        <v>59</v>
      </c>
      <c r="H1145" s="3" t="s">
        <v>58</v>
      </c>
      <c r="I1145" s="3" t="s">
        <v>58</v>
      </c>
      <c r="J1145" s="3" t="s">
        <v>60</v>
      </c>
      <c r="K1145" s="2" t="s">
        <v>14753</v>
      </c>
      <c r="L1145" s="2" t="s">
        <v>14754</v>
      </c>
      <c r="M1145" s="3" t="s">
        <v>1101</v>
      </c>
      <c r="O1145" s="3" t="s">
        <v>64</v>
      </c>
      <c r="P1145" s="3" t="s">
        <v>115</v>
      </c>
      <c r="Q1145" s="2" t="s">
        <v>14755</v>
      </c>
      <c r="R1145" s="3" t="s">
        <v>67</v>
      </c>
      <c r="S1145" s="4">
        <v>3</v>
      </c>
      <c r="T1145" s="4">
        <v>3</v>
      </c>
      <c r="U1145" s="5" t="s">
        <v>14756</v>
      </c>
      <c r="V1145" s="5" t="s">
        <v>14756</v>
      </c>
      <c r="W1145" s="5" t="s">
        <v>14757</v>
      </c>
      <c r="X1145" s="5" t="s">
        <v>14757</v>
      </c>
      <c r="Y1145" s="4">
        <v>245</v>
      </c>
      <c r="Z1145" s="4">
        <v>206</v>
      </c>
      <c r="AA1145" s="4">
        <v>1116</v>
      </c>
      <c r="AB1145" s="4">
        <v>3</v>
      </c>
      <c r="AC1145" s="4">
        <v>28</v>
      </c>
      <c r="AD1145" s="4">
        <v>9</v>
      </c>
      <c r="AE1145" s="4">
        <v>37</v>
      </c>
      <c r="AF1145" s="4">
        <v>4</v>
      </c>
      <c r="AG1145" s="4">
        <v>12</v>
      </c>
      <c r="AH1145" s="4">
        <v>2</v>
      </c>
      <c r="AI1145" s="4">
        <v>6</v>
      </c>
      <c r="AJ1145" s="4">
        <v>3</v>
      </c>
      <c r="AK1145" s="4">
        <v>11</v>
      </c>
      <c r="AL1145" s="4">
        <v>2</v>
      </c>
      <c r="AM1145" s="4">
        <v>13</v>
      </c>
      <c r="AN1145" s="4">
        <v>0</v>
      </c>
      <c r="AO1145" s="4">
        <v>1</v>
      </c>
      <c r="AP1145" s="3" t="s">
        <v>58</v>
      </c>
      <c r="AQ1145" s="3" t="s">
        <v>58</v>
      </c>
      <c r="AS1145" s="6" t="str">
        <f>HYPERLINK("https://creighton-primo.hosted.exlibrisgroup.com/primo-explore/search?tab=default_tab&amp;search_scope=EVERYTHING&amp;vid=01CRU&amp;lang=en_US&amp;offset=0&amp;query=any,contains,991003989129702656","Catalog Record")</f>
        <v>Catalog Record</v>
      </c>
      <c r="AT1145" s="6" t="str">
        <f>HYPERLINK("http://www.worldcat.org/oclc/46394821","WorldCat Record")</f>
        <v>WorldCat Record</v>
      </c>
      <c r="AU1145" s="3" t="s">
        <v>14758</v>
      </c>
      <c r="AV1145" s="3" t="s">
        <v>14759</v>
      </c>
      <c r="AW1145" s="3" t="s">
        <v>14760</v>
      </c>
      <c r="AX1145" s="3" t="s">
        <v>14760</v>
      </c>
      <c r="AY1145" s="3" t="s">
        <v>14761</v>
      </c>
      <c r="AZ1145" s="3" t="s">
        <v>74</v>
      </c>
      <c r="BB1145" s="3" t="s">
        <v>14762</v>
      </c>
      <c r="BC1145" s="3" t="s">
        <v>14763</v>
      </c>
      <c r="BD1145" s="3" t="s">
        <v>14764</v>
      </c>
    </row>
    <row r="1146" spans="1:56" ht="42.75" customHeight="1" x14ac:dyDescent="0.25">
      <c r="A1146" s="7" t="s">
        <v>58</v>
      </c>
      <c r="B1146" s="2" t="s">
        <v>14765</v>
      </c>
      <c r="C1146" s="2" t="s">
        <v>14766</v>
      </c>
      <c r="D1146" s="2" t="s">
        <v>14767</v>
      </c>
      <c r="F1146" s="3" t="s">
        <v>58</v>
      </c>
      <c r="G1146" s="3" t="s">
        <v>59</v>
      </c>
      <c r="H1146" s="3" t="s">
        <v>58</v>
      </c>
      <c r="I1146" s="3" t="s">
        <v>58</v>
      </c>
      <c r="J1146" s="3" t="s">
        <v>60</v>
      </c>
      <c r="K1146" s="2" t="s">
        <v>7651</v>
      </c>
      <c r="L1146" s="2" t="s">
        <v>14768</v>
      </c>
      <c r="M1146" s="3" t="s">
        <v>114</v>
      </c>
      <c r="O1146" s="3" t="s">
        <v>64</v>
      </c>
      <c r="P1146" s="3" t="s">
        <v>115</v>
      </c>
      <c r="R1146" s="3" t="s">
        <v>67</v>
      </c>
      <c r="S1146" s="4">
        <v>10</v>
      </c>
      <c r="T1146" s="4">
        <v>10</v>
      </c>
      <c r="U1146" s="5" t="s">
        <v>6640</v>
      </c>
      <c r="V1146" s="5" t="s">
        <v>6640</v>
      </c>
      <c r="W1146" s="5" t="s">
        <v>117</v>
      </c>
      <c r="X1146" s="5" t="s">
        <v>117</v>
      </c>
      <c r="Y1146" s="4">
        <v>709</v>
      </c>
      <c r="Z1146" s="4">
        <v>626</v>
      </c>
      <c r="AA1146" s="4">
        <v>639</v>
      </c>
      <c r="AB1146" s="4">
        <v>5</v>
      </c>
      <c r="AC1146" s="4">
        <v>6</v>
      </c>
      <c r="AD1146" s="4">
        <v>26</v>
      </c>
      <c r="AE1146" s="4">
        <v>27</v>
      </c>
      <c r="AF1146" s="4">
        <v>8</v>
      </c>
      <c r="AG1146" s="4">
        <v>8</v>
      </c>
      <c r="AH1146" s="4">
        <v>7</v>
      </c>
      <c r="AI1146" s="4">
        <v>7</v>
      </c>
      <c r="AJ1146" s="4">
        <v>15</v>
      </c>
      <c r="AK1146" s="4">
        <v>15</v>
      </c>
      <c r="AL1146" s="4">
        <v>4</v>
      </c>
      <c r="AM1146" s="4">
        <v>5</v>
      </c>
      <c r="AN1146" s="4">
        <v>0</v>
      </c>
      <c r="AO1146" s="4">
        <v>0</v>
      </c>
      <c r="AP1146" s="3" t="s">
        <v>58</v>
      </c>
      <c r="AQ1146" s="3" t="s">
        <v>86</v>
      </c>
      <c r="AR1146" s="6" t="str">
        <f>HYPERLINK("http://catalog.hathitrust.org/Record/000332215","HathiTrust Record")</f>
        <v>HathiTrust Record</v>
      </c>
      <c r="AS1146" s="6" t="str">
        <f>HYPERLINK("https://creighton-primo.hosted.exlibrisgroup.com/primo-explore/search?tab=default_tab&amp;search_scope=EVERYTHING&amp;vid=01CRU&amp;lang=en_US&amp;offset=0&amp;query=any,contains,991000311959702656","Catalog Record")</f>
        <v>Catalog Record</v>
      </c>
      <c r="AT1146" s="6" t="str">
        <f>HYPERLINK("http://www.worldcat.org/oclc/10099683","WorldCat Record")</f>
        <v>WorldCat Record</v>
      </c>
      <c r="AU1146" s="3" t="s">
        <v>14769</v>
      </c>
      <c r="AV1146" s="3" t="s">
        <v>14770</v>
      </c>
      <c r="AW1146" s="3" t="s">
        <v>14771</v>
      </c>
      <c r="AX1146" s="3" t="s">
        <v>14771</v>
      </c>
      <c r="AY1146" s="3" t="s">
        <v>14772</v>
      </c>
      <c r="AZ1146" s="3" t="s">
        <v>74</v>
      </c>
      <c r="BB1146" s="3" t="s">
        <v>14773</v>
      </c>
      <c r="BC1146" s="3" t="s">
        <v>14774</v>
      </c>
      <c r="BD1146" s="3" t="s">
        <v>14775</v>
      </c>
    </row>
    <row r="1147" spans="1:56" ht="42.75" customHeight="1" x14ac:dyDescent="0.25">
      <c r="A1147" s="7" t="s">
        <v>58</v>
      </c>
      <c r="B1147" s="2" t="s">
        <v>14776</v>
      </c>
      <c r="C1147" s="2" t="s">
        <v>14777</v>
      </c>
      <c r="D1147" s="2" t="s">
        <v>14778</v>
      </c>
      <c r="F1147" s="3" t="s">
        <v>58</v>
      </c>
      <c r="G1147" s="3" t="s">
        <v>59</v>
      </c>
      <c r="H1147" s="3" t="s">
        <v>58</v>
      </c>
      <c r="I1147" s="3" t="s">
        <v>58</v>
      </c>
      <c r="J1147" s="3" t="s">
        <v>60</v>
      </c>
      <c r="K1147" s="2" t="s">
        <v>14779</v>
      </c>
      <c r="L1147" s="2" t="s">
        <v>14780</v>
      </c>
      <c r="M1147" s="3" t="s">
        <v>371</v>
      </c>
      <c r="O1147" s="3" t="s">
        <v>64</v>
      </c>
      <c r="P1147" s="3" t="s">
        <v>2331</v>
      </c>
      <c r="R1147" s="3" t="s">
        <v>67</v>
      </c>
      <c r="S1147" s="4">
        <v>15</v>
      </c>
      <c r="T1147" s="4">
        <v>15</v>
      </c>
      <c r="U1147" s="5" t="s">
        <v>14781</v>
      </c>
      <c r="V1147" s="5" t="s">
        <v>14781</v>
      </c>
      <c r="W1147" s="5" t="s">
        <v>3457</v>
      </c>
      <c r="X1147" s="5" t="s">
        <v>3457</v>
      </c>
      <c r="Y1147" s="4">
        <v>433</v>
      </c>
      <c r="Z1147" s="4">
        <v>334</v>
      </c>
      <c r="AA1147" s="4">
        <v>338</v>
      </c>
      <c r="AB1147" s="4">
        <v>1</v>
      </c>
      <c r="AC1147" s="4">
        <v>1</v>
      </c>
      <c r="AD1147" s="4">
        <v>13</v>
      </c>
      <c r="AE1147" s="4">
        <v>13</v>
      </c>
      <c r="AF1147" s="4">
        <v>3</v>
      </c>
      <c r="AG1147" s="4">
        <v>3</v>
      </c>
      <c r="AH1147" s="4">
        <v>5</v>
      </c>
      <c r="AI1147" s="4">
        <v>5</v>
      </c>
      <c r="AJ1147" s="4">
        <v>9</v>
      </c>
      <c r="AK1147" s="4">
        <v>9</v>
      </c>
      <c r="AL1147" s="4">
        <v>0</v>
      </c>
      <c r="AM1147" s="4">
        <v>0</v>
      </c>
      <c r="AN1147" s="4">
        <v>0</v>
      </c>
      <c r="AO1147" s="4">
        <v>0</v>
      </c>
      <c r="AP1147" s="3" t="s">
        <v>58</v>
      </c>
      <c r="AQ1147" s="3" t="s">
        <v>58</v>
      </c>
      <c r="AS1147" s="6" t="str">
        <f>HYPERLINK("https://creighton-primo.hosted.exlibrisgroup.com/primo-explore/search?tab=default_tab&amp;search_scope=EVERYTHING&amp;vid=01CRU&amp;lang=en_US&amp;offset=0&amp;query=any,contains,991000769699702656","Catalog Record")</f>
        <v>Catalog Record</v>
      </c>
      <c r="AT1147" s="6" t="str">
        <f>HYPERLINK("http://www.worldcat.org/oclc/13010133","WorldCat Record")</f>
        <v>WorldCat Record</v>
      </c>
      <c r="AU1147" s="3" t="s">
        <v>14782</v>
      </c>
      <c r="AV1147" s="3" t="s">
        <v>14783</v>
      </c>
      <c r="AW1147" s="3" t="s">
        <v>14784</v>
      </c>
      <c r="AX1147" s="3" t="s">
        <v>14784</v>
      </c>
      <c r="AY1147" s="3" t="s">
        <v>14785</v>
      </c>
      <c r="AZ1147" s="3" t="s">
        <v>74</v>
      </c>
      <c r="BB1147" s="3" t="s">
        <v>14786</v>
      </c>
      <c r="BC1147" s="3" t="s">
        <v>14787</v>
      </c>
      <c r="BD1147" s="3" t="s">
        <v>14788</v>
      </c>
    </row>
    <row r="1148" spans="1:56" ht="42.75" customHeight="1" x14ac:dyDescent="0.25">
      <c r="A1148" s="7" t="s">
        <v>58</v>
      </c>
      <c r="B1148" s="2" t="s">
        <v>14789</v>
      </c>
      <c r="C1148" s="2" t="s">
        <v>14790</v>
      </c>
      <c r="D1148" s="2" t="s">
        <v>14791</v>
      </c>
      <c r="F1148" s="3" t="s">
        <v>58</v>
      </c>
      <c r="G1148" s="3" t="s">
        <v>59</v>
      </c>
      <c r="H1148" s="3" t="s">
        <v>58</v>
      </c>
      <c r="I1148" s="3" t="s">
        <v>58</v>
      </c>
      <c r="J1148" s="3" t="s">
        <v>60</v>
      </c>
      <c r="K1148" s="2" t="s">
        <v>14792</v>
      </c>
      <c r="L1148" s="2" t="s">
        <v>14793</v>
      </c>
      <c r="M1148" s="3" t="s">
        <v>5200</v>
      </c>
      <c r="O1148" s="3" t="s">
        <v>64</v>
      </c>
      <c r="P1148" s="3" t="s">
        <v>115</v>
      </c>
      <c r="Q1148" s="2" t="s">
        <v>14794</v>
      </c>
      <c r="R1148" s="3" t="s">
        <v>67</v>
      </c>
      <c r="S1148" s="4">
        <v>9</v>
      </c>
      <c r="T1148" s="4">
        <v>9</v>
      </c>
      <c r="U1148" s="5" t="s">
        <v>14795</v>
      </c>
      <c r="V1148" s="5" t="s">
        <v>14795</v>
      </c>
      <c r="W1148" s="5" t="s">
        <v>8602</v>
      </c>
      <c r="X1148" s="5" t="s">
        <v>8602</v>
      </c>
      <c r="Y1148" s="4">
        <v>117</v>
      </c>
      <c r="Z1148" s="4">
        <v>109</v>
      </c>
      <c r="AA1148" s="4">
        <v>380</v>
      </c>
      <c r="AB1148" s="4">
        <v>1</v>
      </c>
      <c r="AC1148" s="4">
        <v>4</v>
      </c>
      <c r="AD1148" s="4">
        <v>2</v>
      </c>
      <c r="AE1148" s="4">
        <v>14</v>
      </c>
      <c r="AF1148" s="4">
        <v>0</v>
      </c>
      <c r="AG1148" s="4">
        <v>3</v>
      </c>
      <c r="AH1148" s="4">
        <v>0</v>
      </c>
      <c r="AI1148" s="4">
        <v>1</v>
      </c>
      <c r="AJ1148" s="4">
        <v>2</v>
      </c>
      <c r="AK1148" s="4">
        <v>7</v>
      </c>
      <c r="AL1148" s="4">
        <v>0</v>
      </c>
      <c r="AM1148" s="4">
        <v>3</v>
      </c>
      <c r="AN1148" s="4">
        <v>0</v>
      </c>
      <c r="AO1148" s="4">
        <v>0</v>
      </c>
      <c r="AP1148" s="3" t="s">
        <v>58</v>
      </c>
      <c r="AQ1148" s="3" t="s">
        <v>58</v>
      </c>
      <c r="AS1148" s="6" t="str">
        <f>HYPERLINK("https://creighton-primo.hosted.exlibrisgroup.com/primo-explore/search?tab=default_tab&amp;search_scope=EVERYTHING&amp;vid=01CRU&amp;lang=en_US&amp;offset=0&amp;query=any,contains,991002394499702656","Catalog Record")</f>
        <v>Catalog Record</v>
      </c>
      <c r="AT1148" s="6" t="str">
        <f>HYPERLINK("http://www.worldcat.org/oclc/333907","WorldCat Record")</f>
        <v>WorldCat Record</v>
      </c>
      <c r="AU1148" s="3" t="s">
        <v>14796</v>
      </c>
      <c r="AV1148" s="3" t="s">
        <v>14797</v>
      </c>
      <c r="AW1148" s="3" t="s">
        <v>14798</v>
      </c>
      <c r="AX1148" s="3" t="s">
        <v>14798</v>
      </c>
      <c r="AY1148" s="3" t="s">
        <v>14799</v>
      </c>
      <c r="AZ1148" s="3" t="s">
        <v>74</v>
      </c>
      <c r="BB1148" s="3" t="s">
        <v>14800</v>
      </c>
      <c r="BC1148" s="3" t="s">
        <v>14801</v>
      </c>
      <c r="BD1148" s="3" t="s">
        <v>14802</v>
      </c>
    </row>
    <row r="1149" spans="1:56" ht="42.75" customHeight="1" x14ac:dyDescent="0.25">
      <c r="A1149" s="7" t="s">
        <v>58</v>
      </c>
      <c r="B1149" s="2" t="s">
        <v>14803</v>
      </c>
      <c r="C1149" s="2" t="s">
        <v>14804</v>
      </c>
      <c r="D1149" s="2" t="s">
        <v>14805</v>
      </c>
      <c r="F1149" s="3" t="s">
        <v>58</v>
      </c>
      <c r="G1149" s="3" t="s">
        <v>59</v>
      </c>
      <c r="H1149" s="3" t="s">
        <v>58</v>
      </c>
      <c r="I1149" s="3" t="s">
        <v>58</v>
      </c>
      <c r="J1149" s="3" t="s">
        <v>60</v>
      </c>
      <c r="K1149" s="2" t="s">
        <v>14806</v>
      </c>
      <c r="L1149" s="2" t="s">
        <v>14807</v>
      </c>
      <c r="M1149" s="3" t="s">
        <v>223</v>
      </c>
      <c r="N1149" s="2" t="s">
        <v>1736</v>
      </c>
      <c r="O1149" s="3" t="s">
        <v>64</v>
      </c>
      <c r="P1149" s="3" t="s">
        <v>115</v>
      </c>
      <c r="R1149" s="3" t="s">
        <v>67</v>
      </c>
      <c r="S1149" s="4">
        <v>6</v>
      </c>
      <c r="T1149" s="4">
        <v>6</v>
      </c>
      <c r="U1149" s="5" t="s">
        <v>12523</v>
      </c>
      <c r="V1149" s="5" t="s">
        <v>12523</v>
      </c>
      <c r="W1149" s="5" t="s">
        <v>117</v>
      </c>
      <c r="X1149" s="5" t="s">
        <v>117</v>
      </c>
      <c r="Y1149" s="4">
        <v>113</v>
      </c>
      <c r="Z1149" s="4">
        <v>107</v>
      </c>
      <c r="AA1149" s="4">
        <v>107</v>
      </c>
      <c r="AB1149" s="4">
        <v>1</v>
      </c>
      <c r="AC1149" s="4">
        <v>1</v>
      </c>
      <c r="AD1149" s="4">
        <v>0</v>
      </c>
      <c r="AE1149" s="4">
        <v>0</v>
      </c>
      <c r="AF1149" s="4">
        <v>0</v>
      </c>
      <c r="AG1149" s="4">
        <v>0</v>
      </c>
      <c r="AH1149" s="4">
        <v>0</v>
      </c>
      <c r="AI1149" s="4">
        <v>0</v>
      </c>
      <c r="AJ1149" s="4">
        <v>0</v>
      </c>
      <c r="AK1149" s="4">
        <v>0</v>
      </c>
      <c r="AL1149" s="4">
        <v>0</v>
      </c>
      <c r="AM1149" s="4">
        <v>0</v>
      </c>
      <c r="AN1149" s="4">
        <v>0</v>
      </c>
      <c r="AO1149" s="4">
        <v>0</v>
      </c>
      <c r="AP1149" s="3" t="s">
        <v>58</v>
      </c>
      <c r="AQ1149" s="3" t="s">
        <v>58</v>
      </c>
      <c r="AS1149" s="6" t="str">
        <f>HYPERLINK("https://creighton-primo.hosted.exlibrisgroup.com/primo-explore/search?tab=default_tab&amp;search_scope=EVERYTHING&amp;vid=01CRU&amp;lang=en_US&amp;offset=0&amp;query=any,contains,991004474659702656","Catalog Record")</f>
        <v>Catalog Record</v>
      </c>
      <c r="AT1149" s="6" t="str">
        <f>HYPERLINK("http://www.worldcat.org/oclc/3608730","WorldCat Record")</f>
        <v>WorldCat Record</v>
      </c>
      <c r="AU1149" s="3" t="s">
        <v>14808</v>
      </c>
      <c r="AV1149" s="3" t="s">
        <v>14809</v>
      </c>
      <c r="AW1149" s="3" t="s">
        <v>14810</v>
      </c>
      <c r="AX1149" s="3" t="s">
        <v>14810</v>
      </c>
      <c r="AY1149" s="3" t="s">
        <v>14811</v>
      </c>
      <c r="AZ1149" s="3" t="s">
        <v>74</v>
      </c>
      <c r="BB1149" s="3" t="s">
        <v>14812</v>
      </c>
      <c r="BC1149" s="3" t="s">
        <v>14813</v>
      </c>
      <c r="BD1149" s="3" t="s">
        <v>14814</v>
      </c>
    </row>
    <row r="1150" spans="1:56" ht="42.75" customHeight="1" x14ac:dyDescent="0.25">
      <c r="A1150" s="7" t="s">
        <v>58</v>
      </c>
      <c r="B1150" s="2" t="s">
        <v>14815</v>
      </c>
      <c r="C1150" s="2" t="s">
        <v>14816</v>
      </c>
      <c r="D1150" s="2" t="s">
        <v>14817</v>
      </c>
      <c r="F1150" s="3" t="s">
        <v>58</v>
      </c>
      <c r="G1150" s="3" t="s">
        <v>59</v>
      </c>
      <c r="H1150" s="3" t="s">
        <v>58</v>
      </c>
      <c r="I1150" s="3" t="s">
        <v>58</v>
      </c>
      <c r="J1150" s="3" t="s">
        <v>60</v>
      </c>
      <c r="K1150" s="2" t="s">
        <v>14818</v>
      </c>
      <c r="L1150" s="2" t="s">
        <v>8404</v>
      </c>
      <c r="M1150" s="3" t="s">
        <v>82</v>
      </c>
      <c r="N1150" s="2" t="s">
        <v>1736</v>
      </c>
      <c r="O1150" s="3" t="s">
        <v>64</v>
      </c>
      <c r="P1150" s="3" t="s">
        <v>115</v>
      </c>
      <c r="R1150" s="3" t="s">
        <v>67</v>
      </c>
      <c r="S1150" s="4">
        <v>14</v>
      </c>
      <c r="T1150" s="4">
        <v>14</v>
      </c>
      <c r="U1150" s="5" t="s">
        <v>14628</v>
      </c>
      <c r="V1150" s="5" t="s">
        <v>14628</v>
      </c>
      <c r="W1150" s="5" t="s">
        <v>14819</v>
      </c>
      <c r="X1150" s="5" t="s">
        <v>14819</v>
      </c>
      <c r="Y1150" s="4">
        <v>420</v>
      </c>
      <c r="Z1150" s="4">
        <v>396</v>
      </c>
      <c r="AA1150" s="4">
        <v>461</v>
      </c>
      <c r="AB1150" s="4">
        <v>3</v>
      </c>
      <c r="AC1150" s="4">
        <v>4</v>
      </c>
      <c r="AD1150" s="4">
        <v>3</v>
      </c>
      <c r="AE1150" s="4">
        <v>5</v>
      </c>
      <c r="AF1150" s="4">
        <v>1</v>
      </c>
      <c r="AG1150" s="4">
        <v>2</v>
      </c>
      <c r="AH1150" s="4">
        <v>0</v>
      </c>
      <c r="AI1150" s="4">
        <v>0</v>
      </c>
      <c r="AJ1150" s="4">
        <v>2</v>
      </c>
      <c r="AK1150" s="4">
        <v>3</v>
      </c>
      <c r="AL1150" s="4">
        <v>0</v>
      </c>
      <c r="AM1150" s="4">
        <v>1</v>
      </c>
      <c r="AN1150" s="4">
        <v>0</v>
      </c>
      <c r="AO1150" s="4">
        <v>0</v>
      </c>
      <c r="AP1150" s="3" t="s">
        <v>58</v>
      </c>
      <c r="AQ1150" s="3" t="s">
        <v>58</v>
      </c>
      <c r="AS1150" s="6" t="str">
        <f>HYPERLINK("https://creighton-primo.hosted.exlibrisgroup.com/primo-explore/search?tab=default_tab&amp;search_scope=EVERYTHING&amp;vid=01CRU&amp;lang=en_US&amp;offset=0&amp;query=any,contains,991000985869702656","Catalog Record")</f>
        <v>Catalog Record</v>
      </c>
      <c r="AT1150" s="6" t="str">
        <f>HYPERLINK("http://www.worldcat.org/oclc/15081849","WorldCat Record")</f>
        <v>WorldCat Record</v>
      </c>
      <c r="AU1150" s="3" t="s">
        <v>14820</v>
      </c>
      <c r="AV1150" s="3" t="s">
        <v>14821</v>
      </c>
      <c r="AW1150" s="3" t="s">
        <v>14822</v>
      </c>
      <c r="AX1150" s="3" t="s">
        <v>14822</v>
      </c>
      <c r="AY1150" s="3" t="s">
        <v>14823</v>
      </c>
      <c r="AZ1150" s="3" t="s">
        <v>74</v>
      </c>
      <c r="BB1150" s="3" t="s">
        <v>14824</v>
      </c>
      <c r="BC1150" s="3" t="s">
        <v>14825</v>
      </c>
      <c r="BD1150" s="3" t="s">
        <v>14826</v>
      </c>
    </row>
    <row r="1151" spans="1:56" ht="42.75" customHeight="1" x14ac:dyDescent="0.25">
      <c r="A1151" s="7" t="s">
        <v>58</v>
      </c>
      <c r="B1151" s="2" t="s">
        <v>14827</v>
      </c>
      <c r="C1151" s="2" t="s">
        <v>14828</v>
      </c>
      <c r="D1151" s="2" t="s">
        <v>14829</v>
      </c>
      <c r="F1151" s="3" t="s">
        <v>58</v>
      </c>
      <c r="G1151" s="3" t="s">
        <v>59</v>
      </c>
      <c r="H1151" s="3" t="s">
        <v>58</v>
      </c>
      <c r="I1151" s="3" t="s">
        <v>58</v>
      </c>
      <c r="J1151" s="3" t="s">
        <v>60</v>
      </c>
      <c r="K1151" s="2" t="s">
        <v>14830</v>
      </c>
      <c r="L1151" s="2" t="s">
        <v>8637</v>
      </c>
      <c r="M1151" s="3" t="s">
        <v>996</v>
      </c>
      <c r="O1151" s="3" t="s">
        <v>64</v>
      </c>
      <c r="P1151" s="3" t="s">
        <v>145</v>
      </c>
      <c r="R1151" s="3" t="s">
        <v>67</v>
      </c>
      <c r="S1151" s="4">
        <v>1</v>
      </c>
      <c r="T1151" s="4">
        <v>1</v>
      </c>
      <c r="U1151" s="5" t="s">
        <v>14831</v>
      </c>
      <c r="V1151" s="5" t="s">
        <v>14831</v>
      </c>
      <c r="W1151" s="5" t="s">
        <v>14832</v>
      </c>
      <c r="X1151" s="5" t="s">
        <v>14832</v>
      </c>
      <c r="Y1151" s="4">
        <v>518</v>
      </c>
      <c r="Z1151" s="4">
        <v>430</v>
      </c>
      <c r="AA1151" s="4">
        <v>500</v>
      </c>
      <c r="AB1151" s="4">
        <v>1</v>
      </c>
      <c r="AC1151" s="4">
        <v>2</v>
      </c>
      <c r="AD1151" s="4">
        <v>17</v>
      </c>
      <c r="AE1151" s="4">
        <v>22</v>
      </c>
      <c r="AF1151" s="4">
        <v>9</v>
      </c>
      <c r="AG1151" s="4">
        <v>9</v>
      </c>
      <c r="AH1151" s="4">
        <v>5</v>
      </c>
      <c r="AI1151" s="4">
        <v>5</v>
      </c>
      <c r="AJ1151" s="4">
        <v>6</v>
      </c>
      <c r="AK1151" s="4">
        <v>10</v>
      </c>
      <c r="AL1151" s="4">
        <v>0</v>
      </c>
      <c r="AM1151" s="4">
        <v>1</v>
      </c>
      <c r="AN1151" s="4">
        <v>0</v>
      </c>
      <c r="AO1151" s="4">
        <v>0</v>
      </c>
      <c r="AP1151" s="3" t="s">
        <v>58</v>
      </c>
      <c r="AQ1151" s="3" t="s">
        <v>58</v>
      </c>
      <c r="AS1151" s="6" t="str">
        <f>HYPERLINK("https://creighton-primo.hosted.exlibrisgroup.com/primo-explore/search?tab=default_tab&amp;search_scope=EVERYTHING&amp;vid=01CRU&amp;lang=en_US&amp;offset=0&amp;query=any,contains,991004761699702656","Catalog Record")</f>
        <v>Catalog Record</v>
      </c>
      <c r="AT1151" s="6" t="str">
        <f>HYPERLINK("http://www.worldcat.org/oclc/42397263","WorldCat Record")</f>
        <v>WorldCat Record</v>
      </c>
      <c r="AU1151" s="3" t="s">
        <v>14833</v>
      </c>
      <c r="AV1151" s="3" t="s">
        <v>14834</v>
      </c>
      <c r="AW1151" s="3" t="s">
        <v>14835</v>
      </c>
      <c r="AX1151" s="3" t="s">
        <v>14835</v>
      </c>
      <c r="AY1151" s="3" t="s">
        <v>14836</v>
      </c>
      <c r="AZ1151" s="3" t="s">
        <v>74</v>
      </c>
      <c r="BB1151" s="3" t="s">
        <v>14837</v>
      </c>
      <c r="BC1151" s="3" t="s">
        <v>14838</v>
      </c>
      <c r="BD1151" s="3" t="s">
        <v>14839</v>
      </c>
    </row>
    <row r="1152" spans="1:56" ht="42.75" customHeight="1" x14ac:dyDescent="0.25">
      <c r="A1152" s="7" t="s">
        <v>58</v>
      </c>
      <c r="B1152" s="2" t="s">
        <v>14840</v>
      </c>
      <c r="C1152" s="2" t="s">
        <v>14841</v>
      </c>
      <c r="D1152" s="2" t="s">
        <v>14842</v>
      </c>
      <c r="F1152" s="3" t="s">
        <v>58</v>
      </c>
      <c r="G1152" s="3" t="s">
        <v>59</v>
      </c>
      <c r="H1152" s="3" t="s">
        <v>58</v>
      </c>
      <c r="I1152" s="3" t="s">
        <v>58</v>
      </c>
      <c r="J1152" s="3" t="s">
        <v>60</v>
      </c>
      <c r="K1152" s="2" t="s">
        <v>14843</v>
      </c>
      <c r="L1152" s="2" t="s">
        <v>8244</v>
      </c>
      <c r="M1152" s="3" t="s">
        <v>1181</v>
      </c>
      <c r="N1152" s="2" t="s">
        <v>1736</v>
      </c>
      <c r="O1152" s="3" t="s">
        <v>64</v>
      </c>
      <c r="P1152" s="3" t="s">
        <v>145</v>
      </c>
      <c r="Q1152" s="2" t="s">
        <v>14844</v>
      </c>
      <c r="R1152" s="3" t="s">
        <v>67</v>
      </c>
      <c r="S1152" s="4">
        <v>5</v>
      </c>
      <c r="T1152" s="4">
        <v>5</v>
      </c>
      <c r="U1152" s="5" t="s">
        <v>14845</v>
      </c>
      <c r="V1152" s="5" t="s">
        <v>14845</v>
      </c>
      <c r="W1152" s="5" t="s">
        <v>10985</v>
      </c>
      <c r="X1152" s="5" t="s">
        <v>10985</v>
      </c>
      <c r="Y1152" s="4">
        <v>284</v>
      </c>
      <c r="Z1152" s="4">
        <v>223</v>
      </c>
      <c r="AA1152" s="4">
        <v>307</v>
      </c>
      <c r="AB1152" s="4">
        <v>2</v>
      </c>
      <c r="AC1152" s="4">
        <v>3</v>
      </c>
      <c r="AD1152" s="4">
        <v>7</v>
      </c>
      <c r="AE1152" s="4">
        <v>14</v>
      </c>
      <c r="AF1152" s="4">
        <v>1</v>
      </c>
      <c r="AG1152" s="4">
        <v>3</v>
      </c>
      <c r="AH1152" s="4">
        <v>3</v>
      </c>
      <c r="AI1152" s="4">
        <v>3</v>
      </c>
      <c r="AJ1152" s="4">
        <v>5</v>
      </c>
      <c r="AK1152" s="4">
        <v>9</v>
      </c>
      <c r="AL1152" s="4">
        <v>1</v>
      </c>
      <c r="AM1152" s="4">
        <v>2</v>
      </c>
      <c r="AN1152" s="4">
        <v>0</v>
      </c>
      <c r="AO1152" s="4">
        <v>0</v>
      </c>
      <c r="AP1152" s="3" t="s">
        <v>58</v>
      </c>
      <c r="AQ1152" s="3" t="s">
        <v>58</v>
      </c>
      <c r="AS1152" s="6" t="str">
        <f>HYPERLINK("https://creighton-primo.hosted.exlibrisgroup.com/primo-explore/search?tab=default_tab&amp;search_scope=EVERYTHING&amp;vid=01CRU&amp;lang=en_US&amp;offset=0&amp;query=any,contains,991005052759702656","Catalog Record")</f>
        <v>Catalog Record</v>
      </c>
      <c r="AT1152" s="6" t="str">
        <f>HYPERLINK("http://www.worldcat.org/oclc/52092072","WorldCat Record")</f>
        <v>WorldCat Record</v>
      </c>
      <c r="AU1152" s="3" t="s">
        <v>14846</v>
      </c>
      <c r="AV1152" s="3" t="s">
        <v>14847</v>
      </c>
      <c r="AW1152" s="3" t="s">
        <v>14848</v>
      </c>
      <c r="AX1152" s="3" t="s">
        <v>14848</v>
      </c>
      <c r="AY1152" s="3" t="s">
        <v>14849</v>
      </c>
      <c r="AZ1152" s="3" t="s">
        <v>74</v>
      </c>
      <c r="BB1152" s="3" t="s">
        <v>14850</v>
      </c>
      <c r="BC1152" s="3" t="s">
        <v>14851</v>
      </c>
      <c r="BD1152" s="3" t="s">
        <v>14852</v>
      </c>
    </row>
    <row r="1153" spans="1:56" ht="42.75" customHeight="1" x14ac:dyDescent="0.25">
      <c r="A1153" s="7" t="s">
        <v>58</v>
      </c>
      <c r="B1153" s="2" t="s">
        <v>14853</v>
      </c>
      <c r="C1153" s="2" t="s">
        <v>14854</v>
      </c>
      <c r="D1153" s="2" t="s">
        <v>14855</v>
      </c>
      <c r="F1153" s="3" t="s">
        <v>58</v>
      </c>
      <c r="G1153" s="3" t="s">
        <v>59</v>
      </c>
      <c r="H1153" s="3" t="s">
        <v>58</v>
      </c>
      <c r="I1153" s="3" t="s">
        <v>58</v>
      </c>
      <c r="J1153" s="3" t="s">
        <v>60</v>
      </c>
      <c r="K1153" s="2" t="s">
        <v>13605</v>
      </c>
      <c r="L1153" s="2" t="s">
        <v>14856</v>
      </c>
      <c r="M1153" s="3" t="s">
        <v>1141</v>
      </c>
      <c r="O1153" s="3" t="s">
        <v>64</v>
      </c>
      <c r="P1153" s="3" t="s">
        <v>208</v>
      </c>
      <c r="R1153" s="3" t="s">
        <v>67</v>
      </c>
      <c r="S1153" s="4">
        <v>12</v>
      </c>
      <c r="T1153" s="4">
        <v>12</v>
      </c>
      <c r="U1153" s="5" t="s">
        <v>6931</v>
      </c>
      <c r="V1153" s="5" t="s">
        <v>6931</v>
      </c>
      <c r="W1153" s="5" t="s">
        <v>14857</v>
      </c>
      <c r="X1153" s="5" t="s">
        <v>14857</v>
      </c>
      <c r="Y1153" s="4">
        <v>663</v>
      </c>
      <c r="Z1153" s="4">
        <v>517</v>
      </c>
      <c r="AA1153" s="4">
        <v>565</v>
      </c>
      <c r="AB1153" s="4">
        <v>4</v>
      </c>
      <c r="AC1153" s="4">
        <v>4</v>
      </c>
      <c r="AD1153" s="4">
        <v>23</v>
      </c>
      <c r="AE1153" s="4">
        <v>24</v>
      </c>
      <c r="AF1153" s="4">
        <v>8</v>
      </c>
      <c r="AG1153" s="4">
        <v>9</v>
      </c>
      <c r="AH1153" s="4">
        <v>3</v>
      </c>
      <c r="AI1153" s="4">
        <v>3</v>
      </c>
      <c r="AJ1153" s="4">
        <v>13</v>
      </c>
      <c r="AK1153" s="4">
        <v>13</v>
      </c>
      <c r="AL1153" s="4">
        <v>3</v>
      </c>
      <c r="AM1153" s="4">
        <v>3</v>
      </c>
      <c r="AN1153" s="4">
        <v>1</v>
      </c>
      <c r="AO1153" s="4">
        <v>1</v>
      </c>
      <c r="AP1153" s="3" t="s">
        <v>58</v>
      </c>
      <c r="AQ1153" s="3" t="s">
        <v>86</v>
      </c>
      <c r="AR1153" s="6" t="str">
        <f>HYPERLINK("http://catalog.hathitrust.org/Record/004316275","HathiTrust Record")</f>
        <v>HathiTrust Record</v>
      </c>
      <c r="AS1153" s="6" t="str">
        <f>HYPERLINK("https://creighton-primo.hosted.exlibrisgroup.com/primo-explore/search?tab=default_tab&amp;search_scope=EVERYTHING&amp;vid=01CRU&amp;lang=en_US&amp;offset=0&amp;query=any,contains,991004510489702656","Catalog Record")</f>
        <v>Catalog Record</v>
      </c>
      <c r="AT1153" s="6" t="str">
        <f>HYPERLINK("http://www.worldcat.org/oclc/50604863","WorldCat Record")</f>
        <v>WorldCat Record</v>
      </c>
      <c r="AU1153" s="3" t="s">
        <v>14858</v>
      </c>
      <c r="AV1153" s="3" t="s">
        <v>14859</v>
      </c>
      <c r="AW1153" s="3" t="s">
        <v>14860</v>
      </c>
      <c r="AX1153" s="3" t="s">
        <v>14860</v>
      </c>
      <c r="AY1153" s="3" t="s">
        <v>14861</v>
      </c>
      <c r="AZ1153" s="3" t="s">
        <v>74</v>
      </c>
      <c r="BB1153" s="3" t="s">
        <v>14862</v>
      </c>
      <c r="BC1153" s="3" t="s">
        <v>14863</v>
      </c>
      <c r="BD1153" s="3" t="s">
        <v>14864</v>
      </c>
    </row>
    <row r="1154" spans="1:56" ht="42.75" customHeight="1" x14ac:dyDescent="0.25">
      <c r="A1154" s="7" t="s">
        <v>58</v>
      </c>
      <c r="B1154" s="2" t="s">
        <v>14865</v>
      </c>
      <c r="C1154" s="2" t="s">
        <v>14866</v>
      </c>
      <c r="D1154" s="2" t="s">
        <v>14867</v>
      </c>
      <c r="F1154" s="3" t="s">
        <v>58</v>
      </c>
      <c r="G1154" s="3" t="s">
        <v>59</v>
      </c>
      <c r="H1154" s="3" t="s">
        <v>58</v>
      </c>
      <c r="I1154" s="3" t="s">
        <v>58</v>
      </c>
      <c r="J1154" s="3" t="s">
        <v>60</v>
      </c>
      <c r="K1154" s="2" t="s">
        <v>14868</v>
      </c>
      <c r="L1154" s="2" t="s">
        <v>14869</v>
      </c>
      <c r="M1154" s="3" t="s">
        <v>695</v>
      </c>
      <c r="N1154" s="2" t="s">
        <v>1736</v>
      </c>
      <c r="O1154" s="3" t="s">
        <v>64</v>
      </c>
      <c r="P1154" s="3" t="s">
        <v>115</v>
      </c>
      <c r="R1154" s="3" t="s">
        <v>67</v>
      </c>
      <c r="S1154" s="4">
        <v>29</v>
      </c>
      <c r="T1154" s="4">
        <v>29</v>
      </c>
      <c r="U1154" s="5" t="s">
        <v>14870</v>
      </c>
      <c r="V1154" s="5" t="s">
        <v>14870</v>
      </c>
      <c r="W1154" s="5" t="s">
        <v>14045</v>
      </c>
      <c r="X1154" s="5" t="s">
        <v>14045</v>
      </c>
      <c r="Y1154" s="4">
        <v>378</v>
      </c>
      <c r="Z1154" s="4">
        <v>316</v>
      </c>
      <c r="AA1154" s="4">
        <v>321</v>
      </c>
      <c r="AB1154" s="4">
        <v>2</v>
      </c>
      <c r="AC1154" s="4">
        <v>2</v>
      </c>
      <c r="AD1154" s="4">
        <v>17</v>
      </c>
      <c r="AE1154" s="4">
        <v>17</v>
      </c>
      <c r="AF1154" s="4">
        <v>9</v>
      </c>
      <c r="AG1154" s="4">
        <v>9</v>
      </c>
      <c r="AH1154" s="4">
        <v>2</v>
      </c>
      <c r="AI1154" s="4">
        <v>2</v>
      </c>
      <c r="AJ1154" s="4">
        <v>10</v>
      </c>
      <c r="AK1154" s="4">
        <v>10</v>
      </c>
      <c r="AL1154" s="4">
        <v>1</v>
      </c>
      <c r="AM1154" s="4">
        <v>1</v>
      </c>
      <c r="AN1154" s="4">
        <v>0</v>
      </c>
      <c r="AO1154" s="4">
        <v>0</v>
      </c>
      <c r="AP1154" s="3" t="s">
        <v>58</v>
      </c>
      <c r="AQ1154" s="3" t="s">
        <v>58</v>
      </c>
      <c r="AS1154" s="6" t="str">
        <f>HYPERLINK("https://creighton-primo.hosted.exlibrisgroup.com/primo-explore/search?tab=default_tab&amp;search_scope=EVERYTHING&amp;vid=01CRU&amp;lang=en_US&amp;offset=0&amp;query=any,contains,991002099849702656","Catalog Record")</f>
        <v>Catalog Record</v>
      </c>
      <c r="AT1154" s="6" t="str">
        <f>HYPERLINK("http://www.worldcat.org/oclc/26935130","WorldCat Record")</f>
        <v>WorldCat Record</v>
      </c>
      <c r="AU1154" s="3" t="s">
        <v>14871</v>
      </c>
      <c r="AV1154" s="3" t="s">
        <v>14872</v>
      </c>
      <c r="AW1154" s="3" t="s">
        <v>14873</v>
      </c>
      <c r="AX1154" s="3" t="s">
        <v>14873</v>
      </c>
      <c r="AY1154" s="3" t="s">
        <v>14874</v>
      </c>
      <c r="AZ1154" s="3" t="s">
        <v>74</v>
      </c>
      <c r="BB1154" s="3" t="s">
        <v>14875</v>
      </c>
      <c r="BC1154" s="3" t="s">
        <v>14876</v>
      </c>
      <c r="BD1154" s="3" t="s">
        <v>14877</v>
      </c>
    </row>
    <row r="1155" spans="1:56" ht="42.75" customHeight="1" x14ac:dyDescent="0.25">
      <c r="A1155" s="7" t="s">
        <v>58</v>
      </c>
      <c r="B1155" s="2" t="s">
        <v>14878</v>
      </c>
      <c r="C1155" s="2" t="s">
        <v>14879</v>
      </c>
      <c r="D1155" s="2" t="s">
        <v>14880</v>
      </c>
      <c r="F1155" s="3" t="s">
        <v>58</v>
      </c>
      <c r="G1155" s="3" t="s">
        <v>59</v>
      </c>
      <c r="H1155" s="3" t="s">
        <v>58</v>
      </c>
      <c r="I1155" s="3" t="s">
        <v>58</v>
      </c>
      <c r="J1155" s="3" t="s">
        <v>60</v>
      </c>
      <c r="K1155" s="2" t="s">
        <v>14881</v>
      </c>
      <c r="L1155" s="2" t="s">
        <v>14882</v>
      </c>
      <c r="M1155" s="3" t="s">
        <v>586</v>
      </c>
      <c r="O1155" s="3" t="s">
        <v>64</v>
      </c>
      <c r="P1155" s="3" t="s">
        <v>115</v>
      </c>
      <c r="R1155" s="3" t="s">
        <v>67</v>
      </c>
      <c r="S1155" s="4">
        <v>18</v>
      </c>
      <c r="T1155" s="4">
        <v>18</v>
      </c>
      <c r="U1155" s="5" t="s">
        <v>14883</v>
      </c>
      <c r="V1155" s="5" t="s">
        <v>14883</v>
      </c>
      <c r="W1155" s="5" t="s">
        <v>4552</v>
      </c>
      <c r="X1155" s="5" t="s">
        <v>4552</v>
      </c>
      <c r="Y1155" s="4">
        <v>643</v>
      </c>
      <c r="Z1155" s="4">
        <v>587</v>
      </c>
      <c r="AA1155" s="4">
        <v>602</v>
      </c>
      <c r="AB1155" s="4">
        <v>6</v>
      </c>
      <c r="AC1155" s="4">
        <v>6</v>
      </c>
      <c r="AD1155" s="4">
        <v>3</v>
      </c>
      <c r="AE1155" s="4">
        <v>3</v>
      </c>
      <c r="AF1155" s="4">
        <v>2</v>
      </c>
      <c r="AG1155" s="4">
        <v>2</v>
      </c>
      <c r="AH1155" s="4">
        <v>0</v>
      </c>
      <c r="AI1155" s="4">
        <v>0</v>
      </c>
      <c r="AJ1155" s="4">
        <v>1</v>
      </c>
      <c r="AK1155" s="4">
        <v>1</v>
      </c>
      <c r="AL1155" s="4">
        <v>0</v>
      </c>
      <c r="AM1155" s="4">
        <v>0</v>
      </c>
      <c r="AN1155" s="4">
        <v>0</v>
      </c>
      <c r="AO1155" s="4">
        <v>0</v>
      </c>
      <c r="AP1155" s="3" t="s">
        <v>58</v>
      </c>
      <c r="AQ1155" s="3" t="s">
        <v>86</v>
      </c>
      <c r="AR1155" s="6" t="str">
        <f>HYPERLINK("http://catalog.hathitrust.org/Record/009441864","HathiTrust Record")</f>
        <v>HathiTrust Record</v>
      </c>
      <c r="AS1155" s="6" t="str">
        <f>HYPERLINK("https://creighton-primo.hosted.exlibrisgroup.com/primo-explore/search?tab=default_tab&amp;search_scope=EVERYTHING&amp;vid=01CRU&amp;lang=en_US&amp;offset=0&amp;query=any,contains,991001809999702656","Catalog Record")</f>
        <v>Catalog Record</v>
      </c>
      <c r="AT1155" s="6" t="str">
        <f>HYPERLINK("http://www.worldcat.org/oclc/22733166","WorldCat Record")</f>
        <v>WorldCat Record</v>
      </c>
      <c r="AU1155" s="3" t="s">
        <v>14884</v>
      </c>
      <c r="AV1155" s="3" t="s">
        <v>14885</v>
      </c>
      <c r="AW1155" s="3" t="s">
        <v>14886</v>
      </c>
      <c r="AX1155" s="3" t="s">
        <v>14886</v>
      </c>
      <c r="AY1155" s="3" t="s">
        <v>14887</v>
      </c>
      <c r="AZ1155" s="3" t="s">
        <v>74</v>
      </c>
      <c r="BB1155" s="3" t="s">
        <v>14888</v>
      </c>
      <c r="BC1155" s="3" t="s">
        <v>14889</v>
      </c>
      <c r="BD1155" s="3" t="s">
        <v>14890</v>
      </c>
    </row>
    <row r="1156" spans="1:56" ht="42.75" customHeight="1" x14ac:dyDescent="0.25">
      <c r="A1156" s="7" t="s">
        <v>58</v>
      </c>
      <c r="B1156" s="2" t="s">
        <v>14891</v>
      </c>
      <c r="C1156" s="2" t="s">
        <v>14892</v>
      </c>
      <c r="D1156" s="2" t="s">
        <v>14893</v>
      </c>
      <c r="F1156" s="3" t="s">
        <v>58</v>
      </c>
      <c r="G1156" s="3" t="s">
        <v>59</v>
      </c>
      <c r="H1156" s="3" t="s">
        <v>58</v>
      </c>
      <c r="I1156" s="3" t="s">
        <v>58</v>
      </c>
      <c r="J1156" s="3" t="s">
        <v>60</v>
      </c>
      <c r="K1156" s="2" t="s">
        <v>14894</v>
      </c>
      <c r="L1156" s="2" t="s">
        <v>14895</v>
      </c>
      <c r="M1156" s="3" t="s">
        <v>737</v>
      </c>
      <c r="N1156" s="2" t="s">
        <v>14896</v>
      </c>
      <c r="O1156" s="3" t="s">
        <v>64</v>
      </c>
      <c r="P1156" s="3" t="s">
        <v>99</v>
      </c>
      <c r="R1156" s="3" t="s">
        <v>67</v>
      </c>
      <c r="S1156" s="4">
        <v>10</v>
      </c>
      <c r="T1156" s="4">
        <v>10</v>
      </c>
      <c r="U1156" s="5" t="s">
        <v>14897</v>
      </c>
      <c r="V1156" s="5" t="s">
        <v>14897</v>
      </c>
      <c r="W1156" s="5" t="s">
        <v>13535</v>
      </c>
      <c r="X1156" s="5" t="s">
        <v>13535</v>
      </c>
      <c r="Y1156" s="4">
        <v>40</v>
      </c>
      <c r="Z1156" s="4">
        <v>37</v>
      </c>
      <c r="AA1156" s="4">
        <v>177</v>
      </c>
      <c r="AB1156" s="4">
        <v>1</v>
      </c>
      <c r="AC1156" s="4">
        <v>5</v>
      </c>
      <c r="AD1156" s="4">
        <v>1</v>
      </c>
      <c r="AE1156" s="4">
        <v>2</v>
      </c>
      <c r="AF1156" s="4">
        <v>1</v>
      </c>
      <c r="AG1156" s="4">
        <v>1</v>
      </c>
      <c r="AH1156" s="4">
        <v>0</v>
      </c>
      <c r="AI1156" s="4">
        <v>0</v>
      </c>
      <c r="AJ1156" s="4">
        <v>1</v>
      </c>
      <c r="AK1156" s="4">
        <v>1</v>
      </c>
      <c r="AL1156" s="4">
        <v>0</v>
      </c>
      <c r="AM1156" s="4">
        <v>1</v>
      </c>
      <c r="AN1156" s="4">
        <v>0</v>
      </c>
      <c r="AO1156" s="4">
        <v>0</v>
      </c>
      <c r="AP1156" s="3" t="s">
        <v>58</v>
      </c>
      <c r="AQ1156" s="3" t="s">
        <v>58</v>
      </c>
      <c r="AS1156" s="6" t="str">
        <f>HYPERLINK("https://creighton-primo.hosted.exlibrisgroup.com/primo-explore/search?tab=default_tab&amp;search_scope=EVERYTHING&amp;vid=01CRU&amp;lang=en_US&amp;offset=0&amp;query=any,contains,991003930489702656","Catalog Record")</f>
        <v>Catalog Record</v>
      </c>
      <c r="AT1156" s="6" t="str">
        <f>HYPERLINK("http://www.worldcat.org/oclc/30621895","WorldCat Record")</f>
        <v>WorldCat Record</v>
      </c>
      <c r="AU1156" s="3" t="s">
        <v>14898</v>
      </c>
      <c r="AV1156" s="3" t="s">
        <v>14899</v>
      </c>
      <c r="AW1156" s="3" t="s">
        <v>14900</v>
      </c>
      <c r="AX1156" s="3" t="s">
        <v>14900</v>
      </c>
      <c r="AY1156" s="3" t="s">
        <v>14901</v>
      </c>
      <c r="AZ1156" s="3" t="s">
        <v>74</v>
      </c>
      <c r="BB1156" s="3" t="s">
        <v>14902</v>
      </c>
      <c r="BC1156" s="3" t="s">
        <v>14903</v>
      </c>
      <c r="BD1156" s="3" t="s">
        <v>14904</v>
      </c>
    </row>
    <row r="1157" spans="1:56" ht="42.75" customHeight="1" x14ac:dyDescent="0.25">
      <c r="A1157" s="7" t="s">
        <v>58</v>
      </c>
      <c r="B1157" s="2" t="s">
        <v>14905</v>
      </c>
      <c r="C1157" s="2" t="s">
        <v>14906</v>
      </c>
      <c r="D1157" s="2" t="s">
        <v>14907</v>
      </c>
      <c r="F1157" s="3" t="s">
        <v>58</v>
      </c>
      <c r="G1157" s="3" t="s">
        <v>59</v>
      </c>
      <c r="H1157" s="3" t="s">
        <v>86</v>
      </c>
      <c r="I1157" s="3" t="s">
        <v>58</v>
      </c>
      <c r="J1157" s="3" t="s">
        <v>60</v>
      </c>
      <c r="K1157" s="2" t="s">
        <v>14908</v>
      </c>
      <c r="L1157" s="2" t="s">
        <v>14909</v>
      </c>
      <c r="M1157" s="3" t="s">
        <v>207</v>
      </c>
      <c r="O1157" s="3" t="s">
        <v>64</v>
      </c>
      <c r="P1157" s="3" t="s">
        <v>5239</v>
      </c>
      <c r="R1157" s="3" t="s">
        <v>67</v>
      </c>
      <c r="S1157" s="4">
        <v>7</v>
      </c>
      <c r="T1157" s="4">
        <v>13</v>
      </c>
      <c r="U1157" s="5" t="s">
        <v>14910</v>
      </c>
      <c r="V1157" s="5" t="s">
        <v>14910</v>
      </c>
      <c r="W1157" s="5" t="s">
        <v>117</v>
      </c>
      <c r="X1157" s="5" t="s">
        <v>117</v>
      </c>
      <c r="Y1157" s="4">
        <v>57</v>
      </c>
      <c r="Z1157" s="4">
        <v>43</v>
      </c>
      <c r="AA1157" s="4">
        <v>104</v>
      </c>
      <c r="AB1157" s="4">
        <v>3</v>
      </c>
      <c r="AC1157" s="4">
        <v>3</v>
      </c>
      <c r="AD1157" s="4">
        <v>2</v>
      </c>
      <c r="AE1157" s="4">
        <v>4</v>
      </c>
      <c r="AF1157" s="4">
        <v>1</v>
      </c>
      <c r="AG1157" s="4">
        <v>2</v>
      </c>
      <c r="AH1157" s="4">
        <v>0</v>
      </c>
      <c r="AI1157" s="4">
        <v>0</v>
      </c>
      <c r="AJ1157" s="4">
        <v>0</v>
      </c>
      <c r="AK1157" s="4">
        <v>2</v>
      </c>
      <c r="AL1157" s="4">
        <v>1</v>
      </c>
      <c r="AM1157" s="4">
        <v>1</v>
      </c>
      <c r="AN1157" s="4">
        <v>0</v>
      </c>
      <c r="AO1157" s="4">
        <v>0</v>
      </c>
      <c r="AP1157" s="3" t="s">
        <v>58</v>
      </c>
      <c r="AQ1157" s="3" t="s">
        <v>58</v>
      </c>
      <c r="AS1157" s="6" t="str">
        <f>HYPERLINK("https://creighton-primo.hosted.exlibrisgroup.com/primo-explore/search?tab=default_tab&amp;search_scope=EVERYTHING&amp;vid=01CRU&amp;lang=en_US&amp;offset=0&amp;query=any,contains,991001797919702656","Catalog Record")</f>
        <v>Catalog Record</v>
      </c>
      <c r="AT1157" s="6" t="str">
        <f>HYPERLINK("http://www.worldcat.org/oclc/7823143","WorldCat Record")</f>
        <v>WorldCat Record</v>
      </c>
      <c r="AU1157" s="3" t="s">
        <v>14911</v>
      </c>
      <c r="AV1157" s="3" t="s">
        <v>14912</v>
      </c>
      <c r="AW1157" s="3" t="s">
        <v>14913</v>
      </c>
      <c r="AX1157" s="3" t="s">
        <v>14913</v>
      </c>
      <c r="AY1157" s="3" t="s">
        <v>14914</v>
      </c>
      <c r="AZ1157" s="3" t="s">
        <v>74</v>
      </c>
      <c r="BB1157" s="3" t="s">
        <v>14915</v>
      </c>
      <c r="BC1157" s="3" t="s">
        <v>14916</v>
      </c>
      <c r="BD1157" s="3" t="s">
        <v>14917</v>
      </c>
    </row>
    <row r="1158" spans="1:56" ht="42.75" customHeight="1" x14ac:dyDescent="0.25">
      <c r="A1158" s="7" t="s">
        <v>58</v>
      </c>
      <c r="B1158" s="2" t="s">
        <v>14918</v>
      </c>
      <c r="C1158" s="2" t="s">
        <v>14919</v>
      </c>
      <c r="D1158" s="2" t="s">
        <v>14920</v>
      </c>
      <c r="F1158" s="3" t="s">
        <v>58</v>
      </c>
      <c r="G1158" s="3" t="s">
        <v>59</v>
      </c>
      <c r="H1158" s="3" t="s">
        <v>58</v>
      </c>
      <c r="I1158" s="3" t="s">
        <v>58</v>
      </c>
      <c r="J1158" s="3" t="s">
        <v>60</v>
      </c>
      <c r="K1158" s="2" t="s">
        <v>14921</v>
      </c>
      <c r="L1158" s="2" t="s">
        <v>14922</v>
      </c>
      <c r="M1158" s="3" t="s">
        <v>942</v>
      </c>
      <c r="O1158" s="3" t="s">
        <v>64</v>
      </c>
      <c r="P1158" s="3" t="s">
        <v>316</v>
      </c>
      <c r="R1158" s="3" t="s">
        <v>67</v>
      </c>
      <c r="S1158" s="4">
        <v>11</v>
      </c>
      <c r="T1158" s="4">
        <v>11</v>
      </c>
      <c r="U1158" s="5" t="s">
        <v>14923</v>
      </c>
      <c r="V1158" s="5" t="s">
        <v>14923</v>
      </c>
      <c r="W1158" s="5" t="s">
        <v>13737</v>
      </c>
      <c r="X1158" s="5" t="s">
        <v>13737</v>
      </c>
      <c r="Y1158" s="4">
        <v>478</v>
      </c>
      <c r="Z1158" s="4">
        <v>436</v>
      </c>
      <c r="AA1158" s="4">
        <v>1198</v>
      </c>
      <c r="AB1158" s="4">
        <v>3</v>
      </c>
      <c r="AC1158" s="4">
        <v>4</v>
      </c>
      <c r="AD1158" s="4">
        <v>22</v>
      </c>
      <c r="AE1158" s="4">
        <v>38</v>
      </c>
      <c r="AF1158" s="4">
        <v>10</v>
      </c>
      <c r="AG1158" s="4">
        <v>20</v>
      </c>
      <c r="AH1158" s="4">
        <v>6</v>
      </c>
      <c r="AI1158" s="4">
        <v>9</v>
      </c>
      <c r="AJ1158" s="4">
        <v>11</v>
      </c>
      <c r="AK1158" s="4">
        <v>18</v>
      </c>
      <c r="AL1158" s="4">
        <v>2</v>
      </c>
      <c r="AM1158" s="4">
        <v>3</v>
      </c>
      <c r="AN1158" s="4">
        <v>0</v>
      </c>
      <c r="AO1158" s="4">
        <v>0</v>
      </c>
      <c r="AP1158" s="3" t="s">
        <v>58</v>
      </c>
      <c r="AQ1158" s="3" t="s">
        <v>58</v>
      </c>
      <c r="AS1158" s="6" t="str">
        <f>HYPERLINK("https://creighton-primo.hosted.exlibrisgroup.com/primo-explore/search?tab=default_tab&amp;search_scope=EVERYTHING&amp;vid=01CRU&amp;lang=en_US&amp;offset=0&amp;query=any,contains,991003298549702656","Catalog Record")</f>
        <v>Catalog Record</v>
      </c>
      <c r="AT1158" s="6" t="str">
        <f>HYPERLINK("http://www.worldcat.org/oclc/40776847","WorldCat Record")</f>
        <v>WorldCat Record</v>
      </c>
      <c r="AU1158" s="3" t="s">
        <v>14924</v>
      </c>
      <c r="AV1158" s="3" t="s">
        <v>14925</v>
      </c>
      <c r="AW1158" s="3" t="s">
        <v>14926</v>
      </c>
      <c r="AX1158" s="3" t="s">
        <v>14926</v>
      </c>
      <c r="AY1158" s="3" t="s">
        <v>14927</v>
      </c>
      <c r="AZ1158" s="3" t="s">
        <v>74</v>
      </c>
      <c r="BB1158" s="3" t="s">
        <v>14928</v>
      </c>
      <c r="BC1158" s="3" t="s">
        <v>14929</v>
      </c>
      <c r="BD1158" s="3" t="s">
        <v>14930</v>
      </c>
    </row>
    <row r="1159" spans="1:56" ht="42.75" customHeight="1" x14ac:dyDescent="0.25">
      <c r="A1159" s="7" t="s">
        <v>58</v>
      </c>
      <c r="B1159" s="2" t="s">
        <v>14931</v>
      </c>
      <c r="C1159" s="2" t="s">
        <v>14932</v>
      </c>
      <c r="D1159" s="2" t="s">
        <v>14933</v>
      </c>
      <c r="F1159" s="3" t="s">
        <v>58</v>
      </c>
      <c r="G1159" s="3" t="s">
        <v>59</v>
      </c>
      <c r="H1159" s="3" t="s">
        <v>58</v>
      </c>
      <c r="I1159" s="3" t="s">
        <v>58</v>
      </c>
      <c r="J1159" s="3" t="s">
        <v>60</v>
      </c>
      <c r="K1159" s="2" t="s">
        <v>14934</v>
      </c>
      <c r="L1159" s="2" t="s">
        <v>8094</v>
      </c>
      <c r="M1159" s="3" t="s">
        <v>98</v>
      </c>
      <c r="O1159" s="3" t="s">
        <v>64</v>
      </c>
      <c r="P1159" s="3" t="s">
        <v>115</v>
      </c>
      <c r="R1159" s="3" t="s">
        <v>67</v>
      </c>
      <c r="S1159" s="4">
        <v>22</v>
      </c>
      <c r="T1159" s="4">
        <v>22</v>
      </c>
      <c r="U1159" s="5" t="s">
        <v>14935</v>
      </c>
      <c r="V1159" s="5" t="s">
        <v>14935</v>
      </c>
      <c r="W1159" s="5" t="s">
        <v>8352</v>
      </c>
      <c r="X1159" s="5" t="s">
        <v>8352</v>
      </c>
      <c r="Y1159" s="4">
        <v>319</v>
      </c>
      <c r="Z1159" s="4">
        <v>249</v>
      </c>
      <c r="AA1159" s="4">
        <v>249</v>
      </c>
      <c r="AB1159" s="4">
        <v>3</v>
      </c>
      <c r="AC1159" s="4">
        <v>3</v>
      </c>
      <c r="AD1159" s="4">
        <v>11</v>
      </c>
      <c r="AE1159" s="4">
        <v>11</v>
      </c>
      <c r="AF1159" s="4">
        <v>3</v>
      </c>
      <c r="AG1159" s="4">
        <v>3</v>
      </c>
      <c r="AH1159" s="4">
        <v>1</v>
      </c>
      <c r="AI1159" s="4">
        <v>1</v>
      </c>
      <c r="AJ1159" s="4">
        <v>8</v>
      </c>
      <c r="AK1159" s="4">
        <v>8</v>
      </c>
      <c r="AL1159" s="4">
        <v>2</v>
      </c>
      <c r="AM1159" s="4">
        <v>2</v>
      </c>
      <c r="AN1159" s="4">
        <v>0</v>
      </c>
      <c r="AO1159" s="4">
        <v>0</v>
      </c>
      <c r="AP1159" s="3" t="s">
        <v>58</v>
      </c>
      <c r="AQ1159" s="3" t="s">
        <v>58</v>
      </c>
      <c r="AS1159" s="6" t="str">
        <f>HYPERLINK("https://creighton-primo.hosted.exlibrisgroup.com/primo-explore/search?tab=default_tab&amp;search_scope=EVERYTHING&amp;vid=01CRU&amp;lang=en_US&amp;offset=0&amp;query=any,contains,991001232849702656","Catalog Record")</f>
        <v>Catalog Record</v>
      </c>
      <c r="AT1159" s="6" t="str">
        <f>HYPERLINK("http://www.worldcat.org/oclc/17548514","WorldCat Record")</f>
        <v>WorldCat Record</v>
      </c>
      <c r="AU1159" s="3" t="s">
        <v>14936</v>
      </c>
      <c r="AV1159" s="3" t="s">
        <v>14937</v>
      </c>
      <c r="AW1159" s="3" t="s">
        <v>14938</v>
      </c>
      <c r="AX1159" s="3" t="s">
        <v>14938</v>
      </c>
      <c r="AY1159" s="3" t="s">
        <v>14939</v>
      </c>
      <c r="AZ1159" s="3" t="s">
        <v>74</v>
      </c>
      <c r="BB1159" s="3" t="s">
        <v>14940</v>
      </c>
      <c r="BC1159" s="3" t="s">
        <v>14941</v>
      </c>
      <c r="BD1159" s="3" t="s">
        <v>14942</v>
      </c>
    </row>
    <row r="1160" spans="1:56" ht="42.75" customHeight="1" x14ac:dyDescent="0.25">
      <c r="A1160" s="7" t="s">
        <v>58</v>
      </c>
      <c r="B1160" s="2" t="s">
        <v>14943</v>
      </c>
      <c r="C1160" s="2" t="s">
        <v>14944</v>
      </c>
      <c r="D1160" s="2" t="s">
        <v>14945</v>
      </c>
      <c r="F1160" s="3" t="s">
        <v>58</v>
      </c>
      <c r="G1160" s="3" t="s">
        <v>59</v>
      </c>
      <c r="H1160" s="3" t="s">
        <v>58</v>
      </c>
      <c r="I1160" s="3" t="s">
        <v>58</v>
      </c>
      <c r="J1160" s="3" t="s">
        <v>60</v>
      </c>
      <c r="K1160" s="2" t="s">
        <v>14946</v>
      </c>
      <c r="L1160" s="2" t="s">
        <v>14947</v>
      </c>
      <c r="M1160" s="3" t="s">
        <v>1361</v>
      </c>
      <c r="N1160" s="2" t="s">
        <v>1844</v>
      </c>
      <c r="O1160" s="3" t="s">
        <v>64</v>
      </c>
      <c r="P1160" s="3" t="s">
        <v>145</v>
      </c>
      <c r="R1160" s="3" t="s">
        <v>67</v>
      </c>
      <c r="S1160" s="4">
        <v>1</v>
      </c>
      <c r="T1160" s="4">
        <v>1</v>
      </c>
      <c r="U1160" s="5" t="s">
        <v>13511</v>
      </c>
      <c r="V1160" s="5" t="s">
        <v>13511</v>
      </c>
      <c r="W1160" s="5" t="s">
        <v>13511</v>
      </c>
      <c r="X1160" s="5" t="s">
        <v>13511</v>
      </c>
      <c r="Y1160" s="4">
        <v>617</v>
      </c>
      <c r="Z1160" s="4">
        <v>525</v>
      </c>
      <c r="AA1160" s="4">
        <v>600</v>
      </c>
      <c r="AB1160" s="4">
        <v>2</v>
      </c>
      <c r="AC1160" s="4">
        <v>3</v>
      </c>
      <c r="AD1160" s="4">
        <v>17</v>
      </c>
      <c r="AE1160" s="4">
        <v>21</v>
      </c>
      <c r="AF1160" s="4">
        <v>8</v>
      </c>
      <c r="AG1160" s="4">
        <v>10</v>
      </c>
      <c r="AH1160" s="4">
        <v>1</v>
      </c>
      <c r="AI1160" s="4">
        <v>1</v>
      </c>
      <c r="AJ1160" s="4">
        <v>12</v>
      </c>
      <c r="AK1160" s="4">
        <v>13</v>
      </c>
      <c r="AL1160" s="4">
        <v>1</v>
      </c>
      <c r="AM1160" s="4">
        <v>2</v>
      </c>
      <c r="AN1160" s="4">
        <v>0</v>
      </c>
      <c r="AO1160" s="4">
        <v>0</v>
      </c>
      <c r="AP1160" s="3" t="s">
        <v>58</v>
      </c>
      <c r="AQ1160" s="3" t="s">
        <v>58</v>
      </c>
      <c r="AS1160" s="6" t="str">
        <f>HYPERLINK("https://creighton-primo.hosted.exlibrisgroup.com/primo-explore/search?tab=default_tab&amp;search_scope=EVERYTHING&amp;vid=01CRU&amp;lang=en_US&amp;offset=0&amp;query=any,contains,991005199919702656","Catalog Record")</f>
        <v>Catalog Record</v>
      </c>
      <c r="AT1160" s="6" t="str">
        <f>HYPERLINK("http://www.worldcat.org/oclc/65195324","WorldCat Record")</f>
        <v>WorldCat Record</v>
      </c>
      <c r="AU1160" s="3" t="s">
        <v>14948</v>
      </c>
      <c r="AV1160" s="3" t="s">
        <v>14949</v>
      </c>
      <c r="AW1160" s="3" t="s">
        <v>14950</v>
      </c>
      <c r="AX1160" s="3" t="s">
        <v>14950</v>
      </c>
      <c r="AY1160" s="3" t="s">
        <v>14951</v>
      </c>
      <c r="AZ1160" s="3" t="s">
        <v>74</v>
      </c>
      <c r="BB1160" s="3" t="s">
        <v>14952</v>
      </c>
      <c r="BC1160" s="3" t="s">
        <v>14953</v>
      </c>
      <c r="BD1160" s="3" t="s">
        <v>14954</v>
      </c>
    </row>
    <row r="1161" spans="1:56" ht="42.75" customHeight="1" x14ac:dyDescent="0.25">
      <c r="A1161" s="7" t="s">
        <v>58</v>
      </c>
      <c r="B1161" s="2" t="s">
        <v>14955</v>
      </c>
      <c r="C1161" s="2" t="s">
        <v>14956</v>
      </c>
      <c r="D1161" s="2" t="s">
        <v>14957</v>
      </c>
      <c r="F1161" s="3" t="s">
        <v>58</v>
      </c>
      <c r="G1161" s="3" t="s">
        <v>59</v>
      </c>
      <c r="H1161" s="3" t="s">
        <v>58</v>
      </c>
      <c r="I1161" s="3" t="s">
        <v>58</v>
      </c>
      <c r="J1161" s="3" t="s">
        <v>60</v>
      </c>
      <c r="K1161" s="2" t="s">
        <v>14958</v>
      </c>
      <c r="L1161" s="2" t="s">
        <v>9586</v>
      </c>
      <c r="M1161" s="3" t="s">
        <v>1361</v>
      </c>
      <c r="O1161" s="3" t="s">
        <v>64</v>
      </c>
      <c r="P1161" s="3" t="s">
        <v>115</v>
      </c>
      <c r="R1161" s="3" t="s">
        <v>67</v>
      </c>
      <c r="S1161" s="4">
        <v>1</v>
      </c>
      <c r="T1161" s="4">
        <v>1</v>
      </c>
      <c r="U1161" s="5" t="s">
        <v>14959</v>
      </c>
      <c r="V1161" s="5" t="s">
        <v>14959</v>
      </c>
      <c r="W1161" s="5" t="s">
        <v>14959</v>
      </c>
      <c r="X1161" s="5" t="s">
        <v>14959</v>
      </c>
      <c r="Y1161" s="4">
        <v>205</v>
      </c>
      <c r="Z1161" s="4">
        <v>151</v>
      </c>
      <c r="AA1161" s="4">
        <v>542</v>
      </c>
      <c r="AB1161" s="4">
        <v>2</v>
      </c>
      <c r="AC1161" s="4">
        <v>5</v>
      </c>
      <c r="AD1161" s="4">
        <v>7</v>
      </c>
      <c r="AE1161" s="4">
        <v>25</v>
      </c>
      <c r="AF1161" s="4">
        <v>3</v>
      </c>
      <c r="AG1161" s="4">
        <v>10</v>
      </c>
      <c r="AH1161" s="4">
        <v>0</v>
      </c>
      <c r="AI1161" s="4">
        <v>5</v>
      </c>
      <c r="AJ1161" s="4">
        <v>4</v>
      </c>
      <c r="AK1161" s="4">
        <v>8</v>
      </c>
      <c r="AL1161" s="4">
        <v>1</v>
      </c>
      <c r="AM1161" s="4">
        <v>4</v>
      </c>
      <c r="AN1161" s="4">
        <v>0</v>
      </c>
      <c r="AO1161" s="4">
        <v>1</v>
      </c>
      <c r="AP1161" s="3" t="s">
        <v>58</v>
      </c>
      <c r="AQ1161" s="3" t="s">
        <v>58</v>
      </c>
      <c r="AS1161" s="6" t="str">
        <f>HYPERLINK("https://creighton-primo.hosted.exlibrisgroup.com/primo-explore/search?tab=default_tab&amp;search_scope=EVERYTHING&amp;vid=01CRU&amp;lang=en_US&amp;offset=0&amp;query=any,contains,991000153649702656","Catalog Record")</f>
        <v>Catalog Record</v>
      </c>
      <c r="AT1161" s="6" t="str">
        <f>HYPERLINK("http://www.worldcat.org/oclc/66524998","WorldCat Record")</f>
        <v>WorldCat Record</v>
      </c>
      <c r="AU1161" s="3" t="s">
        <v>14960</v>
      </c>
      <c r="AV1161" s="3" t="s">
        <v>14961</v>
      </c>
      <c r="AW1161" s="3" t="s">
        <v>14962</v>
      </c>
      <c r="AX1161" s="3" t="s">
        <v>14962</v>
      </c>
      <c r="AY1161" s="3" t="s">
        <v>14963</v>
      </c>
      <c r="AZ1161" s="3" t="s">
        <v>74</v>
      </c>
      <c r="BB1161" s="3" t="s">
        <v>14964</v>
      </c>
      <c r="BC1161" s="3" t="s">
        <v>14965</v>
      </c>
      <c r="BD1161" s="3" t="s">
        <v>14966</v>
      </c>
    </row>
    <row r="1162" spans="1:56" ht="42.75" customHeight="1" x14ac:dyDescent="0.25">
      <c r="A1162" s="7" t="s">
        <v>58</v>
      </c>
      <c r="B1162" s="2" t="s">
        <v>14967</v>
      </c>
      <c r="C1162" s="2" t="s">
        <v>14968</v>
      </c>
      <c r="D1162" s="2" t="s">
        <v>14969</v>
      </c>
      <c r="F1162" s="3" t="s">
        <v>58</v>
      </c>
      <c r="G1162" s="3" t="s">
        <v>59</v>
      </c>
      <c r="H1162" s="3" t="s">
        <v>58</v>
      </c>
      <c r="I1162" s="3" t="s">
        <v>58</v>
      </c>
      <c r="J1162" s="3" t="s">
        <v>60</v>
      </c>
      <c r="K1162" s="2" t="s">
        <v>14970</v>
      </c>
      <c r="L1162" s="2" t="s">
        <v>14971</v>
      </c>
      <c r="M1162" s="3" t="s">
        <v>144</v>
      </c>
      <c r="O1162" s="3" t="s">
        <v>64</v>
      </c>
      <c r="P1162" s="3" t="s">
        <v>3070</v>
      </c>
      <c r="R1162" s="3" t="s">
        <v>67</v>
      </c>
      <c r="S1162" s="4">
        <v>1</v>
      </c>
      <c r="T1162" s="4">
        <v>1</v>
      </c>
      <c r="U1162" s="5" t="s">
        <v>1911</v>
      </c>
      <c r="V1162" s="5" t="s">
        <v>1911</v>
      </c>
      <c r="W1162" s="5" t="s">
        <v>1911</v>
      </c>
      <c r="X1162" s="5" t="s">
        <v>1911</v>
      </c>
      <c r="Y1162" s="4">
        <v>42</v>
      </c>
      <c r="Z1162" s="4">
        <v>28</v>
      </c>
      <c r="AA1162" s="4">
        <v>28</v>
      </c>
      <c r="AB1162" s="4">
        <v>1</v>
      </c>
      <c r="AC1162" s="4">
        <v>1</v>
      </c>
      <c r="AD1162" s="4">
        <v>1</v>
      </c>
      <c r="AE1162" s="4">
        <v>1</v>
      </c>
      <c r="AF1162" s="4">
        <v>0</v>
      </c>
      <c r="AG1162" s="4">
        <v>0</v>
      </c>
      <c r="AH1162" s="4">
        <v>1</v>
      </c>
      <c r="AI1162" s="4">
        <v>1</v>
      </c>
      <c r="AJ1162" s="4">
        <v>0</v>
      </c>
      <c r="AK1162" s="4">
        <v>0</v>
      </c>
      <c r="AL1162" s="4">
        <v>0</v>
      </c>
      <c r="AM1162" s="4">
        <v>0</v>
      </c>
      <c r="AN1162" s="4">
        <v>0</v>
      </c>
      <c r="AO1162" s="4">
        <v>0</v>
      </c>
      <c r="AP1162" s="3" t="s">
        <v>58</v>
      </c>
      <c r="AQ1162" s="3" t="s">
        <v>58</v>
      </c>
      <c r="AS1162" s="6" t="str">
        <f>HYPERLINK("https://creighton-primo.hosted.exlibrisgroup.com/primo-explore/search?tab=default_tab&amp;search_scope=EVERYTHING&amp;vid=01CRU&amp;lang=en_US&amp;offset=0&amp;query=any,contains,991005349069702656","Catalog Record")</f>
        <v>Catalog Record</v>
      </c>
      <c r="AT1162" s="6" t="str">
        <f>HYPERLINK("http://www.worldcat.org/oclc/36433529","WorldCat Record")</f>
        <v>WorldCat Record</v>
      </c>
      <c r="AU1162" s="3" t="s">
        <v>14972</v>
      </c>
      <c r="AV1162" s="3" t="s">
        <v>14973</v>
      </c>
      <c r="AW1162" s="3" t="s">
        <v>14974</v>
      </c>
      <c r="AX1162" s="3" t="s">
        <v>14974</v>
      </c>
      <c r="AY1162" s="3" t="s">
        <v>14975</v>
      </c>
      <c r="AZ1162" s="3" t="s">
        <v>74</v>
      </c>
      <c r="BB1162" s="3" t="s">
        <v>14976</v>
      </c>
      <c r="BC1162" s="3" t="s">
        <v>14977</v>
      </c>
      <c r="BD1162" s="3" t="s">
        <v>14978</v>
      </c>
    </row>
    <row r="1163" spans="1:56" ht="42.75" customHeight="1" x14ac:dyDescent="0.25">
      <c r="A1163" s="7" t="s">
        <v>58</v>
      </c>
      <c r="B1163" s="2" t="s">
        <v>14979</v>
      </c>
      <c r="C1163" s="2" t="s">
        <v>14980</v>
      </c>
      <c r="D1163" s="2" t="s">
        <v>14981</v>
      </c>
      <c r="F1163" s="3" t="s">
        <v>58</v>
      </c>
      <c r="G1163" s="3" t="s">
        <v>59</v>
      </c>
      <c r="H1163" s="3" t="s">
        <v>58</v>
      </c>
      <c r="I1163" s="3" t="s">
        <v>58</v>
      </c>
      <c r="J1163" s="3" t="s">
        <v>60</v>
      </c>
      <c r="K1163" s="2" t="s">
        <v>14982</v>
      </c>
      <c r="L1163" s="2" t="s">
        <v>14983</v>
      </c>
      <c r="M1163" s="3" t="s">
        <v>996</v>
      </c>
      <c r="O1163" s="3" t="s">
        <v>64</v>
      </c>
      <c r="P1163" s="3" t="s">
        <v>254</v>
      </c>
      <c r="R1163" s="3" t="s">
        <v>67</v>
      </c>
      <c r="S1163" s="4">
        <v>12</v>
      </c>
      <c r="T1163" s="4">
        <v>12</v>
      </c>
      <c r="U1163" s="5" t="s">
        <v>6931</v>
      </c>
      <c r="V1163" s="5" t="s">
        <v>6931</v>
      </c>
      <c r="W1163" s="5" t="s">
        <v>7707</v>
      </c>
      <c r="X1163" s="5" t="s">
        <v>7707</v>
      </c>
      <c r="Y1163" s="4">
        <v>147</v>
      </c>
      <c r="Z1163" s="4">
        <v>120</v>
      </c>
      <c r="AA1163" s="4">
        <v>129</v>
      </c>
      <c r="AB1163" s="4">
        <v>1</v>
      </c>
      <c r="AC1163" s="4">
        <v>1</v>
      </c>
      <c r="AD1163" s="4">
        <v>0</v>
      </c>
      <c r="AE1163" s="4">
        <v>0</v>
      </c>
      <c r="AF1163" s="4">
        <v>0</v>
      </c>
      <c r="AG1163" s="4">
        <v>0</v>
      </c>
      <c r="AH1163" s="4">
        <v>0</v>
      </c>
      <c r="AI1163" s="4">
        <v>0</v>
      </c>
      <c r="AJ1163" s="4">
        <v>0</v>
      </c>
      <c r="AK1163" s="4">
        <v>0</v>
      </c>
      <c r="AL1163" s="4">
        <v>0</v>
      </c>
      <c r="AM1163" s="4">
        <v>0</v>
      </c>
      <c r="AN1163" s="4">
        <v>0</v>
      </c>
      <c r="AO1163" s="4">
        <v>0</v>
      </c>
      <c r="AP1163" s="3" t="s">
        <v>58</v>
      </c>
      <c r="AQ1163" s="3" t="s">
        <v>58</v>
      </c>
      <c r="AS1163" s="6" t="str">
        <f>HYPERLINK("https://creighton-primo.hosted.exlibrisgroup.com/primo-explore/search?tab=default_tab&amp;search_scope=EVERYTHING&amp;vid=01CRU&amp;lang=en_US&amp;offset=0&amp;query=any,contains,991003933799702656","Catalog Record")</f>
        <v>Catalog Record</v>
      </c>
      <c r="AT1163" s="6" t="str">
        <f>HYPERLINK("http://www.worldcat.org/oclc/43481761","WorldCat Record")</f>
        <v>WorldCat Record</v>
      </c>
      <c r="AU1163" s="3" t="s">
        <v>14984</v>
      </c>
      <c r="AV1163" s="3" t="s">
        <v>14985</v>
      </c>
      <c r="AW1163" s="3" t="s">
        <v>14986</v>
      </c>
      <c r="AX1163" s="3" t="s">
        <v>14986</v>
      </c>
      <c r="AY1163" s="3" t="s">
        <v>14987</v>
      </c>
      <c r="AZ1163" s="3" t="s">
        <v>74</v>
      </c>
      <c r="BB1163" s="3" t="s">
        <v>14988</v>
      </c>
      <c r="BC1163" s="3" t="s">
        <v>14989</v>
      </c>
      <c r="BD1163" s="3" t="s">
        <v>14990</v>
      </c>
    </row>
    <row r="1164" spans="1:56" ht="42.75" customHeight="1" x14ac:dyDescent="0.25">
      <c r="A1164" s="7" t="s">
        <v>58</v>
      </c>
      <c r="B1164" s="2" t="s">
        <v>14991</v>
      </c>
      <c r="C1164" s="2" t="s">
        <v>14992</v>
      </c>
      <c r="D1164" s="2" t="s">
        <v>14993</v>
      </c>
      <c r="F1164" s="3" t="s">
        <v>58</v>
      </c>
      <c r="G1164" s="3" t="s">
        <v>59</v>
      </c>
      <c r="H1164" s="3" t="s">
        <v>58</v>
      </c>
      <c r="I1164" s="3" t="s">
        <v>58</v>
      </c>
      <c r="J1164" s="3" t="s">
        <v>60</v>
      </c>
      <c r="K1164" s="2" t="s">
        <v>12509</v>
      </c>
      <c r="L1164" s="2" t="s">
        <v>14994</v>
      </c>
      <c r="M1164" s="3" t="s">
        <v>480</v>
      </c>
      <c r="O1164" s="3" t="s">
        <v>64</v>
      </c>
      <c r="P1164" s="3" t="s">
        <v>115</v>
      </c>
      <c r="R1164" s="3" t="s">
        <v>67</v>
      </c>
      <c r="S1164" s="4">
        <v>7</v>
      </c>
      <c r="T1164" s="4">
        <v>7</v>
      </c>
      <c r="U1164" s="5" t="s">
        <v>14995</v>
      </c>
      <c r="V1164" s="5" t="s">
        <v>14995</v>
      </c>
      <c r="W1164" s="5" t="s">
        <v>14996</v>
      </c>
      <c r="X1164" s="5" t="s">
        <v>14996</v>
      </c>
      <c r="Y1164" s="4">
        <v>389</v>
      </c>
      <c r="Z1164" s="4">
        <v>332</v>
      </c>
      <c r="AA1164" s="4">
        <v>342</v>
      </c>
      <c r="AB1164" s="4">
        <v>3</v>
      </c>
      <c r="AC1164" s="4">
        <v>3</v>
      </c>
      <c r="AD1164" s="4">
        <v>19</v>
      </c>
      <c r="AE1164" s="4">
        <v>19</v>
      </c>
      <c r="AF1164" s="4">
        <v>6</v>
      </c>
      <c r="AG1164" s="4">
        <v>6</v>
      </c>
      <c r="AH1164" s="4">
        <v>5</v>
      </c>
      <c r="AI1164" s="4">
        <v>5</v>
      </c>
      <c r="AJ1164" s="4">
        <v>10</v>
      </c>
      <c r="AK1164" s="4">
        <v>10</v>
      </c>
      <c r="AL1164" s="4">
        <v>2</v>
      </c>
      <c r="AM1164" s="4">
        <v>2</v>
      </c>
      <c r="AN1164" s="4">
        <v>0</v>
      </c>
      <c r="AO1164" s="4">
        <v>0</v>
      </c>
      <c r="AP1164" s="3" t="s">
        <v>58</v>
      </c>
      <c r="AQ1164" s="3" t="s">
        <v>86</v>
      </c>
      <c r="AR1164" s="6" t="str">
        <f>HYPERLINK("http://catalog.hathitrust.org/Record/001544256","HathiTrust Record")</f>
        <v>HathiTrust Record</v>
      </c>
      <c r="AS1164" s="6" t="str">
        <f>HYPERLINK("https://creighton-primo.hosted.exlibrisgroup.com/primo-explore/search?tab=default_tab&amp;search_scope=EVERYTHING&amp;vid=01CRU&amp;lang=en_US&amp;offset=0&amp;query=any,contains,991001462429702656","Catalog Record")</f>
        <v>Catalog Record</v>
      </c>
      <c r="AT1164" s="6" t="str">
        <f>HYPERLINK("http://www.worldcat.org/oclc/19456718","WorldCat Record")</f>
        <v>WorldCat Record</v>
      </c>
      <c r="AU1164" s="3" t="s">
        <v>14997</v>
      </c>
      <c r="AV1164" s="3" t="s">
        <v>14998</v>
      </c>
      <c r="AW1164" s="3" t="s">
        <v>14999</v>
      </c>
      <c r="AX1164" s="3" t="s">
        <v>14999</v>
      </c>
      <c r="AY1164" s="3" t="s">
        <v>15000</v>
      </c>
      <c r="AZ1164" s="3" t="s">
        <v>74</v>
      </c>
      <c r="BB1164" s="3" t="s">
        <v>15001</v>
      </c>
      <c r="BC1164" s="3" t="s">
        <v>15002</v>
      </c>
      <c r="BD1164" s="3" t="s">
        <v>15003</v>
      </c>
    </row>
    <row r="1165" spans="1:56" ht="42.75" customHeight="1" x14ac:dyDescent="0.25">
      <c r="A1165" s="7" t="s">
        <v>58</v>
      </c>
      <c r="B1165" s="2" t="s">
        <v>15004</v>
      </c>
      <c r="C1165" s="2" t="s">
        <v>15005</v>
      </c>
      <c r="D1165" s="2" t="s">
        <v>15006</v>
      </c>
      <c r="F1165" s="3" t="s">
        <v>58</v>
      </c>
      <c r="G1165" s="3" t="s">
        <v>59</v>
      </c>
      <c r="H1165" s="3" t="s">
        <v>58</v>
      </c>
      <c r="I1165" s="3" t="s">
        <v>58</v>
      </c>
      <c r="J1165" s="3" t="s">
        <v>60</v>
      </c>
      <c r="K1165" s="2" t="s">
        <v>12007</v>
      </c>
      <c r="L1165" s="2" t="s">
        <v>8649</v>
      </c>
      <c r="M1165" s="3" t="s">
        <v>371</v>
      </c>
      <c r="N1165" s="2" t="s">
        <v>15007</v>
      </c>
      <c r="O1165" s="3" t="s">
        <v>64</v>
      </c>
      <c r="P1165" s="3" t="s">
        <v>115</v>
      </c>
      <c r="Q1165" s="2" t="s">
        <v>15008</v>
      </c>
      <c r="R1165" s="3" t="s">
        <v>67</v>
      </c>
      <c r="S1165" s="4">
        <v>31</v>
      </c>
      <c r="T1165" s="4">
        <v>31</v>
      </c>
      <c r="U1165" s="5" t="s">
        <v>11770</v>
      </c>
      <c r="V1165" s="5" t="s">
        <v>11770</v>
      </c>
      <c r="W1165" s="5" t="s">
        <v>14364</v>
      </c>
      <c r="X1165" s="5" t="s">
        <v>14364</v>
      </c>
      <c r="Y1165" s="4">
        <v>390</v>
      </c>
      <c r="Z1165" s="4">
        <v>297</v>
      </c>
      <c r="AA1165" s="4">
        <v>595</v>
      </c>
      <c r="AB1165" s="4">
        <v>3</v>
      </c>
      <c r="AC1165" s="4">
        <v>5</v>
      </c>
      <c r="AD1165" s="4">
        <v>12</v>
      </c>
      <c r="AE1165" s="4">
        <v>28</v>
      </c>
      <c r="AF1165" s="4">
        <v>7</v>
      </c>
      <c r="AG1165" s="4">
        <v>10</v>
      </c>
      <c r="AH1165" s="4">
        <v>0</v>
      </c>
      <c r="AI1165" s="4">
        <v>6</v>
      </c>
      <c r="AJ1165" s="4">
        <v>7</v>
      </c>
      <c r="AK1165" s="4">
        <v>14</v>
      </c>
      <c r="AL1165" s="4">
        <v>2</v>
      </c>
      <c r="AM1165" s="4">
        <v>4</v>
      </c>
      <c r="AN1165" s="4">
        <v>0</v>
      </c>
      <c r="AO1165" s="4">
        <v>0</v>
      </c>
      <c r="AP1165" s="3" t="s">
        <v>58</v>
      </c>
      <c r="AQ1165" s="3" t="s">
        <v>58</v>
      </c>
      <c r="AS1165" s="6" t="str">
        <f>HYPERLINK("https://creighton-primo.hosted.exlibrisgroup.com/primo-explore/search?tab=default_tab&amp;search_scope=EVERYTHING&amp;vid=01CRU&amp;lang=en_US&amp;offset=0&amp;query=any,contains,991000783319702656","Catalog Record")</f>
        <v>Catalog Record</v>
      </c>
      <c r="AT1165" s="6" t="str">
        <f>HYPERLINK("http://www.worldcat.org/oclc/13120999","WorldCat Record")</f>
        <v>WorldCat Record</v>
      </c>
      <c r="AU1165" s="3" t="s">
        <v>15009</v>
      </c>
      <c r="AV1165" s="3" t="s">
        <v>15010</v>
      </c>
      <c r="AW1165" s="3" t="s">
        <v>15011</v>
      </c>
      <c r="AX1165" s="3" t="s">
        <v>15011</v>
      </c>
      <c r="AY1165" s="3" t="s">
        <v>15012</v>
      </c>
      <c r="AZ1165" s="3" t="s">
        <v>74</v>
      </c>
      <c r="BB1165" s="3" t="s">
        <v>15013</v>
      </c>
      <c r="BC1165" s="3" t="s">
        <v>15014</v>
      </c>
      <c r="BD1165" s="3" t="s">
        <v>15015</v>
      </c>
    </row>
    <row r="1166" spans="1:56" ht="42.75" customHeight="1" x14ac:dyDescent="0.25">
      <c r="A1166" s="7" t="s">
        <v>58</v>
      </c>
      <c r="B1166" s="2" t="s">
        <v>15016</v>
      </c>
      <c r="C1166" s="2" t="s">
        <v>15017</v>
      </c>
      <c r="D1166" s="2" t="s">
        <v>15018</v>
      </c>
      <c r="F1166" s="3" t="s">
        <v>58</v>
      </c>
      <c r="G1166" s="3" t="s">
        <v>59</v>
      </c>
      <c r="H1166" s="3" t="s">
        <v>58</v>
      </c>
      <c r="I1166" s="3" t="s">
        <v>58</v>
      </c>
      <c r="J1166" s="3" t="s">
        <v>60</v>
      </c>
      <c r="K1166" s="2" t="s">
        <v>15019</v>
      </c>
      <c r="L1166" s="2" t="s">
        <v>15020</v>
      </c>
      <c r="M1166" s="3" t="s">
        <v>238</v>
      </c>
      <c r="O1166" s="3" t="s">
        <v>64</v>
      </c>
      <c r="P1166" s="3" t="s">
        <v>65</v>
      </c>
      <c r="R1166" s="3" t="s">
        <v>67</v>
      </c>
      <c r="S1166" s="4">
        <v>25</v>
      </c>
      <c r="T1166" s="4">
        <v>25</v>
      </c>
      <c r="U1166" s="5" t="s">
        <v>12889</v>
      </c>
      <c r="V1166" s="5" t="s">
        <v>12889</v>
      </c>
      <c r="W1166" s="5" t="s">
        <v>4883</v>
      </c>
      <c r="X1166" s="5" t="s">
        <v>4883</v>
      </c>
      <c r="Y1166" s="4">
        <v>253</v>
      </c>
      <c r="Z1166" s="4">
        <v>182</v>
      </c>
      <c r="AA1166" s="4">
        <v>188</v>
      </c>
      <c r="AB1166" s="4">
        <v>3</v>
      </c>
      <c r="AC1166" s="4">
        <v>3</v>
      </c>
      <c r="AD1166" s="4">
        <v>4</v>
      </c>
      <c r="AE1166" s="4">
        <v>4</v>
      </c>
      <c r="AF1166" s="4">
        <v>0</v>
      </c>
      <c r="AG1166" s="4">
        <v>0</v>
      </c>
      <c r="AH1166" s="4">
        <v>1</v>
      </c>
      <c r="AI1166" s="4">
        <v>1</v>
      </c>
      <c r="AJ1166" s="4">
        <v>2</v>
      </c>
      <c r="AK1166" s="4">
        <v>2</v>
      </c>
      <c r="AL1166" s="4">
        <v>1</v>
      </c>
      <c r="AM1166" s="4">
        <v>1</v>
      </c>
      <c r="AN1166" s="4">
        <v>0</v>
      </c>
      <c r="AO1166" s="4">
        <v>0</v>
      </c>
      <c r="AP1166" s="3" t="s">
        <v>58</v>
      </c>
      <c r="AQ1166" s="3" t="s">
        <v>58</v>
      </c>
      <c r="AS1166" s="6" t="str">
        <f>HYPERLINK("https://creighton-primo.hosted.exlibrisgroup.com/primo-explore/search?tab=default_tab&amp;search_scope=EVERYTHING&amp;vid=01CRU&amp;lang=en_US&amp;offset=0&amp;query=any,contains,991004969029702656","Catalog Record")</f>
        <v>Catalog Record</v>
      </c>
      <c r="AT1166" s="6" t="str">
        <f>HYPERLINK("http://www.worldcat.org/oclc/6356084","WorldCat Record")</f>
        <v>WorldCat Record</v>
      </c>
      <c r="AU1166" s="3" t="s">
        <v>15021</v>
      </c>
      <c r="AV1166" s="3" t="s">
        <v>15022</v>
      </c>
      <c r="AW1166" s="3" t="s">
        <v>15023</v>
      </c>
      <c r="AX1166" s="3" t="s">
        <v>15023</v>
      </c>
      <c r="AY1166" s="3" t="s">
        <v>15024</v>
      </c>
      <c r="AZ1166" s="3" t="s">
        <v>74</v>
      </c>
      <c r="BB1166" s="3" t="s">
        <v>15025</v>
      </c>
      <c r="BC1166" s="3" t="s">
        <v>15026</v>
      </c>
      <c r="BD1166" s="3" t="s">
        <v>15027</v>
      </c>
    </row>
    <row r="1167" spans="1:56" ht="42.75" customHeight="1" x14ac:dyDescent="0.25">
      <c r="A1167" s="7" t="s">
        <v>58</v>
      </c>
      <c r="B1167" s="2" t="s">
        <v>15028</v>
      </c>
      <c r="C1167" s="2" t="s">
        <v>15029</v>
      </c>
      <c r="D1167" s="2" t="s">
        <v>15030</v>
      </c>
      <c r="F1167" s="3" t="s">
        <v>58</v>
      </c>
      <c r="G1167" s="3" t="s">
        <v>59</v>
      </c>
      <c r="H1167" s="3" t="s">
        <v>58</v>
      </c>
      <c r="I1167" s="3" t="s">
        <v>58</v>
      </c>
      <c r="J1167" s="3" t="s">
        <v>60</v>
      </c>
      <c r="K1167" s="2" t="s">
        <v>15031</v>
      </c>
      <c r="L1167" s="2" t="s">
        <v>15032</v>
      </c>
      <c r="M1167" s="3" t="s">
        <v>888</v>
      </c>
      <c r="O1167" s="3" t="s">
        <v>64</v>
      </c>
      <c r="P1167" s="3" t="s">
        <v>2213</v>
      </c>
      <c r="R1167" s="3" t="s">
        <v>67</v>
      </c>
      <c r="S1167" s="4">
        <v>4</v>
      </c>
      <c r="T1167" s="4">
        <v>4</v>
      </c>
      <c r="U1167" s="5" t="s">
        <v>15033</v>
      </c>
      <c r="V1167" s="5" t="s">
        <v>15033</v>
      </c>
      <c r="W1167" s="5" t="s">
        <v>15034</v>
      </c>
      <c r="X1167" s="5" t="s">
        <v>15034</v>
      </c>
      <c r="Y1167" s="4">
        <v>352</v>
      </c>
      <c r="Z1167" s="4">
        <v>277</v>
      </c>
      <c r="AA1167" s="4">
        <v>1344</v>
      </c>
      <c r="AB1167" s="4">
        <v>2</v>
      </c>
      <c r="AC1167" s="4">
        <v>5</v>
      </c>
      <c r="AD1167" s="4">
        <v>11</v>
      </c>
      <c r="AE1167" s="4">
        <v>28</v>
      </c>
      <c r="AF1167" s="4">
        <v>4</v>
      </c>
      <c r="AG1167" s="4">
        <v>14</v>
      </c>
      <c r="AH1167" s="4">
        <v>3</v>
      </c>
      <c r="AI1167" s="4">
        <v>6</v>
      </c>
      <c r="AJ1167" s="4">
        <v>8</v>
      </c>
      <c r="AK1167" s="4">
        <v>14</v>
      </c>
      <c r="AL1167" s="4">
        <v>1</v>
      </c>
      <c r="AM1167" s="4">
        <v>3</v>
      </c>
      <c r="AN1167" s="4">
        <v>0</v>
      </c>
      <c r="AO1167" s="4">
        <v>0</v>
      </c>
      <c r="AP1167" s="3" t="s">
        <v>58</v>
      </c>
      <c r="AQ1167" s="3" t="s">
        <v>58</v>
      </c>
      <c r="AS1167" s="6" t="str">
        <f>HYPERLINK("https://creighton-primo.hosted.exlibrisgroup.com/primo-explore/search?tab=default_tab&amp;search_scope=EVERYTHING&amp;vid=01CRU&amp;lang=en_US&amp;offset=0&amp;query=any,contains,991002931149702656","Catalog Record")</f>
        <v>Catalog Record</v>
      </c>
      <c r="AT1167" s="6" t="str">
        <f>HYPERLINK("http://www.worldcat.org/oclc/38976248","WorldCat Record")</f>
        <v>WorldCat Record</v>
      </c>
      <c r="AU1167" s="3" t="s">
        <v>15035</v>
      </c>
      <c r="AV1167" s="3" t="s">
        <v>15036</v>
      </c>
      <c r="AW1167" s="3" t="s">
        <v>15037</v>
      </c>
      <c r="AX1167" s="3" t="s">
        <v>15037</v>
      </c>
      <c r="AY1167" s="3" t="s">
        <v>15038</v>
      </c>
      <c r="AZ1167" s="3" t="s">
        <v>74</v>
      </c>
      <c r="BB1167" s="3" t="s">
        <v>15039</v>
      </c>
      <c r="BC1167" s="3" t="s">
        <v>15040</v>
      </c>
      <c r="BD1167" s="3" t="s">
        <v>15041</v>
      </c>
    </row>
    <row r="1168" spans="1:56" ht="42.75" customHeight="1" x14ac:dyDescent="0.25">
      <c r="A1168" s="7" t="s">
        <v>58</v>
      </c>
      <c r="B1168" s="2" t="s">
        <v>15042</v>
      </c>
      <c r="C1168" s="2" t="s">
        <v>15043</v>
      </c>
      <c r="D1168" s="2" t="s">
        <v>15044</v>
      </c>
      <c r="F1168" s="3" t="s">
        <v>58</v>
      </c>
      <c r="G1168" s="3" t="s">
        <v>59</v>
      </c>
      <c r="H1168" s="3" t="s">
        <v>58</v>
      </c>
      <c r="I1168" s="3" t="s">
        <v>58</v>
      </c>
      <c r="J1168" s="3" t="s">
        <v>60</v>
      </c>
      <c r="K1168" s="2" t="s">
        <v>15045</v>
      </c>
      <c r="L1168" s="2" t="s">
        <v>15046</v>
      </c>
      <c r="M1168" s="3" t="s">
        <v>1404</v>
      </c>
      <c r="N1168" s="2" t="s">
        <v>1736</v>
      </c>
      <c r="O1168" s="3" t="s">
        <v>64</v>
      </c>
      <c r="P1168" s="3" t="s">
        <v>145</v>
      </c>
      <c r="R1168" s="3" t="s">
        <v>67</v>
      </c>
      <c r="S1168" s="4">
        <v>1</v>
      </c>
      <c r="T1168" s="4">
        <v>1</v>
      </c>
      <c r="U1168" s="5" t="s">
        <v>7142</v>
      </c>
      <c r="V1168" s="5" t="s">
        <v>7142</v>
      </c>
      <c r="W1168" s="5" t="s">
        <v>7142</v>
      </c>
      <c r="X1168" s="5" t="s">
        <v>7142</v>
      </c>
      <c r="Y1168" s="4">
        <v>501</v>
      </c>
      <c r="Z1168" s="4">
        <v>428</v>
      </c>
      <c r="AA1168" s="4">
        <v>502</v>
      </c>
      <c r="AB1168" s="4">
        <v>4</v>
      </c>
      <c r="AC1168" s="4">
        <v>5</v>
      </c>
      <c r="AD1168" s="4">
        <v>20</v>
      </c>
      <c r="AE1168" s="4">
        <v>25</v>
      </c>
      <c r="AF1168" s="4">
        <v>6</v>
      </c>
      <c r="AG1168" s="4">
        <v>7</v>
      </c>
      <c r="AH1168" s="4">
        <v>3</v>
      </c>
      <c r="AI1168" s="4">
        <v>4</v>
      </c>
      <c r="AJ1168" s="4">
        <v>12</v>
      </c>
      <c r="AK1168" s="4">
        <v>15</v>
      </c>
      <c r="AL1168" s="4">
        <v>3</v>
      </c>
      <c r="AM1168" s="4">
        <v>4</v>
      </c>
      <c r="AN1168" s="4">
        <v>0</v>
      </c>
      <c r="AO1168" s="4">
        <v>0</v>
      </c>
      <c r="AP1168" s="3" t="s">
        <v>58</v>
      </c>
      <c r="AQ1168" s="3" t="s">
        <v>86</v>
      </c>
      <c r="AR1168" s="6" t="str">
        <f>HYPERLINK("http://catalog.hathitrust.org/Record/005896362","HathiTrust Record")</f>
        <v>HathiTrust Record</v>
      </c>
      <c r="AS1168" s="6" t="str">
        <f>HYPERLINK("https://creighton-primo.hosted.exlibrisgroup.com/primo-explore/search?tab=default_tab&amp;search_scope=EVERYTHING&amp;vid=01CRU&amp;lang=en_US&amp;offset=0&amp;query=any,contains,991005375569702656","Catalog Record")</f>
        <v>Catalog Record</v>
      </c>
      <c r="AT1168" s="6" t="str">
        <f>HYPERLINK("http://www.worldcat.org/oclc/164803073","WorldCat Record")</f>
        <v>WorldCat Record</v>
      </c>
      <c r="AU1168" s="3" t="s">
        <v>15047</v>
      </c>
      <c r="AV1168" s="3" t="s">
        <v>15048</v>
      </c>
      <c r="AW1168" s="3" t="s">
        <v>15049</v>
      </c>
      <c r="AX1168" s="3" t="s">
        <v>15049</v>
      </c>
      <c r="AY1168" s="3" t="s">
        <v>15050</v>
      </c>
      <c r="AZ1168" s="3" t="s">
        <v>74</v>
      </c>
      <c r="BB1168" s="3" t="s">
        <v>15051</v>
      </c>
      <c r="BC1168" s="3" t="s">
        <v>15052</v>
      </c>
      <c r="BD1168" s="3" t="s">
        <v>15053</v>
      </c>
    </row>
    <row r="1169" spans="1:56" ht="42.75" customHeight="1" x14ac:dyDescent="0.25">
      <c r="A1169" s="7" t="s">
        <v>58</v>
      </c>
      <c r="B1169" s="2" t="s">
        <v>15054</v>
      </c>
      <c r="C1169" s="2" t="s">
        <v>15055</v>
      </c>
      <c r="D1169" s="2" t="s">
        <v>15056</v>
      </c>
      <c r="F1169" s="3" t="s">
        <v>58</v>
      </c>
      <c r="G1169" s="3" t="s">
        <v>59</v>
      </c>
      <c r="H1169" s="3" t="s">
        <v>58</v>
      </c>
      <c r="I1169" s="3" t="s">
        <v>58</v>
      </c>
      <c r="J1169" s="3" t="s">
        <v>60</v>
      </c>
      <c r="K1169" s="2" t="s">
        <v>15057</v>
      </c>
      <c r="L1169" s="2" t="s">
        <v>15058</v>
      </c>
      <c r="M1169" s="3" t="s">
        <v>82</v>
      </c>
      <c r="O1169" s="3" t="s">
        <v>64</v>
      </c>
      <c r="P1169" s="3" t="s">
        <v>115</v>
      </c>
      <c r="R1169" s="3" t="s">
        <v>67</v>
      </c>
      <c r="S1169" s="4">
        <v>2</v>
      </c>
      <c r="T1169" s="4">
        <v>2</v>
      </c>
      <c r="U1169" s="5" t="s">
        <v>1406</v>
      </c>
      <c r="V1169" s="5" t="s">
        <v>1406</v>
      </c>
      <c r="W1169" s="5" t="s">
        <v>14642</v>
      </c>
      <c r="X1169" s="5" t="s">
        <v>14642</v>
      </c>
      <c r="Y1169" s="4">
        <v>273</v>
      </c>
      <c r="Z1169" s="4">
        <v>239</v>
      </c>
      <c r="AA1169" s="4">
        <v>240</v>
      </c>
      <c r="AB1169" s="4">
        <v>1</v>
      </c>
      <c r="AC1169" s="4">
        <v>1</v>
      </c>
      <c r="AD1169" s="4">
        <v>12</v>
      </c>
      <c r="AE1169" s="4">
        <v>12</v>
      </c>
      <c r="AF1169" s="4">
        <v>3</v>
      </c>
      <c r="AG1169" s="4">
        <v>3</v>
      </c>
      <c r="AH1169" s="4">
        <v>5</v>
      </c>
      <c r="AI1169" s="4">
        <v>5</v>
      </c>
      <c r="AJ1169" s="4">
        <v>8</v>
      </c>
      <c r="AK1169" s="4">
        <v>8</v>
      </c>
      <c r="AL1169" s="4">
        <v>0</v>
      </c>
      <c r="AM1169" s="4">
        <v>0</v>
      </c>
      <c r="AN1169" s="4">
        <v>0</v>
      </c>
      <c r="AO1169" s="4">
        <v>0</v>
      </c>
      <c r="AP1169" s="3" t="s">
        <v>58</v>
      </c>
      <c r="AQ1169" s="3" t="s">
        <v>58</v>
      </c>
      <c r="AS1169" s="6" t="str">
        <f>HYPERLINK("https://creighton-primo.hosted.exlibrisgroup.com/primo-explore/search?tab=default_tab&amp;search_scope=EVERYTHING&amp;vid=01CRU&amp;lang=en_US&amp;offset=0&amp;query=any,contains,991005196799702656","Catalog Record")</f>
        <v>Catalog Record</v>
      </c>
      <c r="AT1169" s="6" t="str">
        <f>HYPERLINK("http://www.worldcat.org/oclc/15132683","WorldCat Record")</f>
        <v>WorldCat Record</v>
      </c>
      <c r="AU1169" s="3" t="s">
        <v>15059</v>
      </c>
      <c r="AV1169" s="3" t="s">
        <v>15060</v>
      </c>
      <c r="AW1169" s="3" t="s">
        <v>15061</v>
      </c>
      <c r="AX1169" s="3" t="s">
        <v>15061</v>
      </c>
      <c r="AY1169" s="3" t="s">
        <v>15062</v>
      </c>
      <c r="AZ1169" s="3" t="s">
        <v>74</v>
      </c>
      <c r="BB1169" s="3" t="s">
        <v>15063</v>
      </c>
      <c r="BC1169" s="3" t="s">
        <v>15064</v>
      </c>
      <c r="BD1169" s="3" t="s">
        <v>15065</v>
      </c>
    </row>
    <row r="1170" spans="1:56" ht="42.75" customHeight="1" x14ac:dyDescent="0.25">
      <c r="A1170" s="7" t="s">
        <v>58</v>
      </c>
      <c r="B1170" s="2" t="s">
        <v>15066</v>
      </c>
      <c r="C1170" s="2" t="s">
        <v>15067</v>
      </c>
      <c r="D1170" s="2" t="s">
        <v>15068</v>
      </c>
      <c r="F1170" s="3" t="s">
        <v>58</v>
      </c>
      <c r="G1170" s="3" t="s">
        <v>59</v>
      </c>
      <c r="H1170" s="3" t="s">
        <v>86</v>
      </c>
      <c r="I1170" s="3" t="s">
        <v>58</v>
      </c>
      <c r="J1170" s="3" t="s">
        <v>60</v>
      </c>
      <c r="K1170" s="2" t="s">
        <v>6291</v>
      </c>
      <c r="L1170" s="2" t="s">
        <v>15069</v>
      </c>
      <c r="M1170" s="3" t="s">
        <v>3822</v>
      </c>
      <c r="O1170" s="3" t="s">
        <v>64</v>
      </c>
      <c r="P1170" s="3" t="s">
        <v>115</v>
      </c>
      <c r="R1170" s="3" t="s">
        <v>67</v>
      </c>
      <c r="S1170" s="4">
        <v>3</v>
      </c>
      <c r="T1170" s="4">
        <v>3</v>
      </c>
      <c r="U1170" s="5" t="s">
        <v>15070</v>
      </c>
      <c r="V1170" s="5" t="s">
        <v>15070</v>
      </c>
      <c r="W1170" s="5" t="s">
        <v>165</v>
      </c>
      <c r="X1170" s="5" t="s">
        <v>165</v>
      </c>
      <c r="Y1170" s="4">
        <v>362</v>
      </c>
      <c r="Z1170" s="4">
        <v>305</v>
      </c>
      <c r="AA1170" s="4">
        <v>308</v>
      </c>
      <c r="AB1170" s="4">
        <v>5</v>
      </c>
      <c r="AC1170" s="4">
        <v>5</v>
      </c>
      <c r="AD1170" s="4">
        <v>19</v>
      </c>
      <c r="AE1170" s="4">
        <v>19</v>
      </c>
      <c r="AF1170" s="4">
        <v>4</v>
      </c>
      <c r="AG1170" s="4">
        <v>4</v>
      </c>
      <c r="AH1170" s="4">
        <v>3</v>
      </c>
      <c r="AI1170" s="4">
        <v>3</v>
      </c>
      <c r="AJ1170" s="4">
        <v>13</v>
      </c>
      <c r="AK1170" s="4">
        <v>13</v>
      </c>
      <c r="AL1170" s="4">
        <v>2</v>
      </c>
      <c r="AM1170" s="4">
        <v>2</v>
      </c>
      <c r="AN1170" s="4">
        <v>0</v>
      </c>
      <c r="AO1170" s="4">
        <v>0</v>
      </c>
      <c r="AP1170" s="3" t="s">
        <v>58</v>
      </c>
      <c r="AQ1170" s="3" t="s">
        <v>86</v>
      </c>
      <c r="AR1170" s="6" t="str">
        <f>HYPERLINK("http://catalog.hathitrust.org/Record/000618916","HathiTrust Record")</f>
        <v>HathiTrust Record</v>
      </c>
      <c r="AS1170" s="6" t="str">
        <f>HYPERLINK("https://creighton-primo.hosted.exlibrisgroup.com/primo-explore/search?tab=default_tab&amp;search_scope=EVERYTHING&amp;vid=01CRU&amp;lang=en_US&amp;offset=0&amp;query=any,contains,991001785389702656","Catalog Record")</f>
        <v>Catalog Record</v>
      </c>
      <c r="AT1170" s="6" t="str">
        <f>HYPERLINK("http://www.worldcat.org/oclc/615242","WorldCat Record")</f>
        <v>WorldCat Record</v>
      </c>
      <c r="AU1170" s="3" t="s">
        <v>15071</v>
      </c>
      <c r="AV1170" s="3" t="s">
        <v>15072</v>
      </c>
      <c r="AW1170" s="3" t="s">
        <v>15073</v>
      </c>
      <c r="AX1170" s="3" t="s">
        <v>15073</v>
      </c>
      <c r="AY1170" s="3" t="s">
        <v>15074</v>
      </c>
      <c r="AZ1170" s="3" t="s">
        <v>74</v>
      </c>
      <c r="BC1170" s="3" t="s">
        <v>15075</v>
      </c>
      <c r="BD1170" s="3" t="s">
        <v>15076</v>
      </c>
    </row>
    <row r="1171" spans="1:56" ht="42.75" customHeight="1" x14ac:dyDescent="0.25">
      <c r="A1171" s="7" t="s">
        <v>58</v>
      </c>
      <c r="B1171" s="2" t="s">
        <v>15077</v>
      </c>
      <c r="C1171" s="2" t="s">
        <v>15078</v>
      </c>
      <c r="D1171" s="2" t="s">
        <v>15079</v>
      </c>
      <c r="F1171" s="3" t="s">
        <v>58</v>
      </c>
      <c r="G1171" s="3" t="s">
        <v>59</v>
      </c>
      <c r="H1171" s="3" t="s">
        <v>58</v>
      </c>
      <c r="I1171" s="3" t="s">
        <v>58</v>
      </c>
      <c r="J1171" s="3" t="s">
        <v>60</v>
      </c>
      <c r="K1171" s="2" t="s">
        <v>15080</v>
      </c>
      <c r="L1171" s="2" t="s">
        <v>10112</v>
      </c>
      <c r="M1171" s="3" t="s">
        <v>805</v>
      </c>
      <c r="N1171" s="2" t="s">
        <v>1844</v>
      </c>
      <c r="O1171" s="3" t="s">
        <v>64</v>
      </c>
      <c r="P1171" s="3" t="s">
        <v>115</v>
      </c>
      <c r="Q1171" s="2" t="s">
        <v>15081</v>
      </c>
      <c r="R1171" s="3" t="s">
        <v>67</v>
      </c>
      <c r="S1171" s="4">
        <v>11</v>
      </c>
      <c r="T1171" s="4">
        <v>11</v>
      </c>
      <c r="U1171" s="5" t="s">
        <v>15082</v>
      </c>
      <c r="V1171" s="5" t="s">
        <v>15082</v>
      </c>
      <c r="W1171" s="5" t="s">
        <v>4392</v>
      </c>
      <c r="X1171" s="5" t="s">
        <v>4392</v>
      </c>
      <c r="Y1171" s="4">
        <v>331</v>
      </c>
      <c r="Z1171" s="4">
        <v>244</v>
      </c>
      <c r="AA1171" s="4">
        <v>430</v>
      </c>
      <c r="AB1171" s="4">
        <v>3</v>
      </c>
      <c r="AC1171" s="4">
        <v>4</v>
      </c>
      <c r="AD1171" s="4">
        <v>12</v>
      </c>
      <c r="AE1171" s="4">
        <v>22</v>
      </c>
      <c r="AF1171" s="4">
        <v>4</v>
      </c>
      <c r="AG1171" s="4">
        <v>9</v>
      </c>
      <c r="AH1171" s="4">
        <v>1</v>
      </c>
      <c r="AI1171" s="4">
        <v>3</v>
      </c>
      <c r="AJ1171" s="4">
        <v>9</v>
      </c>
      <c r="AK1171" s="4">
        <v>13</v>
      </c>
      <c r="AL1171" s="4">
        <v>2</v>
      </c>
      <c r="AM1171" s="4">
        <v>3</v>
      </c>
      <c r="AN1171" s="4">
        <v>0</v>
      </c>
      <c r="AO1171" s="4">
        <v>0</v>
      </c>
      <c r="AP1171" s="3" t="s">
        <v>58</v>
      </c>
      <c r="AQ1171" s="3" t="s">
        <v>58</v>
      </c>
      <c r="AS1171" s="6" t="str">
        <f>HYPERLINK("https://creighton-primo.hosted.exlibrisgroup.com/primo-explore/search?tab=default_tab&amp;search_scope=EVERYTHING&amp;vid=01CRU&amp;lang=en_US&amp;offset=0&amp;query=any,contains,991002558839702656","Catalog Record")</f>
        <v>Catalog Record</v>
      </c>
      <c r="AT1171" s="6" t="str">
        <f>HYPERLINK("http://www.worldcat.org/oclc/33246778","WorldCat Record")</f>
        <v>WorldCat Record</v>
      </c>
      <c r="AU1171" s="3" t="s">
        <v>15083</v>
      </c>
      <c r="AV1171" s="3" t="s">
        <v>15084</v>
      </c>
      <c r="AW1171" s="3" t="s">
        <v>15085</v>
      </c>
      <c r="AX1171" s="3" t="s">
        <v>15085</v>
      </c>
      <c r="AY1171" s="3" t="s">
        <v>15086</v>
      </c>
      <c r="AZ1171" s="3" t="s">
        <v>74</v>
      </c>
      <c r="BB1171" s="3" t="s">
        <v>15087</v>
      </c>
      <c r="BC1171" s="3" t="s">
        <v>15088</v>
      </c>
      <c r="BD1171" s="3" t="s">
        <v>15089</v>
      </c>
    </row>
    <row r="1172" spans="1:56" ht="42.75" customHeight="1" x14ac:dyDescent="0.25">
      <c r="A1172" s="7" t="s">
        <v>58</v>
      </c>
      <c r="B1172" s="2" t="s">
        <v>15090</v>
      </c>
      <c r="C1172" s="2" t="s">
        <v>15091</v>
      </c>
      <c r="D1172" s="2" t="s">
        <v>15092</v>
      </c>
      <c r="F1172" s="3" t="s">
        <v>58</v>
      </c>
      <c r="G1172" s="3" t="s">
        <v>59</v>
      </c>
      <c r="H1172" s="3" t="s">
        <v>58</v>
      </c>
      <c r="I1172" s="3" t="s">
        <v>58</v>
      </c>
      <c r="J1172" s="3" t="s">
        <v>60</v>
      </c>
      <c r="K1172" s="2" t="s">
        <v>15093</v>
      </c>
      <c r="L1172" s="2" t="s">
        <v>15094</v>
      </c>
      <c r="M1172" s="3" t="s">
        <v>5200</v>
      </c>
      <c r="O1172" s="3" t="s">
        <v>64</v>
      </c>
      <c r="P1172" s="3" t="s">
        <v>83</v>
      </c>
      <c r="Q1172" s="2" t="s">
        <v>15095</v>
      </c>
      <c r="R1172" s="3" t="s">
        <v>67</v>
      </c>
      <c r="S1172" s="4">
        <v>6</v>
      </c>
      <c r="T1172" s="4">
        <v>6</v>
      </c>
      <c r="U1172" s="5" t="s">
        <v>15096</v>
      </c>
      <c r="V1172" s="5" t="s">
        <v>15096</v>
      </c>
      <c r="W1172" s="5" t="s">
        <v>165</v>
      </c>
      <c r="X1172" s="5" t="s">
        <v>165</v>
      </c>
      <c r="Y1172" s="4">
        <v>301</v>
      </c>
      <c r="Z1172" s="4">
        <v>219</v>
      </c>
      <c r="AA1172" s="4">
        <v>223</v>
      </c>
      <c r="AB1172" s="4">
        <v>3</v>
      </c>
      <c r="AC1172" s="4">
        <v>3</v>
      </c>
      <c r="AD1172" s="4">
        <v>5</v>
      </c>
      <c r="AE1172" s="4">
        <v>5</v>
      </c>
      <c r="AF1172" s="4">
        <v>1</v>
      </c>
      <c r="AG1172" s="4">
        <v>1</v>
      </c>
      <c r="AH1172" s="4">
        <v>1</v>
      </c>
      <c r="AI1172" s="4">
        <v>1</v>
      </c>
      <c r="AJ1172" s="4">
        <v>3</v>
      </c>
      <c r="AK1172" s="4">
        <v>3</v>
      </c>
      <c r="AL1172" s="4">
        <v>2</v>
      </c>
      <c r="AM1172" s="4">
        <v>2</v>
      </c>
      <c r="AN1172" s="4">
        <v>0</v>
      </c>
      <c r="AO1172" s="4">
        <v>0</v>
      </c>
      <c r="AP1172" s="3" t="s">
        <v>58</v>
      </c>
      <c r="AQ1172" s="3" t="s">
        <v>58</v>
      </c>
      <c r="AS1172" s="6" t="str">
        <f>HYPERLINK("https://creighton-primo.hosted.exlibrisgroup.com/primo-explore/search?tab=default_tab&amp;search_scope=EVERYTHING&amp;vid=01CRU&amp;lang=en_US&amp;offset=0&amp;query=any,contains,991002273399702656","Catalog Record")</f>
        <v>Catalog Record</v>
      </c>
      <c r="AT1172" s="6" t="str">
        <f>HYPERLINK("http://www.worldcat.org/oclc/309274","WorldCat Record")</f>
        <v>WorldCat Record</v>
      </c>
      <c r="AU1172" s="3" t="s">
        <v>15097</v>
      </c>
      <c r="AV1172" s="3" t="s">
        <v>15098</v>
      </c>
      <c r="AW1172" s="3" t="s">
        <v>15099</v>
      </c>
      <c r="AX1172" s="3" t="s">
        <v>15099</v>
      </c>
      <c r="AY1172" s="3" t="s">
        <v>15100</v>
      </c>
      <c r="AZ1172" s="3" t="s">
        <v>74</v>
      </c>
      <c r="BB1172" s="3" t="s">
        <v>15101</v>
      </c>
      <c r="BC1172" s="3" t="s">
        <v>15102</v>
      </c>
      <c r="BD1172" s="3" t="s">
        <v>15103</v>
      </c>
    </row>
    <row r="1173" spans="1:56" ht="42.75" customHeight="1" x14ac:dyDescent="0.25">
      <c r="A1173" s="7" t="s">
        <v>58</v>
      </c>
      <c r="B1173" s="2" t="s">
        <v>15104</v>
      </c>
      <c r="C1173" s="2" t="s">
        <v>15105</v>
      </c>
      <c r="D1173" s="2" t="s">
        <v>15106</v>
      </c>
      <c r="F1173" s="3" t="s">
        <v>58</v>
      </c>
      <c r="G1173" s="3" t="s">
        <v>59</v>
      </c>
      <c r="H1173" s="3" t="s">
        <v>58</v>
      </c>
      <c r="I1173" s="3" t="s">
        <v>58</v>
      </c>
      <c r="J1173" s="3" t="s">
        <v>60</v>
      </c>
      <c r="K1173" s="2" t="s">
        <v>15107</v>
      </c>
      <c r="L1173" s="2" t="s">
        <v>15108</v>
      </c>
      <c r="M1173" s="3" t="s">
        <v>177</v>
      </c>
      <c r="O1173" s="3" t="s">
        <v>64</v>
      </c>
      <c r="P1173" s="3" t="s">
        <v>1654</v>
      </c>
      <c r="R1173" s="3" t="s">
        <v>67</v>
      </c>
      <c r="S1173" s="4">
        <v>14</v>
      </c>
      <c r="T1173" s="4">
        <v>14</v>
      </c>
      <c r="U1173" s="5" t="s">
        <v>15109</v>
      </c>
      <c r="V1173" s="5" t="s">
        <v>15109</v>
      </c>
      <c r="W1173" s="5" t="s">
        <v>6584</v>
      </c>
      <c r="X1173" s="5" t="s">
        <v>6584</v>
      </c>
      <c r="Y1173" s="4">
        <v>57</v>
      </c>
      <c r="Z1173" s="4">
        <v>36</v>
      </c>
      <c r="AA1173" s="4">
        <v>38</v>
      </c>
      <c r="AB1173" s="4">
        <v>1</v>
      </c>
      <c r="AC1173" s="4">
        <v>1</v>
      </c>
      <c r="AD1173" s="4">
        <v>0</v>
      </c>
      <c r="AE1173" s="4">
        <v>0</v>
      </c>
      <c r="AF1173" s="4">
        <v>0</v>
      </c>
      <c r="AG1173" s="4">
        <v>0</v>
      </c>
      <c r="AH1173" s="4">
        <v>0</v>
      </c>
      <c r="AI1173" s="4">
        <v>0</v>
      </c>
      <c r="AJ1173" s="4">
        <v>0</v>
      </c>
      <c r="AK1173" s="4">
        <v>0</v>
      </c>
      <c r="AL1173" s="4">
        <v>0</v>
      </c>
      <c r="AM1173" s="4">
        <v>0</v>
      </c>
      <c r="AN1173" s="4">
        <v>0</v>
      </c>
      <c r="AO1173" s="4">
        <v>0</v>
      </c>
      <c r="AP1173" s="3" t="s">
        <v>58</v>
      </c>
      <c r="AQ1173" s="3" t="s">
        <v>86</v>
      </c>
      <c r="AR1173" s="6" t="str">
        <f>HYPERLINK("http://catalog.hathitrust.org/Record/010613213","HathiTrust Record")</f>
        <v>HathiTrust Record</v>
      </c>
      <c r="AS1173" s="6" t="str">
        <f>HYPERLINK("https://creighton-primo.hosted.exlibrisgroup.com/primo-explore/search?tab=default_tab&amp;search_scope=EVERYTHING&amp;vid=01CRU&amp;lang=en_US&amp;offset=0&amp;query=any,contains,991003572659702656","Catalog Record")</f>
        <v>Catalog Record</v>
      </c>
      <c r="AT1173" s="6" t="str">
        <f>HYPERLINK("http://www.worldcat.org/oclc/1148323","WorldCat Record")</f>
        <v>WorldCat Record</v>
      </c>
      <c r="AU1173" s="3" t="s">
        <v>15110</v>
      </c>
      <c r="AV1173" s="3" t="s">
        <v>15111</v>
      </c>
      <c r="AW1173" s="3" t="s">
        <v>15112</v>
      </c>
      <c r="AX1173" s="3" t="s">
        <v>15112</v>
      </c>
      <c r="AY1173" s="3" t="s">
        <v>15113</v>
      </c>
      <c r="AZ1173" s="3" t="s">
        <v>74</v>
      </c>
      <c r="BB1173" s="3" t="s">
        <v>15114</v>
      </c>
      <c r="BC1173" s="3" t="s">
        <v>15115</v>
      </c>
      <c r="BD1173" s="3" t="s">
        <v>15116</v>
      </c>
    </row>
    <row r="1174" spans="1:56" ht="42.75" customHeight="1" x14ac:dyDescent="0.25">
      <c r="A1174" s="7" t="s">
        <v>58</v>
      </c>
      <c r="B1174" s="2" t="s">
        <v>15117</v>
      </c>
      <c r="C1174" s="2" t="s">
        <v>15118</v>
      </c>
      <c r="D1174" s="2" t="s">
        <v>15119</v>
      </c>
      <c r="F1174" s="3" t="s">
        <v>58</v>
      </c>
      <c r="G1174" s="3" t="s">
        <v>59</v>
      </c>
      <c r="H1174" s="3" t="s">
        <v>58</v>
      </c>
      <c r="I1174" s="3" t="s">
        <v>58</v>
      </c>
      <c r="J1174" s="3" t="s">
        <v>60</v>
      </c>
      <c r="K1174" s="2" t="s">
        <v>15120</v>
      </c>
      <c r="L1174" s="2" t="s">
        <v>15121</v>
      </c>
      <c r="M1174" s="3" t="s">
        <v>114</v>
      </c>
      <c r="O1174" s="3" t="s">
        <v>64</v>
      </c>
      <c r="P1174" s="3" t="s">
        <v>2331</v>
      </c>
      <c r="R1174" s="3" t="s">
        <v>67</v>
      </c>
      <c r="S1174" s="4">
        <v>14</v>
      </c>
      <c r="T1174" s="4">
        <v>14</v>
      </c>
      <c r="U1174" s="5" t="s">
        <v>15122</v>
      </c>
      <c r="V1174" s="5" t="s">
        <v>15122</v>
      </c>
      <c r="W1174" s="5" t="s">
        <v>12722</v>
      </c>
      <c r="X1174" s="5" t="s">
        <v>12722</v>
      </c>
      <c r="Y1174" s="4">
        <v>504</v>
      </c>
      <c r="Z1174" s="4">
        <v>409</v>
      </c>
      <c r="AA1174" s="4">
        <v>616</v>
      </c>
      <c r="AB1174" s="4">
        <v>2</v>
      </c>
      <c r="AC1174" s="4">
        <v>2</v>
      </c>
      <c r="AD1174" s="4">
        <v>19</v>
      </c>
      <c r="AE1174" s="4">
        <v>27</v>
      </c>
      <c r="AF1174" s="4">
        <v>8</v>
      </c>
      <c r="AG1174" s="4">
        <v>13</v>
      </c>
      <c r="AH1174" s="4">
        <v>2</v>
      </c>
      <c r="AI1174" s="4">
        <v>5</v>
      </c>
      <c r="AJ1174" s="4">
        <v>14</v>
      </c>
      <c r="AK1174" s="4">
        <v>17</v>
      </c>
      <c r="AL1174" s="4">
        <v>1</v>
      </c>
      <c r="AM1174" s="4">
        <v>1</v>
      </c>
      <c r="AN1174" s="4">
        <v>0</v>
      </c>
      <c r="AO1174" s="4">
        <v>0</v>
      </c>
      <c r="AP1174" s="3" t="s">
        <v>58</v>
      </c>
      <c r="AQ1174" s="3" t="s">
        <v>58</v>
      </c>
      <c r="AS1174" s="6" t="str">
        <f>HYPERLINK("https://creighton-primo.hosted.exlibrisgroup.com/primo-explore/search?tab=default_tab&amp;search_scope=EVERYTHING&amp;vid=01CRU&amp;lang=en_US&amp;offset=0&amp;query=any,contains,991000415229702656","Catalog Record")</f>
        <v>Catalog Record</v>
      </c>
      <c r="AT1174" s="6" t="str">
        <f>HYPERLINK("http://www.worldcat.org/oclc/10724142","WorldCat Record")</f>
        <v>WorldCat Record</v>
      </c>
      <c r="AU1174" s="3" t="s">
        <v>15123</v>
      </c>
      <c r="AV1174" s="3" t="s">
        <v>15124</v>
      </c>
      <c r="AW1174" s="3" t="s">
        <v>15125</v>
      </c>
      <c r="AX1174" s="3" t="s">
        <v>15125</v>
      </c>
      <c r="AY1174" s="3" t="s">
        <v>15126</v>
      </c>
      <c r="AZ1174" s="3" t="s">
        <v>74</v>
      </c>
      <c r="BB1174" s="3" t="s">
        <v>15127</v>
      </c>
      <c r="BC1174" s="3" t="s">
        <v>15128</v>
      </c>
      <c r="BD1174" s="3" t="s">
        <v>15129</v>
      </c>
    </row>
    <row r="1175" spans="1:56" ht="42.75" customHeight="1" x14ac:dyDescent="0.25">
      <c r="A1175" s="7" t="s">
        <v>58</v>
      </c>
      <c r="B1175" s="2" t="s">
        <v>15130</v>
      </c>
      <c r="C1175" s="2" t="s">
        <v>15131</v>
      </c>
      <c r="D1175" s="2" t="s">
        <v>15132</v>
      </c>
      <c r="F1175" s="3" t="s">
        <v>58</v>
      </c>
      <c r="G1175" s="3" t="s">
        <v>59</v>
      </c>
      <c r="H1175" s="3" t="s">
        <v>58</v>
      </c>
      <c r="I1175" s="3" t="s">
        <v>86</v>
      </c>
      <c r="J1175" s="3" t="s">
        <v>60</v>
      </c>
      <c r="K1175" s="2" t="s">
        <v>15133</v>
      </c>
      <c r="L1175" s="2" t="s">
        <v>15134</v>
      </c>
      <c r="M1175" s="3" t="s">
        <v>371</v>
      </c>
      <c r="N1175" s="2" t="s">
        <v>15135</v>
      </c>
      <c r="O1175" s="3" t="s">
        <v>64</v>
      </c>
      <c r="P1175" s="3" t="s">
        <v>254</v>
      </c>
      <c r="R1175" s="3" t="s">
        <v>67</v>
      </c>
      <c r="S1175" s="4">
        <v>26</v>
      </c>
      <c r="T1175" s="4">
        <v>26</v>
      </c>
      <c r="U1175" s="5" t="s">
        <v>15082</v>
      </c>
      <c r="V1175" s="5" t="s">
        <v>15082</v>
      </c>
      <c r="W1175" s="5" t="s">
        <v>6280</v>
      </c>
      <c r="X1175" s="5" t="s">
        <v>6280</v>
      </c>
      <c r="Y1175" s="4">
        <v>54</v>
      </c>
      <c r="Z1175" s="4">
        <v>45</v>
      </c>
      <c r="AA1175" s="4">
        <v>381</v>
      </c>
      <c r="AB1175" s="4">
        <v>1</v>
      </c>
      <c r="AC1175" s="4">
        <v>2</v>
      </c>
      <c r="AD1175" s="4">
        <v>3</v>
      </c>
      <c r="AE1175" s="4">
        <v>10</v>
      </c>
      <c r="AF1175" s="4">
        <v>1</v>
      </c>
      <c r="AG1175" s="4">
        <v>5</v>
      </c>
      <c r="AH1175" s="4">
        <v>0</v>
      </c>
      <c r="AI1175" s="4">
        <v>1</v>
      </c>
      <c r="AJ1175" s="4">
        <v>2</v>
      </c>
      <c r="AK1175" s="4">
        <v>7</v>
      </c>
      <c r="AL1175" s="4">
        <v>0</v>
      </c>
      <c r="AM1175" s="4">
        <v>0</v>
      </c>
      <c r="AN1175" s="4">
        <v>0</v>
      </c>
      <c r="AO1175" s="4">
        <v>0</v>
      </c>
      <c r="AP1175" s="3" t="s">
        <v>58</v>
      </c>
      <c r="AQ1175" s="3" t="s">
        <v>58</v>
      </c>
      <c r="AS1175" s="6" t="str">
        <f>HYPERLINK("https://creighton-primo.hosted.exlibrisgroup.com/primo-explore/search?tab=default_tab&amp;search_scope=EVERYTHING&amp;vid=01CRU&amp;lang=en_US&amp;offset=0&amp;query=any,contains,991000429349702656","Catalog Record")</f>
        <v>Catalog Record</v>
      </c>
      <c r="AT1175" s="6" t="str">
        <f>HYPERLINK("http://www.worldcat.org/oclc/10777579","WorldCat Record")</f>
        <v>WorldCat Record</v>
      </c>
      <c r="AU1175" s="3" t="s">
        <v>15136</v>
      </c>
      <c r="AV1175" s="3" t="s">
        <v>15137</v>
      </c>
      <c r="AW1175" s="3" t="s">
        <v>15138</v>
      </c>
      <c r="AX1175" s="3" t="s">
        <v>15138</v>
      </c>
      <c r="AY1175" s="3" t="s">
        <v>15139</v>
      </c>
      <c r="AZ1175" s="3" t="s">
        <v>74</v>
      </c>
      <c r="BB1175" s="3" t="s">
        <v>15140</v>
      </c>
      <c r="BC1175" s="3" t="s">
        <v>15141</v>
      </c>
      <c r="BD1175" s="3" t="s">
        <v>15142</v>
      </c>
    </row>
    <row r="1176" spans="1:56" ht="42.75" customHeight="1" x14ac:dyDescent="0.25">
      <c r="A1176" s="7" t="s">
        <v>58</v>
      </c>
      <c r="B1176" s="2" t="s">
        <v>15143</v>
      </c>
      <c r="C1176" s="2" t="s">
        <v>15144</v>
      </c>
      <c r="D1176" s="2" t="s">
        <v>15145</v>
      </c>
      <c r="F1176" s="3" t="s">
        <v>58</v>
      </c>
      <c r="G1176" s="3" t="s">
        <v>59</v>
      </c>
      <c r="H1176" s="3" t="s">
        <v>58</v>
      </c>
      <c r="I1176" s="3" t="s">
        <v>58</v>
      </c>
      <c r="J1176" s="3" t="s">
        <v>60</v>
      </c>
      <c r="K1176" s="2" t="s">
        <v>15146</v>
      </c>
      <c r="L1176" s="2" t="s">
        <v>15147</v>
      </c>
      <c r="M1176" s="3" t="s">
        <v>2386</v>
      </c>
      <c r="O1176" s="3" t="s">
        <v>64</v>
      </c>
      <c r="P1176" s="3" t="s">
        <v>115</v>
      </c>
      <c r="R1176" s="3" t="s">
        <v>67</v>
      </c>
      <c r="S1176" s="4">
        <v>6</v>
      </c>
      <c r="T1176" s="4">
        <v>6</v>
      </c>
      <c r="U1176" s="5" t="s">
        <v>4221</v>
      </c>
      <c r="V1176" s="5" t="s">
        <v>4221</v>
      </c>
      <c r="W1176" s="5" t="s">
        <v>6584</v>
      </c>
      <c r="X1176" s="5" t="s">
        <v>6584</v>
      </c>
      <c r="Y1176" s="4">
        <v>360</v>
      </c>
      <c r="Z1176" s="4">
        <v>301</v>
      </c>
      <c r="AA1176" s="4">
        <v>316</v>
      </c>
      <c r="AB1176" s="4">
        <v>3</v>
      </c>
      <c r="AC1176" s="4">
        <v>3</v>
      </c>
      <c r="AD1176" s="4">
        <v>12</v>
      </c>
      <c r="AE1176" s="4">
        <v>13</v>
      </c>
      <c r="AF1176" s="4">
        <v>3</v>
      </c>
      <c r="AG1176" s="4">
        <v>3</v>
      </c>
      <c r="AH1176" s="4">
        <v>2</v>
      </c>
      <c r="AI1176" s="4">
        <v>2</v>
      </c>
      <c r="AJ1176" s="4">
        <v>7</v>
      </c>
      <c r="AK1176" s="4">
        <v>8</v>
      </c>
      <c r="AL1176" s="4">
        <v>2</v>
      </c>
      <c r="AM1176" s="4">
        <v>2</v>
      </c>
      <c r="AN1176" s="4">
        <v>2</v>
      </c>
      <c r="AO1176" s="4">
        <v>2</v>
      </c>
      <c r="AP1176" s="3" t="s">
        <v>58</v>
      </c>
      <c r="AQ1176" s="3" t="s">
        <v>86</v>
      </c>
      <c r="AR1176" s="6" t="str">
        <f>HYPERLINK("http://catalog.hathitrust.org/Record/007477555","HathiTrust Record")</f>
        <v>HathiTrust Record</v>
      </c>
      <c r="AS1176" s="6" t="str">
        <f>HYPERLINK("https://creighton-primo.hosted.exlibrisgroup.com/primo-explore/search?tab=default_tab&amp;search_scope=EVERYTHING&amp;vid=01CRU&amp;lang=en_US&amp;offset=0&amp;query=any,contains,991003468159702656","Catalog Record")</f>
        <v>Catalog Record</v>
      </c>
      <c r="AT1176" s="6" t="str">
        <f>HYPERLINK("http://www.worldcat.org/oclc/1009475","WorldCat Record")</f>
        <v>WorldCat Record</v>
      </c>
      <c r="AU1176" s="3" t="s">
        <v>15148</v>
      </c>
      <c r="AV1176" s="3" t="s">
        <v>15149</v>
      </c>
      <c r="AW1176" s="3" t="s">
        <v>15150</v>
      </c>
      <c r="AX1176" s="3" t="s">
        <v>15150</v>
      </c>
      <c r="AY1176" s="3" t="s">
        <v>15151</v>
      </c>
      <c r="AZ1176" s="3" t="s">
        <v>74</v>
      </c>
      <c r="BB1176" s="3" t="s">
        <v>15152</v>
      </c>
      <c r="BC1176" s="3" t="s">
        <v>15153</v>
      </c>
      <c r="BD1176" s="3" t="s">
        <v>15154</v>
      </c>
    </row>
    <row r="1177" spans="1:56" ht="42.75" customHeight="1" x14ac:dyDescent="0.25">
      <c r="A1177" s="7" t="s">
        <v>58</v>
      </c>
      <c r="B1177" s="2" t="s">
        <v>15155</v>
      </c>
      <c r="C1177" s="2" t="s">
        <v>15156</v>
      </c>
      <c r="D1177" s="2" t="s">
        <v>15157</v>
      </c>
      <c r="F1177" s="3" t="s">
        <v>58</v>
      </c>
      <c r="G1177" s="3" t="s">
        <v>59</v>
      </c>
      <c r="H1177" s="3" t="s">
        <v>86</v>
      </c>
      <c r="I1177" s="3" t="s">
        <v>58</v>
      </c>
      <c r="J1177" s="3" t="s">
        <v>60</v>
      </c>
      <c r="L1177" s="2" t="s">
        <v>12272</v>
      </c>
      <c r="M1177" s="3" t="s">
        <v>371</v>
      </c>
      <c r="O1177" s="3" t="s">
        <v>64</v>
      </c>
      <c r="P1177" s="3" t="s">
        <v>115</v>
      </c>
      <c r="Q1177" s="2" t="s">
        <v>15158</v>
      </c>
      <c r="R1177" s="3" t="s">
        <v>67</v>
      </c>
      <c r="S1177" s="4">
        <v>28</v>
      </c>
      <c r="T1177" s="4">
        <v>37</v>
      </c>
      <c r="U1177" s="5" t="s">
        <v>15159</v>
      </c>
      <c r="V1177" s="5" t="s">
        <v>15159</v>
      </c>
      <c r="W1177" s="5" t="s">
        <v>2542</v>
      </c>
      <c r="X1177" s="5" t="s">
        <v>2542</v>
      </c>
      <c r="Y1177" s="4">
        <v>158</v>
      </c>
      <c r="Z1177" s="4">
        <v>132</v>
      </c>
      <c r="AA1177" s="4">
        <v>134</v>
      </c>
      <c r="AB1177" s="4">
        <v>2</v>
      </c>
      <c r="AC1177" s="4">
        <v>2</v>
      </c>
      <c r="AD1177" s="4">
        <v>2</v>
      </c>
      <c r="AE1177" s="4">
        <v>2</v>
      </c>
      <c r="AF1177" s="4">
        <v>0</v>
      </c>
      <c r="AG1177" s="4">
        <v>0</v>
      </c>
      <c r="AH1177" s="4">
        <v>0</v>
      </c>
      <c r="AI1177" s="4">
        <v>0</v>
      </c>
      <c r="AJ1177" s="4">
        <v>2</v>
      </c>
      <c r="AK1177" s="4">
        <v>2</v>
      </c>
      <c r="AL1177" s="4">
        <v>0</v>
      </c>
      <c r="AM1177" s="4">
        <v>0</v>
      </c>
      <c r="AN1177" s="4">
        <v>0</v>
      </c>
      <c r="AO1177" s="4">
        <v>0</v>
      </c>
      <c r="AP1177" s="3" t="s">
        <v>58</v>
      </c>
      <c r="AQ1177" s="3" t="s">
        <v>86</v>
      </c>
      <c r="AR1177" s="6" t="str">
        <f>HYPERLINK("http://catalog.hathitrust.org/Record/000874421","HathiTrust Record")</f>
        <v>HathiTrust Record</v>
      </c>
      <c r="AS1177" s="6" t="str">
        <f>HYPERLINK("https://creighton-primo.hosted.exlibrisgroup.com/primo-explore/search?tab=default_tab&amp;search_scope=EVERYTHING&amp;vid=01CRU&amp;lang=en_US&amp;offset=0&amp;query=any,contains,991001760859702656","Catalog Record")</f>
        <v>Catalog Record</v>
      </c>
      <c r="AT1177" s="6" t="str">
        <f>HYPERLINK("http://www.worldcat.org/oclc/13760024","WorldCat Record")</f>
        <v>WorldCat Record</v>
      </c>
      <c r="AU1177" s="3" t="s">
        <v>15160</v>
      </c>
      <c r="AV1177" s="3" t="s">
        <v>15161</v>
      </c>
      <c r="AW1177" s="3" t="s">
        <v>15162</v>
      </c>
      <c r="AX1177" s="3" t="s">
        <v>15162</v>
      </c>
      <c r="AY1177" s="3" t="s">
        <v>15163</v>
      </c>
      <c r="AZ1177" s="3" t="s">
        <v>74</v>
      </c>
      <c r="BB1177" s="3" t="s">
        <v>15164</v>
      </c>
      <c r="BC1177" s="3" t="s">
        <v>15165</v>
      </c>
      <c r="BD1177" s="3" t="s">
        <v>15166</v>
      </c>
    </row>
    <row r="1178" spans="1:56" ht="42.75" customHeight="1" x14ac:dyDescent="0.25">
      <c r="A1178" s="7" t="s">
        <v>58</v>
      </c>
      <c r="B1178" s="2" t="s">
        <v>15167</v>
      </c>
      <c r="C1178" s="2" t="s">
        <v>15168</v>
      </c>
      <c r="D1178" s="2" t="s">
        <v>15169</v>
      </c>
      <c r="F1178" s="3" t="s">
        <v>58</v>
      </c>
      <c r="G1178" s="3" t="s">
        <v>59</v>
      </c>
      <c r="H1178" s="3" t="s">
        <v>58</v>
      </c>
      <c r="I1178" s="3" t="s">
        <v>58</v>
      </c>
      <c r="J1178" s="3" t="s">
        <v>60</v>
      </c>
      <c r="K1178" s="2" t="s">
        <v>15170</v>
      </c>
      <c r="L1178" s="2" t="s">
        <v>15171</v>
      </c>
      <c r="M1178" s="3" t="s">
        <v>3822</v>
      </c>
      <c r="O1178" s="3" t="s">
        <v>64</v>
      </c>
      <c r="P1178" s="3" t="s">
        <v>115</v>
      </c>
      <c r="Q1178" s="2" t="s">
        <v>15172</v>
      </c>
      <c r="R1178" s="3" t="s">
        <v>67</v>
      </c>
      <c r="S1178" s="4">
        <v>4</v>
      </c>
      <c r="T1178" s="4">
        <v>4</v>
      </c>
      <c r="U1178" s="5" t="s">
        <v>15159</v>
      </c>
      <c r="V1178" s="5" t="s">
        <v>15159</v>
      </c>
      <c r="W1178" s="5" t="s">
        <v>165</v>
      </c>
      <c r="X1178" s="5" t="s">
        <v>165</v>
      </c>
      <c r="Y1178" s="4">
        <v>276</v>
      </c>
      <c r="Z1178" s="4">
        <v>230</v>
      </c>
      <c r="AA1178" s="4">
        <v>317</v>
      </c>
      <c r="AB1178" s="4">
        <v>2</v>
      </c>
      <c r="AC1178" s="4">
        <v>3</v>
      </c>
      <c r="AD1178" s="4">
        <v>11</v>
      </c>
      <c r="AE1178" s="4">
        <v>15</v>
      </c>
      <c r="AF1178" s="4">
        <v>2</v>
      </c>
      <c r="AG1178" s="4">
        <v>4</v>
      </c>
      <c r="AH1178" s="4">
        <v>2</v>
      </c>
      <c r="AI1178" s="4">
        <v>2</v>
      </c>
      <c r="AJ1178" s="4">
        <v>7</v>
      </c>
      <c r="AK1178" s="4">
        <v>8</v>
      </c>
      <c r="AL1178" s="4">
        <v>1</v>
      </c>
      <c r="AM1178" s="4">
        <v>2</v>
      </c>
      <c r="AN1178" s="4">
        <v>0</v>
      </c>
      <c r="AO1178" s="4">
        <v>0</v>
      </c>
      <c r="AP1178" s="3" t="s">
        <v>86</v>
      </c>
      <c r="AQ1178" s="3" t="s">
        <v>58</v>
      </c>
      <c r="AR1178" s="6" t="str">
        <f>HYPERLINK("http://catalog.hathitrust.org/Record/000661456","HathiTrust Record")</f>
        <v>HathiTrust Record</v>
      </c>
      <c r="AS1178" s="6" t="str">
        <f>HYPERLINK("https://creighton-primo.hosted.exlibrisgroup.com/primo-explore/search?tab=default_tab&amp;search_scope=EVERYTHING&amp;vid=01CRU&amp;lang=en_US&amp;offset=0&amp;query=any,contains,991003841999702656","Catalog Record")</f>
        <v>Catalog Record</v>
      </c>
      <c r="AT1178" s="6" t="str">
        <f>HYPERLINK("http://www.worldcat.org/oclc/1620047","WorldCat Record")</f>
        <v>WorldCat Record</v>
      </c>
      <c r="AU1178" s="3" t="s">
        <v>15173</v>
      </c>
      <c r="AV1178" s="3" t="s">
        <v>15174</v>
      </c>
      <c r="AW1178" s="3" t="s">
        <v>15175</v>
      </c>
      <c r="AX1178" s="3" t="s">
        <v>15175</v>
      </c>
      <c r="AY1178" s="3" t="s">
        <v>15176</v>
      </c>
      <c r="AZ1178" s="3" t="s">
        <v>74</v>
      </c>
      <c r="BC1178" s="3" t="s">
        <v>15177</v>
      </c>
      <c r="BD1178" s="3" t="s">
        <v>15178</v>
      </c>
    </row>
    <row r="1179" spans="1:56" ht="42.75" customHeight="1" x14ac:dyDescent="0.25">
      <c r="A1179" s="7" t="s">
        <v>58</v>
      </c>
      <c r="B1179" s="2" t="s">
        <v>15179</v>
      </c>
      <c r="C1179" s="2" t="s">
        <v>15180</v>
      </c>
      <c r="D1179" s="2" t="s">
        <v>15181</v>
      </c>
      <c r="F1179" s="3" t="s">
        <v>58</v>
      </c>
      <c r="G1179" s="3" t="s">
        <v>59</v>
      </c>
      <c r="H1179" s="3" t="s">
        <v>58</v>
      </c>
      <c r="I1179" s="3" t="s">
        <v>58</v>
      </c>
      <c r="J1179" s="3" t="s">
        <v>60</v>
      </c>
      <c r="K1179" s="2" t="s">
        <v>7718</v>
      </c>
      <c r="L1179" s="2" t="s">
        <v>15182</v>
      </c>
      <c r="M1179" s="3" t="s">
        <v>805</v>
      </c>
      <c r="O1179" s="3" t="s">
        <v>64</v>
      </c>
      <c r="P1179" s="3" t="s">
        <v>115</v>
      </c>
      <c r="R1179" s="3" t="s">
        <v>67</v>
      </c>
      <c r="S1179" s="4">
        <v>6</v>
      </c>
      <c r="T1179" s="4">
        <v>6</v>
      </c>
      <c r="U1179" s="5" t="s">
        <v>999</v>
      </c>
      <c r="V1179" s="5" t="s">
        <v>999</v>
      </c>
      <c r="W1179" s="5" t="s">
        <v>15183</v>
      </c>
      <c r="X1179" s="5" t="s">
        <v>15183</v>
      </c>
      <c r="Y1179" s="4">
        <v>454</v>
      </c>
      <c r="Z1179" s="4">
        <v>394</v>
      </c>
      <c r="AA1179" s="4">
        <v>407</v>
      </c>
      <c r="AB1179" s="4">
        <v>4</v>
      </c>
      <c r="AC1179" s="4">
        <v>4</v>
      </c>
      <c r="AD1179" s="4">
        <v>18</v>
      </c>
      <c r="AE1179" s="4">
        <v>18</v>
      </c>
      <c r="AF1179" s="4">
        <v>6</v>
      </c>
      <c r="AG1179" s="4">
        <v>6</v>
      </c>
      <c r="AH1179" s="4">
        <v>4</v>
      </c>
      <c r="AI1179" s="4">
        <v>4</v>
      </c>
      <c r="AJ1179" s="4">
        <v>10</v>
      </c>
      <c r="AK1179" s="4">
        <v>10</v>
      </c>
      <c r="AL1179" s="4">
        <v>3</v>
      </c>
      <c r="AM1179" s="4">
        <v>3</v>
      </c>
      <c r="AN1179" s="4">
        <v>0</v>
      </c>
      <c r="AO1179" s="4">
        <v>0</v>
      </c>
      <c r="AP1179" s="3" t="s">
        <v>58</v>
      </c>
      <c r="AQ1179" s="3" t="s">
        <v>86</v>
      </c>
      <c r="AR1179" s="6" t="str">
        <f>HYPERLINK("http://catalog.hathitrust.org/Record/003054959","HathiTrust Record")</f>
        <v>HathiTrust Record</v>
      </c>
      <c r="AS1179" s="6" t="str">
        <f>HYPERLINK("https://creighton-primo.hosted.exlibrisgroup.com/primo-explore/search?tab=default_tab&amp;search_scope=EVERYTHING&amp;vid=01CRU&amp;lang=en_US&amp;offset=0&amp;query=any,contains,991002530049702656","Catalog Record")</f>
        <v>Catalog Record</v>
      </c>
      <c r="AT1179" s="6" t="str">
        <f>HYPERLINK("http://www.worldcat.org/oclc/32891893","WorldCat Record")</f>
        <v>WorldCat Record</v>
      </c>
      <c r="AU1179" s="3" t="s">
        <v>15184</v>
      </c>
      <c r="AV1179" s="3" t="s">
        <v>15185</v>
      </c>
      <c r="AW1179" s="3" t="s">
        <v>15186</v>
      </c>
      <c r="AX1179" s="3" t="s">
        <v>15186</v>
      </c>
      <c r="AY1179" s="3" t="s">
        <v>15187</v>
      </c>
      <c r="AZ1179" s="3" t="s">
        <v>74</v>
      </c>
      <c r="BB1179" s="3" t="s">
        <v>15188</v>
      </c>
      <c r="BC1179" s="3" t="s">
        <v>15189</v>
      </c>
      <c r="BD1179" s="3" t="s">
        <v>15190</v>
      </c>
    </row>
    <row r="1180" spans="1:56" ht="42.75" customHeight="1" x14ac:dyDescent="0.25">
      <c r="A1180" s="7" t="s">
        <v>58</v>
      </c>
      <c r="B1180" s="2" t="s">
        <v>15191</v>
      </c>
      <c r="C1180" s="2" t="s">
        <v>15192</v>
      </c>
      <c r="D1180" s="2" t="s">
        <v>15193</v>
      </c>
      <c r="F1180" s="3" t="s">
        <v>58</v>
      </c>
      <c r="G1180" s="3" t="s">
        <v>59</v>
      </c>
      <c r="H1180" s="3" t="s">
        <v>58</v>
      </c>
      <c r="I1180" s="3" t="s">
        <v>58</v>
      </c>
      <c r="J1180" s="3" t="s">
        <v>60</v>
      </c>
      <c r="K1180" s="2" t="s">
        <v>15194</v>
      </c>
      <c r="L1180" s="2" t="s">
        <v>15195</v>
      </c>
      <c r="M1180" s="3" t="s">
        <v>371</v>
      </c>
      <c r="O1180" s="3" t="s">
        <v>64</v>
      </c>
      <c r="P1180" s="3" t="s">
        <v>3070</v>
      </c>
      <c r="R1180" s="3" t="s">
        <v>67</v>
      </c>
      <c r="S1180" s="4">
        <v>11</v>
      </c>
      <c r="T1180" s="4">
        <v>11</v>
      </c>
      <c r="U1180" s="5" t="s">
        <v>13089</v>
      </c>
      <c r="V1180" s="5" t="s">
        <v>13089</v>
      </c>
      <c r="W1180" s="5" t="s">
        <v>15196</v>
      </c>
      <c r="X1180" s="5" t="s">
        <v>15196</v>
      </c>
      <c r="Y1180" s="4">
        <v>32</v>
      </c>
      <c r="Z1180" s="4">
        <v>25</v>
      </c>
      <c r="AA1180" s="4">
        <v>25</v>
      </c>
      <c r="AB1180" s="4">
        <v>2</v>
      </c>
      <c r="AC1180" s="4">
        <v>2</v>
      </c>
      <c r="AD1180" s="4">
        <v>4</v>
      </c>
      <c r="AE1180" s="4">
        <v>4</v>
      </c>
      <c r="AF1180" s="4">
        <v>0</v>
      </c>
      <c r="AG1180" s="4">
        <v>0</v>
      </c>
      <c r="AH1180" s="4">
        <v>1</v>
      </c>
      <c r="AI1180" s="4">
        <v>1</v>
      </c>
      <c r="AJ1180" s="4">
        <v>2</v>
      </c>
      <c r="AK1180" s="4">
        <v>2</v>
      </c>
      <c r="AL1180" s="4">
        <v>1</v>
      </c>
      <c r="AM1180" s="4">
        <v>1</v>
      </c>
      <c r="AN1180" s="4">
        <v>0</v>
      </c>
      <c r="AO1180" s="4">
        <v>0</v>
      </c>
      <c r="AP1180" s="3" t="s">
        <v>58</v>
      </c>
      <c r="AQ1180" s="3" t="s">
        <v>58</v>
      </c>
      <c r="AS1180" s="6" t="str">
        <f>HYPERLINK("https://creighton-primo.hosted.exlibrisgroup.com/primo-explore/search?tab=default_tab&amp;search_scope=EVERYTHING&amp;vid=01CRU&amp;lang=en_US&amp;offset=0&amp;query=any,contains,991000945439702656","Catalog Record")</f>
        <v>Catalog Record</v>
      </c>
      <c r="AT1180" s="6" t="str">
        <f>HYPERLINK("http://www.worldcat.org/oclc/14520973","WorldCat Record")</f>
        <v>WorldCat Record</v>
      </c>
      <c r="AU1180" s="3" t="s">
        <v>15197</v>
      </c>
      <c r="AV1180" s="3" t="s">
        <v>15198</v>
      </c>
      <c r="AW1180" s="3" t="s">
        <v>15199</v>
      </c>
      <c r="AX1180" s="3" t="s">
        <v>15199</v>
      </c>
      <c r="AY1180" s="3" t="s">
        <v>15200</v>
      </c>
      <c r="AZ1180" s="3" t="s">
        <v>74</v>
      </c>
      <c r="BB1180" s="3" t="s">
        <v>15201</v>
      </c>
      <c r="BC1180" s="3" t="s">
        <v>15202</v>
      </c>
      <c r="BD1180" s="3" t="s">
        <v>15203</v>
      </c>
    </row>
    <row r="1181" spans="1:56" ht="42.75" customHeight="1" x14ac:dyDescent="0.25">
      <c r="A1181" s="7" t="s">
        <v>58</v>
      </c>
      <c r="B1181" s="2" t="s">
        <v>15204</v>
      </c>
      <c r="C1181" s="2" t="s">
        <v>15205</v>
      </c>
      <c r="D1181" s="2" t="s">
        <v>15206</v>
      </c>
      <c r="F1181" s="3" t="s">
        <v>58</v>
      </c>
      <c r="G1181" s="3" t="s">
        <v>59</v>
      </c>
      <c r="H1181" s="3" t="s">
        <v>58</v>
      </c>
      <c r="I1181" s="3" t="s">
        <v>58</v>
      </c>
      <c r="J1181" s="3" t="s">
        <v>60</v>
      </c>
      <c r="K1181" s="2" t="s">
        <v>15207</v>
      </c>
      <c r="L1181" s="2" t="s">
        <v>15208</v>
      </c>
      <c r="M1181" s="3" t="s">
        <v>5200</v>
      </c>
      <c r="O1181" s="3" t="s">
        <v>64</v>
      </c>
      <c r="P1181" s="3" t="s">
        <v>115</v>
      </c>
      <c r="R1181" s="3" t="s">
        <v>67</v>
      </c>
      <c r="S1181" s="4">
        <v>11</v>
      </c>
      <c r="T1181" s="4">
        <v>11</v>
      </c>
      <c r="U1181" s="5" t="s">
        <v>2105</v>
      </c>
      <c r="V1181" s="5" t="s">
        <v>2105</v>
      </c>
      <c r="W1181" s="5" t="s">
        <v>6584</v>
      </c>
      <c r="X1181" s="5" t="s">
        <v>6584</v>
      </c>
      <c r="Y1181" s="4">
        <v>444</v>
      </c>
      <c r="Z1181" s="4">
        <v>397</v>
      </c>
      <c r="AA1181" s="4">
        <v>409</v>
      </c>
      <c r="AB1181" s="4">
        <v>3</v>
      </c>
      <c r="AC1181" s="4">
        <v>3</v>
      </c>
      <c r="AD1181" s="4">
        <v>12</v>
      </c>
      <c r="AE1181" s="4">
        <v>12</v>
      </c>
      <c r="AF1181" s="4">
        <v>4</v>
      </c>
      <c r="AG1181" s="4">
        <v>4</v>
      </c>
      <c r="AH1181" s="4">
        <v>3</v>
      </c>
      <c r="AI1181" s="4">
        <v>3</v>
      </c>
      <c r="AJ1181" s="4">
        <v>5</v>
      </c>
      <c r="AK1181" s="4">
        <v>5</v>
      </c>
      <c r="AL1181" s="4">
        <v>2</v>
      </c>
      <c r="AM1181" s="4">
        <v>2</v>
      </c>
      <c r="AN1181" s="4">
        <v>1</v>
      </c>
      <c r="AO1181" s="4">
        <v>1</v>
      </c>
      <c r="AP1181" s="3" t="s">
        <v>58</v>
      </c>
      <c r="AQ1181" s="3" t="s">
        <v>86</v>
      </c>
      <c r="AR1181" s="6" t="str">
        <f>HYPERLINK("http://catalog.hathitrust.org/Record/001565184","HathiTrust Record")</f>
        <v>HathiTrust Record</v>
      </c>
      <c r="AS1181" s="6" t="str">
        <f>HYPERLINK("https://creighton-primo.hosted.exlibrisgroup.com/primo-explore/search?tab=default_tab&amp;search_scope=EVERYTHING&amp;vid=01CRU&amp;lang=en_US&amp;offset=0&amp;query=any,contains,991002498239702656","Catalog Record")</f>
        <v>Catalog Record</v>
      </c>
      <c r="AT1181" s="6" t="str">
        <f>HYPERLINK("http://www.worldcat.org/oclc/364048","WorldCat Record")</f>
        <v>WorldCat Record</v>
      </c>
      <c r="AU1181" s="3" t="s">
        <v>15209</v>
      </c>
      <c r="AV1181" s="3" t="s">
        <v>15210</v>
      </c>
      <c r="AW1181" s="3" t="s">
        <v>15211</v>
      </c>
      <c r="AX1181" s="3" t="s">
        <v>15211</v>
      </c>
      <c r="AY1181" s="3" t="s">
        <v>15212</v>
      </c>
      <c r="AZ1181" s="3" t="s">
        <v>74</v>
      </c>
      <c r="BB1181" s="3" t="s">
        <v>15213</v>
      </c>
      <c r="BC1181" s="3" t="s">
        <v>15214</v>
      </c>
      <c r="BD1181" s="3" t="s">
        <v>15215</v>
      </c>
    </row>
    <row r="1182" spans="1:56" ht="42.75" customHeight="1" x14ac:dyDescent="0.25">
      <c r="A1182" s="7" t="s">
        <v>58</v>
      </c>
      <c r="B1182" s="2" t="s">
        <v>15216</v>
      </c>
      <c r="C1182" s="2" t="s">
        <v>15217</v>
      </c>
      <c r="D1182" s="2" t="s">
        <v>15218</v>
      </c>
      <c r="F1182" s="3" t="s">
        <v>58</v>
      </c>
      <c r="G1182" s="3" t="s">
        <v>59</v>
      </c>
      <c r="H1182" s="3" t="s">
        <v>58</v>
      </c>
      <c r="I1182" s="3" t="s">
        <v>58</v>
      </c>
      <c r="J1182" s="3" t="s">
        <v>60</v>
      </c>
      <c r="K1182" s="2" t="s">
        <v>12984</v>
      </c>
      <c r="L1182" s="2" t="s">
        <v>15219</v>
      </c>
      <c r="M1182" s="3" t="s">
        <v>192</v>
      </c>
      <c r="O1182" s="3" t="s">
        <v>64</v>
      </c>
      <c r="P1182" s="3" t="s">
        <v>2331</v>
      </c>
      <c r="R1182" s="3" t="s">
        <v>67</v>
      </c>
      <c r="S1182" s="4">
        <v>1</v>
      </c>
      <c r="T1182" s="4">
        <v>1</v>
      </c>
      <c r="U1182" s="5" t="s">
        <v>15220</v>
      </c>
      <c r="V1182" s="5" t="s">
        <v>15220</v>
      </c>
      <c r="W1182" s="5" t="s">
        <v>14781</v>
      </c>
      <c r="X1182" s="5" t="s">
        <v>14781</v>
      </c>
      <c r="Y1182" s="4">
        <v>789</v>
      </c>
      <c r="Z1182" s="4">
        <v>715</v>
      </c>
      <c r="AA1182" s="4">
        <v>1073</v>
      </c>
      <c r="AB1182" s="4">
        <v>3</v>
      </c>
      <c r="AC1182" s="4">
        <v>5</v>
      </c>
      <c r="AD1182" s="4">
        <v>31</v>
      </c>
      <c r="AE1182" s="4">
        <v>37</v>
      </c>
      <c r="AF1182" s="4">
        <v>18</v>
      </c>
      <c r="AG1182" s="4">
        <v>20</v>
      </c>
      <c r="AH1182" s="4">
        <v>4</v>
      </c>
      <c r="AI1182" s="4">
        <v>5</v>
      </c>
      <c r="AJ1182" s="4">
        <v>15</v>
      </c>
      <c r="AK1182" s="4">
        <v>17</v>
      </c>
      <c r="AL1182" s="4">
        <v>2</v>
      </c>
      <c r="AM1182" s="4">
        <v>4</v>
      </c>
      <c r="AN1182" s="4">
        <v>0</v>
      </c>
      <c r="AO1182" s="4">
        <v>0</v>
      </c>
      <c r="AP1182" s="3" t="s">
        <v>58</v>
      </c>
      <c r="AQ1182" s="3" t="s">
        <v>58</v>
      </c>
      <c r="AS1182" s="6" t="str">
        <f>HYPERLINK("https://creighton-primo.hosted.exlibrisgroup.com/primo-explore/search?tab=default_tab&amp;search_scope=EVERYTHING&amp;vid=01CRU&amp;lang=en_US&amp;offset=0&amp;query=any,contains,991005212119702656","Catalog Record")</f>
        <v>Catalog Record</v>
      </c>
      <c r="AT1182" s="6" t="str">
        <f>HYPERLINK("http://www.worldcat.org/oclc/67869943","WorldCat Record")</f>
        <v>WorldCat Record</v>
      </c>
      <c r="AU1182" s="3" t="s">
        <v>15221</v>
      </c>
      <c r="AV1182" s="3" t="s">
        <v>15222</v>
      </c>
      <c r="AW1182" s="3" t="s">
        <v>15223</v>
      </c>
      <c r="AX1182" s="3" t="s">
        <v>15223</v>
      </c>
      <c r="AY1182" s="3" t="s">
        <v>15224</v>
      </c>
      <c r="AZ1182" s="3" t="s">
        <v>74</v>
      </c>
      <c r="BB1182" s="3" t="s">
        <v>15225</v>
      </c>
      <c r="BC1182" s="3" t="s">
        <v>15226</v>
      </c>
      <c r="BD1182" s="3" t="s">
        <v>15227</v>
      </c>
    </row>
    <row r="1183" spans="1:56" ht="42.75" customHeight="1" x14ac:dyDescent="0.25">
      <c r="A1183" s="7" t="s">
        <v>58</v>
      </c>
      <c r="B1183" s="2" t="s">
        <v>15228</v>
      </c>
      <c r="C1183" s="2" t="s">
        <v>15229</v>
      </c>
      <c r="D1183" s="2" t="s">
        <v>15230</v>
      </c>
      <c r="F1183" s="3" t="s">
        <v>58</v>
      </c>
      <c r="G1183" s="3" t="s">
        <v>59</v>
      </c>
      <c r="H1183" s="3" t="s">
        <v>58</v>
      </c>
      <c r="I1183" s="3" t="s">
        <v>58</v>
      </c>
      <c r="J1183" s="3" t="s">
        <v>60</v>
      </c>
      <c r="K1183" s="2" t="s">
        <v>15231</v>
      </c>
      <c r="L1183" s="2" t="s">
        <v>15232</v>
      </c>
      <c r="M1183" s="3" t="s">
        <v>765</v>
      </c>
      <c r="O1183" s="3" t="s">
        <v>64</v>
      </c>
      <c r="P1183" s="3" t="s">
        <v>1898</v>
      </c>
      <c r="R1183" s="3" t="s">
        <v>67</v>
      </c>
      <c r="S1183" s="4">
        <v>20</v>
      </c>
      <c r="T1183" s="4">
        <v>20</v>
      </c>
      <c r="U1183" s="5" t="s">
        <v>15122</v>
      </c>
      <c r="V1183" s="5" t="s">
        <v>15122</v>
      </c>
      <c r="W1183" s="5" t="s">
        <v>15233</v>
      </c>
      <c r="X1183" s="5" t="s">
        <v>15233</v>
      </c>
      <c r="Y1183" s="4">
        <v>602</v>
      </c>
      <c r="Z1183" s="4">
        <v>515</v>
      </c>
      <c r="AA1183" s="4">
        <v>548</v>
      </c>
      <c r="AB1183" s="4">
        <v>3</v>
      </c>
      <c r="AC1183" s="4">
        <v>3</v>
      </c>
      <c r="AD1183" s="4">
        <v>26</v>
      </c>
      <c r="AE1183" s="4">
        <v>27</v>
      </c>
      <c r="AF1183" s="4">
        <v>12</v>
      </c>
      <c r="AG1183" s="4">
        <v>12</v>
      </c>
      <c r="AH1183" s="4">
        <v>6</v>
      </c>
      <c r="AI1183" s="4">
        <v>7</v>
      </c>
      <c r="AJ1183" s="4">
        <v>15</v>
      </c>
      <c r="AK1183" s="4">
        <v>15</v>
      </c>
      <c r="AL1183" s="4">
        <v>2</v>
      </c>
      <c r="AM1183" s="4">
        <v>2</v>
      </c>
      <c r="AN1183" s="4">
        <v>0</v>
      </c>
      <c r="AO1183" s="4">
        <v>0</v>
      </c>
      <c r="AP1183" s="3" t="s">
        <v>58</v>
      </c>
      <c r="AQ1183" s="3" t="s">
        <v>58</v>
      </c>
      <c r="AS1183" s="6" t="str">
        <f>HYPERLINK("https://creighton-primo.hosted.exlibrisgroup.com/primo-explore/search?tab=default_tab&amp;search_scope=EVERYTHING&amp;vid=01CRU&amp;lang=en_US&amp;offset=0&amp;query=any,contains,991002475279702656","Catalog Record")</f>
        <v>Catalog Record</v>
      </c>
      <c r="AT1183" s="6" t="str">
        <f>HYPERLINK("http://www.worldcat.org/oclc/32236181","WorldCat Record")</f>
        <v>WorldCat Record</v>
      </c>
      <c r="AU1183" s="3" t="s">
        <v>15234</v>
      </c>
      <c r="AV1183" s="3" t="s">
        <v>15235</v>
      </c>
      <c r="AW1183" s="3" t="s">
        <v>15236</v>
      </c>
      <c r="AX1183" s="3" t="s">
        <v>15236</v>
      </c>
      <c r="AY1183" s="3" t="s">
        <v>15237</v>
      </c>
      <c r="AZ1183" s="3" t="s">
        <v>74</v>
      </c>
      <c r="BB1183" s="3" t="s">
        <v>15238</v>
      </c>
      <c r="BC1183" s="3" t="s">
        <v>15239</v>
      </c>
      <c r="BD1183" s="3" t="s">
        <v>15240</v>
      </c>
    </row>
    <row r="1184" spans="1:56" ht="42.75" customHeight="1" x14ac:dyDescent="0.25">
      <c r="A1184" s="7" t="s">
        <v>58</v>
      </c>
      <c r="B1184" s="2" t="s">
        <v>15241</v>
      </c>
      <c r="C1184" s="2" t="s">
        <v>15242</v>
      </c>
      <c r="D1184" s="2" t="s">
        <v>15243</v>
      </c>
      <c r="F1184" s="3" t="s">
        <v>58</v>
      </c>
      <c r="G1184" s="3" t="s">
        <v>59</v>
      </c>
      <c r="H1184" s="3" t="s">
        <v>58</v>
      </c>
      <c r="I1184" s="3" t="s">
        <v>58</v>
      </c>
      <c r="J1184" s="3" t="s">
        <v>60</v>
      </c>
      <c r="K1184" s="2" t="s">
        <v>15244</v>
      </c>
      <c r="L1184" s="2" t="s">
        <v>15245</v>
      </c>
      <c r="M1184" s="3" t="s">
        <v>163</v>
      </c>
      <c r="O1184" s="3" t="s">
        <v>64</v>
      </c>
      <c r="P1184" s="3" t="s">
        <v>115</v>
      </c>
      <c r="Q1184" s="2" t="s">
        <v>15246</v>
      </c>
      <c r="R1184" s="3" t="s">
        <v>67</v>
      </c>
      <c r="S1184" s="4">
        <v>2</v>
      </c>
      <c r="T1184" s="4">
        <v>2</v>
      </c>
      <c r="U1184" s="5" t="s">
        <v>15247</v>
      </c>
      <c r="V1184" s="5" t="s">
        <v>15247</v>
      </c>
      <c r="W1184" s="5" t="s">
        <v>5755</v>
      </c>
      <c r="X1184" s="5" t="s">
        <v>5755</v>
      </c>
      <c r="Y1184" s="4">
        <v>702</v>
      </c>
      <c r="Z1184" s="4">
        <v>516</v>
      </c>
      <c r="AA1184" s="4">
        <v>519</v>
      </c>
      <c r="AB1184" s="4">
        <v>6</v>
      </c>
      <c r="AC1184" s="4">
        <v>6</v>
      </c>
      <c r="AD1184" s="4">
        <v>21</v>
      </c>
      <c r="AE1184" s="4">
        <v>21</v>
      </c>
      <c r="AF1184" s="4">
        <v>5</v>
      </c>
      <c r="AG1184" s="4">
        <v>5</v>
      </c>
      <c r="AH1184" s="4">
        <v>5</v>
      </c>
      <c r="AI1184" s="4">
        <v>5</v>
      </c>
      <c r="AJ1184" s="4">
        <v>10</v>
      </c>
      <c r="AK1184" s="4">
        <v>10</v>
      </c>
      <c r="AL1184" s="4">
        <v>4</v>
      </c>
      <c r="AM1184" s="4">
        <v>4</v>
      </c>
      <c r="AN1184" s="4">
        <v>1</v>
      </c>
      <c r="AO1184" s="4">
        <v>1</v>
      </c>
      <c r="AP1184" s="3" t="s">
        <v>58</v>
      </c>
      <c r="AQ1184" s="3" t="s">
        <v>86</v>
      </c>
      <c r="AR1184" s="6" t="str">
        <f>HYPERLINK("http://catalog.hathitrust.org/Record/001565189","HathiTrust Record")</f>
        <v>HathiTrust Record</v>
      </c>
      <c r="AS1184" s="6" t="str">
        <f>HYPERLINK("https://creighton-primo.hosted.exlibrisgroup.com/primo-explore/search?tab=default_tab&amp;search_scope=EVERYTHING&amp;vid=01CRU&amp;lang=en_US&amp;offset=0&amp;query=any,contains,991000917249702656","Catalog Record")</f>
        <v>Catalog Record</v>
      </c>
      <c r="AT1184" s="6" t="str">
        <f>HYPERLINK("http://www.worldcat.org/oclc/160712","WorldCat Record")</f>
        <v>WorldCat Record</v>
      </c>
      <c r="AU1184" s="3" t="s">
        <v>15248</v>
      </c>
      <c r="AV1184" s="3" t="s">
        <v>15249</v>
      </c>
      <c r="AW1184" s="3" t="s">
        <v>15250</v>
      </c>
      <c r="AX1184" s="3" t="s">
        <v>15250</v>
      </c>
      <c r="AY1184" s="3" t="s">
        <v>15251</v>
      </c>
      <c r="AZ1184" s="3" t="s">
        <v>74</v>
      </c>
      <c r="BB1184" s="3" t="s">
        <v>15252</v>
      </c>
      <c r="BC1184" s="3" t="s">
        <v>15253</v>
      </c>
      <c r="BD1184" s="3" t="s">
        <v>15254</v>
      </c>
    </row>
    <row r="1185" spans="1:56" ht="42.75" customHeight="1" x14ac:dyDescent="0.25">
      <c r="A1185" s="7" t="s">
        <v>58</v>
      </c>
      <c r="B1185" s="2" t="s">
        <v>15255</v>
      </c>
      <c r="C1185" s="2" t="s">
        <v>15256</v>
      </c>
      <c r="D1185" s="2" t="s">
        <v>15257</v>
      </c>
      <c r="F1185" s="3" t="s">
        <v>58</v>
      </c>
      <c r="G1185" s="3" t="s">
        <v>59</v>
      </c>
      <c r="H1185" s="3" t="s">
        <v>58</v>
      </c>
      <c r="I1185" s="3" t="s">
        <v>58</v>
      </c>
      <c r="J1185" s="3" t="s">
        <v>60</v>
      </c>
      <c r="L1185" s="2" t="s">
        <v>10338</v>
      </c>
      <c r="M1185" s="3" t="s">
        <v>371</v>
      </c>
      <c r="N1185" s="2" t="s">
        <v>1736</v>
      </c>
      <c r="O1185" s="3" t="s">
        <v>64</v>
      </c>
      <c r="P1185" s="3" t="s">
        <v>115</v>
      </c>
      <c r="R1185" s="3" t="s">
        <v>67</v>
      </c>
      <c r="S1185" s="4">
        <v>21</v>
      </c>
      <c r="T1185" s="4">
        <v>21</v>
      </c>
      <c r="U1185" s="5" t="s">
        <v>15258</v>
      </c>
      <c r="V1185" s="5" t="s">
        <v>15258</v>
      </c>
      <c r="W1185" s="5" t="s">
        <v>15259</v>
      </c>
      <c r="X1185" s="5" t="s">
        <v>15259</v>
      </c>
      <c r="Y1185" s="4">
        <v>409</v>
      </c>
      <c r="Z1185" s="4">
        <v>344</v>
      </c>
      <c r="AA1185" s="4">
        <v>350</v>
      </c>
      <c r="AB1185" s="4">
        <v>3</v>
      </c>
      <c r="AC1185" s="4">
        <v>3</v>
      </c>
      <c r="AD1185" s="4">
        <v>20</v>
      </c>
      <c r="AE1185" s="4">
        <v>20</v>
      </c>
      <c r="AF1185" s="4">
        <v>6</v>
      </c>
      <c r="AG1185" s="4">
        <v>6</v>
      </c>
      <c r="AH1185" s="4">
        <v>7</v>
      </c>
      <c r="AI1185" s="4">
        <v>7</v>
      </c>
      <c r="AJ1185" s="4">
        <v>10</v>
      </c>
      <c r="AK1185" s="4">
        <v>10</v>
      </c>
      <c r="AL1185" s="4">
        <v>2</v>
      </c>
      <c r="AM1185" s="4">
        <v>2</v>
      </c>
      <c r="AN1185" s="4">
        <v>0</v>
      </c>
      <c r="AO1185" s="4">
        <v>0</v>
      </c>
      <c r="AP1185" s="3" t="s">
        <v>58</v>
      </c>
      <c r="AQ1185" s="3" t="s">
        <v>58</v>
      </c>
      <c r="AR1185" s="6" t="str">
        <f>HYPERLINK("http://catalog.hathitrust.org/Record/010385724","HathiTrust Record")</f>
        <v>HathiTrust Record</v>
      </c>
      <c r="AS1185" s="6" t="str">
        <f>HYPERLINK("https://creighton-primo.hosted.exlibrisgroup.com/primo-explore/search?tab=default_tab&amp;search_scope=EVERYTHING&amp;vid=01CRU&amp;lang=en_US&amp;offset=0&amp;query=any,contains,991000778629702656","Catalog Record")</f>
        <v>Catalog Record</v>
      </c>
      <c r="AT1185" s="6" t="str">
        <f>HYPERLINK("http://www.worldcat.org/oclc/13093493","WorldCat Record")</f>
        <v>WorldCat Record</v>
      </c>
      <c r="AU1185" s="3" t="s">
        <v>15260</v>
      </c>
      <c r="AV1185" s="3" t="s">
        <v>15261</v>
      </c>
      <c r="AW1185" s="3" t="s">
        <v>15262</v>
      </c>
      <c r="AX1185" s="3" t="s">
        <v>15262</v>
      </c>
      <c r="AY1185" s="3" t="s">
        <v>15263</v>
      </c>
      <c r="AZ1185" s="3" t="s">
        <v>74</v>
      </c>
      <c r="BB1185" s="3" t="s">
        <v>15264</v>
      </c>
      <c r="BC1185" s="3" t="s">
        <v>15265</v>
      </c>
      <c r="BD1185" s="3" t="s">
        <v>15266</v>
      </c>
    </row>
    <row r="1186" spans="1:56" ht="42.75" customHeight="1" x14ac:dyDescent="0.25">
      <c r="A1186" s="7" t="s">
        <v>58</v>
      </c>
      <c r="B1186" s="2" t="s">
        <v>15267</v>
      </c>
      <c r="C1186" s="2" t="s">
        <v>15268</v>
      </c>
      <c r="D1186" s="2" t="s">
        <v>15269</v>
      </c>
      <c r="F1186" s="3" t="s">
        <v>58</v>
      </c>
      <c r="G1186" s="3" t="s">
        <v>59</v>
      </c>
      <c r="H1186" s="3" t="s">
        <v>58</v>
      </c>
      <c r="I1186" s="3" t="s">
        <v>58</v>
      </c>
      <c r="J1186" s="3" t="s">
        <v>60</v>
      </c>
      <c r="K1186" s="2" t="s">
        <v>15270</v>
      </c>
      <c r="L1186" s="2" t="s">
        <v>15271</v>
      </c>
      <c r="M1186" s="3" t="s">
        <v>1035</v>
      </c>
      <c r="O1186" s="3" t="s">
        <v>64</v>
      </c>
      <c r="P1186" s="3" t="s">
        <v>115</v>
      </c>
      <c r="R1186" s="3" t="s">
        <v>67</v>
      </c>
      <c r="S1186" s="4">
        <v>8</v>
      </c>
      <c r="T1186" s="4">
        <v>8</v>
      </c>
      <c r="U1186" s="5" t="s">
        <v>15272</v>
      </c>
      <c r="V1186" s="5" t="s">
        <v>15272</v>
      </c>
      <c r="W1186" s="5" t="s">
        <v>15273</v>
      </c>
      <c r="X1186" s="5" t="s">
        <v>15273</v>
      </c>
      <c r="Y1186" s="4">
        <v>132</v>
      </c>
      <c r="Z1186" s="4">
        <v>100</v>
      </c>
      <c r="AA1186" s="4">
        <v>125</v>
      </c>
      <c r="AB1186" s="4">
        <v>1</v>
      </c>
      <c r="AC1186" s="4">
        <v>1</v>
      </c>
      <c r="AD1186" s="4">
        <v>3</v>
      </c>
      <c r="AE1186" s="4">
        <v>5</v>
      </c>
      <c r="AF1186" s="4">
        <v>2</v>
      </c>
      <c r="AG1186" s="4">
        <v>3</v>
      </c>
      <c r="AH1186" s="4">
        <v>0</v>
      </c>
      <c r="AI1186" s="4">
        <v>1</v>
      </c>
      <c r="AJ1186" s="4">
        <v>2</v>
      </c>
      <c r="AK1186" s="4">
        <v>3</v>
      </c>
      <c r="AL1186" s="4">
        <v>0</v>
      </c>
      <c r="AM1186" s="4">
        <v>0</v>
      </c>
      <c r="AN1186" s="4">
        <v>0</v>
      </c>
      <c r="AO1186" s="4">
        <v>0</v>
      </c>
      <c r="AP1186" s="3" t="s">
        <v>58</v>
      </c>
      <c r="AQ1186" s="3" t="s">
        <v>58</v>
      </c>
      <c r="AS1186" s="6" t="str">
        <f>HYPERLINK("https://creighton-primo.hosted.exlibrisgroup.com/primo-explore/search?tab=default_tab&amp;search_scope=EVERYTHING&amp;vid=01CRU&amp;lang=en_US&amp;offset=0&amp;query=any,contains,991004121329702656","Catalog Record")</f>
        <v>Catalog Record</v>
      </c>
      <c r="AT1186" s="6" t="str">
        <f>HYPERLINK("http://www.worldcat.org/oclc/47270595","WorldCat Record")</f>
        <v>WorldCat Record</v>
      </c>
      <c r="AU1186" s="3" t="s">
        <v>15274</v>
      </c>
      <c r="AV1186" s="3" t="s">
        <v>15275</v>
      </c>
      <c r="AW1186" s="3" t="s">
        <v>15276</v>
      </c>
      <c r="AX1186" s="3" t="s">
        <v>15276</v>
      </c>
      <c r="AY1186" s="3" t="s">
        <v>15277</v>
      </c>
      <c r="AZ1186" s="3" t="s">
        <v>74</v>
      </c>
      <c r="BB1186" s="3" t="s">
        <v>15278</v>
      </c>
      <c r="BC1186" s="3" t="s">
        <v>15279</v>
      </c>
      <c r="BD1186" s="3" t="s">
        <v>15280</v>
      </c>
    </row>
    <row r="1187" spans="1:56" ht="42.75" customHeight="1" x14ac:dyDescent="0.25">
      <c r="A1187" s="7" t="s">
        <v>58</v>
      </c>
      <c r="B1187" s="2" t="s">
        <v>15281</v>
      </c>
      <c r="C1187" s="2" t="s">
        <v>15282</v>
      </c>
      <c r="D1187" s="2" t="s">
        <v>15283</v>
      </c>
      <c r="E1187" s="3" t="s">
        <v>341</v>
      </c>
      <c r="F1187" s="3" t="s">
        <v>86</v>
      </c>
      <c r="G1187" s="3" t="s">
        <v>59</v>
      </c>
      <c r="H1187" s="3" t="s">
        <v>58</v>
      </c>
      <c r="I1187" s="3" t="s">
        <v>58</v>
      </c>
      <c r="J1187" s="3" t="s">
        <v>60</v>
      </c>
      <c r="K1187" s="2" t="s">
        <v>15284</v>
      </c>
      <c r="L1187" s="2" t="s">
        <v>15285</v>
      </c>
      <c r="M1187" s="3" t="s">
        <v>2386</v>
      </c>
      <c r="O1187" s="3" t="s">
        <v>64</v>
      </c>
      <c r="P1187" s="3" t="s">
        <v>2854</v>
      </c>
      <c r="R1187" s="3" t="s">
        <v>67</v>
      </c>
      <c r="S1187" s="4">
        <v>2</v>
      </c>
      <c r="T1187" s="4">
        <v>2</v>
      </c>
      <c r="U1187" s="5" t="s">
        <v>15286</v>
      </c>
      <c r="V1187" s="5" t="s">
        <v>15286</v>
      </c>
      <c r="W1187" s="5" t="s">
        <v>2813</v>
      </c>
      <c r="X1187" s="5" t="s">
        <v>2813</v>
      </c>
      <c r="Y1187" s="4">
        <v>74</v>
      </c>
      <c r="Z1187" s="4">
        <v>63</v>
      </c>
      <c r="AA1187" s="4">
        <v>132</v>
      </c>
      <c r="AB1187" s="4">
        <v>2</v>
      </c>
      <c r="AC1187" s="4">
        <v>2</v>
      </c>
      <c r="AD1187" s="4">
        <v>3</v>
      </c>
      <c r="AE1187" s="4">
        <v>4</v>
      </c>
      <c r="AF1187" s="4">
        <v>1</v>
      </c>
      <c r="AG1187" s="4">
        <v>1</v>
      </c>
      <c r="AH1187" s="4">
        <v>0</v>
      </c>
      <c r="AI1187" s="4">
        <v>0</v>
      </c>
      <c r="AJ1187" s="4">
        <v>1</v>
      </c>
      <c r="AK1187" s="4">
        <v>2</v>
      </c>
      <c r="AL1187" s="4">
        <v>1</v>
      </c>
      <c r="AM1187" s="4">
        <v>1</v>
      </c>
      <c r="AN1187" s="4">
        <v>0</v>
      </c>
      <c r="AO1187" s="4">
        <v>0</v>
      </c>
      <c r="AP1187" s="3" t="s">
        <v>58</v>
      </c>
      <c r="AQ1187" s="3" t="s">
        <v>58</v>
      </c>
      <c r="AS1187" s="6" t="str">
        <f>HYPERLINK("https://creighton-primo.hosted.exlibrisgroup.com/primo-explore/search?tab=default_tab&amp;search_scope=EVERYTHING&amp;vid=01CRU&amp;lang=en_US&amp;offset=0&amp;query=any,contains,991003878039702656","Catalog Record")</f>
        <v>Catalog Record</v>
      </c>
      <c r="AT1187" s="6" t="str">
        <f>HYPERLINK("http://www.worldcat.org/oclc/1711496","WorldCat Record")</f>
        <v>WorldCat Record</v>
      </c>
      <c r="AU1187" s="3" t="s">
        <v>15287</v>
      </c>
      <c r="AV1187" s="3" t="s">
        <v>15288</v>
      </c>
      <c r="AW1187" s="3" t="s">
        <v>15289</v>
      </c>
      <c r="AX1187" s="3" t="s">
        <v>15289</v>
      </c>
      <c r="AY1187" s="3" t="s">
        <v>15290</v>
      </c>
      <c r="AZ1187" s="3" t="s">
        <v>74</v>
      </c>
      <c r="BC1187" s="3" t="s">
        <v>15291</v>
      </c>
      <c r="BD1187" s="3" t="s">
        <v>15292</v>
      </c>
    </row>
    <row r="1188" spans="1:56" ht="42.75" customHeight="1" x14ac:dyDescent="0.25">
      <c r="A1188" s="7" t="s">
        <v>58</v>
      </c>
      <c r="B1188" s="2" t="s">
        <v>15293</v>
      </c>
      <c r="C1188" s="2" t="s">
        <v>15294</v>
      </c>
      <c r="D1188" s="2" t="s">
        <v>15295</v>
      </c>
      <c r="F1188" s="3" t="s">
        <v>58</v>
      </c>
      <c r="G1188" s="3" t="s">
        <v>59</v>
      </c>
      <c r="H1188" s="3" t="s">
        <v>58</v>
      </c>
      <c r="I1188" s="3" t="s">
        <v>58</v>
      </c>
      <c r="J1188" s="3" t="s">
        <v>60</v>
      </c>
      <c r="L1188" s="2" t="s">
        <v>3747</v>
      </c>
      <c r="M1188" s="3" t="s">
        <v>344</v>
      </c>
      <c r="O1188" s="3" t="s">
        <v>64</v>
      </c>
      <c r="P1188" s="3" t="s">
        <v>83</v>
      </c>
      <c r="R1188" s="3" t="s">
        <v>67</v>
      </c>
      <c r="S1188" s="4">
        <v>3</v>
      </c>
      <c r="T1188" s="4">
        <v>3</v>
      </c>
      <c r="U1188" s="5" t="s">
        <v>15296</v>
      </c>
      <c r="V1188" s="5" t="s">
        <v>15296</v>
      </c>
      <c r="W1188" s="5" t="s">
        <v>4730</v>
      </c>
      <c r="X1188" s="5" t="s">
        <v>4730</v>
      </c>
      <c r="Y1188" s="4">
        <v>137</v>
      </c>
      <c r="Z1188" s="4">
        <v>111</v>
      </c>
      <c r="AA1188" s="4">
        <v>123</v>
      </c>
      <c r="AB1188" s="4">
        <v>2</v>
      </c>
      <c r="AC1188" s="4">
        <v>2</v>
      </c>
      <c r="AD1188" s="4">
        <v>2</v>
      </c>
      <c r="AE1188" s="4">
        <v>3</v>
      </c>
      <c r="AF1188" s="4">
        <v>0</v>
      </c>
      <c r="AG1188" s="4">
        <v>1</v>
      </c>
      <c r="AH1188" s="4">
        <v>0</v>
      </c>
      <c r="AI1188" s="4">
        <v>1</v>
      </c>
      <c r="AJ1188" s="4">
        <v>1</v>
      </c>
      <c r="AK1188" s="4">
        <v>1</v>
      </c>
      <c r="AL1188" s="4">
        <v>1</v>
      </c>
      <c r="AM1188" s="4">
        <v>1</v>
      </c>
      <c r="AN1188" s="4">
        <v>0</v>
      </c>
      <c r="AO1188" s="4">
        <v>0</v>
      </c>
      <c r="AP1188" s="3" t="s">
        <v>58</v>
      </c>
      <c r="AQ1188" s="3" t="s">
        <v>58</v>
      </c>
      <c r="AS1188" s="6" t="str">
        <f>HYPERLINK("https://creighton-primo.hosted.exlibrisgroup.com/primo-explore/search?tab=default_tab&amp;search_scope=EVERYTHING&amp;vid=01CRU&amp;lang=en_US&amp;offset=0&amp;query=any,contains,991004808739702656","Catalog Record")</f>
        <v>Catalog Record</v>
      </c>
      <c r="AT1188" s="6" t="str">
        <f>HYPERLINK("http://www.worldcat.org/oclc/5264552","WorldCat Record")</f>
        <v>WorldCat Record</v>
      </c>
      <c r="AU1188" s="3" t="s">
        <v>15297</v>
      </c>
      <c r="AV1188" s="3" t="s">
        <v>15298</v>
      </c>
      <c r="AW1188" s="3" t="s">
        <v>15299</v>
      </c>
      <c r="AX1188" s="3" t="s">
        <v>15299</v>
      </c>
      <c r="AY1188" s="3" t="s">
        <v>15300</v>
      </c>
      <c r="AZ1188" s="3" t="s">
        <v>74</v>
      </c>
      <c r="BB1188" s="3" t="s">
        <v>15301</v>
      </c>
      <c r="BC1188" s="3" t="s">
        <v>15302</v>
      </c>
      <c r="BD1188" s="3" t="s">
        <v>15303</v>
      </c>
    </row>
    <row r="1189" spans="1:56" ht="42.75" customHeight="1" x14ac:dyDescent="0.25">
      <c r="A1189" s="7" t="s">
        <v>58</v>
      </c>
      <c r="B1189" s="2" t="s">
        <v>15304</v>
      </c>
      <c r="C1189" s="2" t="s">
        <v>15305</v>
      </c>
      <c r="D1189" s="2" t="s">
        <v>15306</v>
      </c>
      <c r="F1189" s="3" t="s">
        <v>58</v>
      </c>
      <c r="G1189" s="3" t="s">
        <v>59</v>
      </c>
      <c r="H1189" s="3" t="s">
        <v>58</v>
      </c>
      <c r="I1189" s="3" t="s">
        <v>58</v>
      </c>
      <c r="J1189" s="3" t="s">
        <v>60</v>
      </c>
      <c r="K1189" s="2" t="s">
        <v>15307</v>
      </c>
      <c r="L1189" s="2" t="s">
        <v>15308</v>
      </c>
      <c r="M1189" s="3" t="s">
        <v>2386</v>
      </c>
      <c r="O1189" s="3" t="s">
        <v>64</v>
      </c>
      <c r="P1189" s="3" t="s">
        <v>115</v>
      </c>
      <c r="R1189" s="3" t="s">
        <v>67</v>
      </c>
      <c r="S1189" s="4">
        <v>8</v>
      </c>
      <c r="T1189" s="4">
        <v>8</v>
      </c>
      <c r="U1189" s="5" t="s">
        <v>4123</v>
      </c>
      <c r="V1189" s="5" t="s">
        <v>4123</v>
      </c>
      <c r="W1189" s="5" t="s">
        <v>2813</v>
      </c>
      <c r="X1189" s="5" t="s">
        <v>2813</v>
      </c>
      <c r="Y1189" s="4">
        <v>194</v>
      </c>
      <c r="Z1189" s="4">
        <v>174</v>
      </c>
      <c r="AA1189" s="4">
        <v>177</v>
      </c>
      <c r="AB1189" s="4">
        <v>2</v>
      </c>
      <c r="AC1189" s="4">
        <v>2</v>
      </c>
      <c r="AD1189" s="4">
        <v>4</v>
      </c>
      <c r="AE1189" s="4">
        <v>4</v>
      </c>
      <c r="AF1189" s="4">
        <v>1</v>
      </c>
      <c r="AG1189" s="4">
        <v>1</v>
      </c>
      <c r="AH1189" s="4">
        <v>0</v>
      </c>
      <c r="AI1189" s="4">
        <v>0</v>
      </c>
      <c r="AJ1189" s="4">
        <v>2</v>
      </c>
      <c r="AK1189" s="4">
        <v>2</v>
      </c>
      <c r="AL1189" s="4">
        <v>1</v>
      </c>
      <c r="AM1189" s="4">
        <v>1</v>
      </c>
      <c r="AN1189" s="4">
        <v>0</v>
      </c>
      <c r="AO1189" s="4">
        <v>0</v>
      </c>
      <c r="AP1189" s="3" t="s">
        <v>58</v>
      </c>
      <c r="AQ1189" s="3" t="s">
        <v>86</v>
      </c>
      <c r="AR1189" s="6" t="str">
        <f>HYPERLINK("http://catalog.hathitrust.org/Record/000012759","HathiTrust Record")</f>
        <v>HathiTrust Record</v>
      </c>
      <c r="AS1189" s="6" t="str">
        <f>HYPERLINK("https://creighton-primo.hosted.exlibrisgroup.com/primo-explore/search?tab=default_tab&amp;search_scope=EVERYTHING&amp;vid=01CRU&amp;lang=en_US&amp;offset=0&amp;query=any,contains,991003311079702656","Catalog Record")</f>
        <v>Catalog Record</v>
      </c>
      <c r="AT1189" s="6" t="str">
        <f>HYPERLINK("http://www.worldcat.org/oclc/834849","WorldCat Record")</f>
        <v>WorldCat Record</v>
      </c>
      <c r="AU1189" s="3" t="s">
        <v>15309</v>
      </c>
      <c r="AV1189" s="3" t="s">
        <v>15310</v>
      </c>
      <c r="AW1189" s="3" t="s">
        <v>15311</v>
      </c>
      <c r="AX1189" s="3" t="s">
        <v>15311</v>
      </c>
      <c r="AY1189" s="3" t="s">
        <v>15312</v>
      </c>
      <c r="AZ1189" s="3" t="s">
        <v>74</v>
      </c>
      <c r="BB1189" s="3" t="s">
        <v>15313</v>
      </c>
      <c r="BC1189" s="3" t="s">
        <v>15314</v>
      </c>
      <c r="BD1189" s="3" t="s">
        <v>15315</v>
      </c>
    </row>
    <row r="1190" spans="1:56" ht="42.75" customHeight="1" x14ac:dyDescent="0.25">
      <c r="A1190" s="7" t="s">
        <v>58</v>
      </c>
      <c r="B1190" s="2" t="s">
        <v>15316</v>
      </c>
      <c r="C1190" s="2" t="s">
        <v>15317</v>
      </c>
      <c r="D1190" s="2" t="s">
        <v>15318</v>
      </c>
      <c r="F1190" s="3" t="s">
        <v>58</v>
      </c>
      <c r="G1190" s="3" t="s">
        <v>59</v>
      </c>
      <c r="H1190" s="3" t="s">
        <v>58</v>
      </c>
      <c r="I1190" s="3" t="s">
        <v>58</v>
      </c>
      <c r="J1190" s="3" t="s">
        <v>60</v>
      </c>
      <c r="L1190" s="2" t="s">
        <v>15319</v>
      </c>
      <c r="M1190" s="3" t="s">
        <v>2227</v>
      </c>
      <c r="O1190" s="3" t="s">
        <v>64</v>
      </c>
      <c r="P1190" s="3" t="s">
        <v>1898</v>
      </c>
      <c r="R1190" s="3" t="s">
        <v>67</v>
      </c>
      <c r="S1190" s="4">
        <v>11</v>
      </c>
      <c r="T1190" s="4">
        <v>11</v>
      </c>
      <c r="U1190" s="5" t="s">
        <v>15320</v>
      </c>
      <c r="V1190" s="5" t="s">
        <v>15320</v>
      </c>
      <c r="W1190" s="5" t="s">
        <v>15321</v>
      </c>
      <c r="X1190" s="5" t="s">
        <v>15321</v>
      </c>
      <c r="Y1190" s="4">
        <v>274</v>
      </c>
      <c r="Z1190" s="4">
        <v>229</v>
      </c>
      <c r="AA1190" s="4">
        <v>265</v>
      </c>
      <c r="AB1190" s="4">
        <v>2</v>
      </c>
      <c r="AC1190" s="4">
        <v>2</v>
      </c>
      <c r="AD1190" s="4">
        <v>11</v>
      </c>
      <c r="AE1190" s="4">
        <v>11</v>
      </c>
      <c r="AF1190" s="4">
        <v>2</v>
      </c>
      <c r="AG1190" s="4">
        <v>2</v>
      </c>
      <c r="AH1190" s="4">
        <v>5</v>
      </c>
      <c r="AI1190" s="4">
        <v>5</v>
      </c>
      <c r="AJ1190" s="4">
        <v>7</v>
      </c>
      <c r="AK1190" s="4">
        <v>7</v>
      </c>
      <c r="AL1190" s="4">
        <v>1</v>
      </c>
      <c r="AM1190" s="4">
        <v>1</v>
      </c>
      <c r="AN1190" s="4">
        <v>0</v>
      </c>
      <c r="AO1190" s="4">
        <v>0</v>
      </c>
      <c r="AP1190" s="3" t="s">
        <v>58</v>
      </c>
      <c r="AQ1190" s="3" t="s">
        <v>58</v>
      </c>
      <c r="AS1190" s="6" t="str">
        <f>HYPERLINK("https://creighton-primo.hosted.exlibrisgroup.com/primo-explore/search?tab=default_tab&amp;search_scope=EVERYTHING&amp;vid=01CRU&amp;lang=en_US&amp;offset=0&amp;query=any,contains,991000483869702656","Catalog Record")</f>
        <v>Catalog Record</v>
      </c>
      <c r="AT1190" s="6" t="str">
        <f>HYPERLINK("http://www.worldcat.org/oclc/11067586","WorldCat Record")</f>
        <v>WorldCat Record</v>
      </c>
      <c r="AU1190" s="3" t="s">
        <v>15322</v>
      </c>
      <c r="AV1190" s="3" t="s">
        <v>15323</v>
      </c>
      <c r="AW1190" s="3" t="s">
        <v>15324</v>
      </c>
      <c r="AX1190" s="3" t="s">
        <v>15324</v>
      </c>
      <c r="AY1190" s="3" t="s">
        <v>15325</v>
      </c>
      <c r="AZ1190" s="3" t="s">
        <v>74</v>
      </c>
      <c r="BB1190" s="3" t="s">
        <v>15326</v>
      </c>
      <c r="BC1190" s="3" t="s">
        <v>15327</v>
      </c>
      <c r="BD1190" s="3" t="s">
        <v>15328</v>
      </c>
    </row>
    <row r="1191" spans="1:56" ht="42.75" customHeight="1" x14ac:dyDescent="0.25">
      <c r="A1191" s="7" t="s">
        <v>58</v>
      </c>
      <c r="B1191" s="2" t="s">
        <v>15329</v>
      </c>
      <c r="C1191" s="2" t="s">
        <v>15330</v>
      </c>
      <c r="D1191" s="2" t="s">
        <v>15331</v>
      </c>
      <c r="F1191" s="3" t="s">
        <v>58</v>
      </c>
      <c r="G1191" s="3" t="s">
        <v>59</v>
      </c>
      <c r="H1191" s="3" t="s">
        <v>86</v>
      </c>
      <c r="I1191" s="3" t="s">
        <v>58</v>
      </c>
      <c r="J1191" s="3" t="s">
        <v>60</v>
      </c>
      <c r="K1191" s="2" t="s">
        <v>15332</v>
      </c>
      <c r="L1191" s="2" t="s">
        <v>15333</v>
      </c>
      <c r="M1191" s="3" t="s">
        <v>238</v>
      </c>
      <c r="N1191" s="2" t="s">
        <v>4027</v>
      </c>
      <c r="O1191" s="3" t="s">
        <v>64</v>
      </c>
      <c r="P1191" s="3" t="s">
        <v>359</v>
      </c>
      <c r="R1191" s="3" t="s">
        <v>67</v>
      </c>
      <c r="S1191" s="4">
        <v>10</v>
      </c>
      <c r="T1191" s="4">
        <v>21</v>
      </c>
      <c r="U1191" s="5" t="s">
        <v>15334</v>
      </c>
      <c r="V1191" s="5" t="s">
        <v>15335</v>
      </c>
      <c r="W1191" s="5" t="s">
        <v>2827</v>
      </c>
      <c r="X1191" s="5" t="s">
        <v>2827</v>
      </c>
      <c r="Y1191" s="4">
        <v>215</v>
      </c>
      <c r="Z1191" s="4">
        <v>168</v>
      </c>
      <c r="AA1191" s="4">
        <v>340</v>
      </c>
      <c r="AB1191" s="4">
        <v>3</v>
      </c>
      <c r="AC1191" s="4">
        <v>3</v>
      </c>
      <c r="AD1191" s="4">
        <v>8</v>
      </c>
      <c r="AE1191" s="4">
        <v>12</v>
      </c>
      <c r="AF1191" s="4">
        <v>1</v>
      </c>
      <c r="AG1191" s="4">
        <v>3</v>
      </c>
      <c r="AH1191" s="4">
        <v>2</v>
      </c>
      <c r="AI1191" s="4">
        <v>3</v>
      </c>
      <c r="AJ1191" s="4">
        <v>6</v>
      </c>
      <c r="AK1191" s="4">
        <v>8</v>
      </c>
      <c r="AL1191" s="4">
        <v>1</v>
      </c>
      <c r="AM1191" s="4">
        <v>1</v>
      </c>
      <c r="AN1191" s="4">
        <v>0</v>
      </c>
      <c r="AO1191" s="4">
        <v>0</v>
      </c>
      <c r="AP1191" s="3" t="s">
        <v>58</v>
      </c>
      <c r="AQ1191" s="3" t="s">
        <v>86</v>
      </c>
      <c r="AR1191" s="6" t="str">
        <f>HYPERLINK("http://catalog.hathitrust.org/Record/000137582","HathiTrust Record")</f>
        <v>HathiTrust Record</v>
      </c>
      <c r="AS1191" s="6" t="str">
        <f>HYPERLINK("https://creighton-primo.hosted.exlibrisgroup.com/primo-explore/search?tab=default_tab&amp;search_scope=EVERYTHING&amp;vid=01CRU&amp;lang=en_US&amp;offset=0&amp;query=any,contains,991001765899702656","Catalog Record")</f>
        <v>Catalog Record</v>
      </c>
      <c r="AT1191" s="6" t="str">
        <f>HYPERLINK("http://www.worldcat.org/oclc/4076342","WorldCat Record")</f>
        <v>WorldCat Record</v>
      </c>
      <c r="AU1191" s="3" t="s">
        <v>15336</v>
      </c>
      <c r="AV1191" s="3" t="s">
        <v>15337</v>
      </c>
      <c r="AW1191" s="3" t="s">
        <v>15338</v>
      </c>
      <c r="AX1191" s="3" t="s">
        <v>15338</v>
      </c>
      <c r="AY1191" s="3" t="s">
        <v>15339</v>
      </c>
      <c r="AZ1191" s="3" t="s">
        <v>74</v>
      </c>
      <c r="BB1191" s="3" t="s">
        <v>15340</v>
      </c>
      <c r="BC1191" s="3" t="s">
        <v>15341</v>
      </c>
      <c r="BD1191" s="3" t="s">
        <v>15342</v>
      </c>
    </row>
    <row r="1192" spans="1:56" ht="42.75" customHeight="1" x14ac:dyDescent="0.25">
      <c r="A1192" s="7" t="s">
        <v>58</v>
      </c>
      <c r="B1192" s="2" t="s">
        <v>15343</v>
      </c>
      <c r="C1192" s="2" t="s">
        <v>15344</v>
      </c>
      <c r="D1192" s="2" t="s">
        <v>15345</v>
      </c>
      <c r="F1192" s="3" t="s">
        <v>58</v>
      </c>
      <c r="G1192" s="3" t="s">
        <v>59</v>
      </c>
      <c r="H1192" s="3" t="s">
        <v>58</v>
      </c>
      <c r="I1192" s="3" t="s">
        <v>58</v>
      </c>
      <c r="J1192" s="3" t="s">
        <v>60</v>
      </c>
      <c r="K1192" s="2" t="s">
        <v>15346</v>
      </c>
      <c r="L1192" s="2" t="s">
        <v>15347</v>
      </c>
      <c r="M1192" s="3" t="s">
        <v>5200</v>
      </c>
      <c r="N1192" s="2" t="s">
        <v>3823</v>
      </c>
      <c r="O1192" s="3" t="s">
        <v>64</v>
      </c>
      <c r="P1192" s="3" t="s">
        <v>99</v>
      </c>
      <c r="R1192" s="3" t="s">
        <v>67</v>
      </c>
      <c r="S1192" s="4">
        <v>5</v>
      </c>
      <c r="T1192" s="4">
        <v>5</v>
      </c>
      <c r="U1192" s="5" t="s">
        <v>15348</v>
      </c>
      <c r="V1192" s="5" t="s">
        <v>15348</v>
      </c>
      <c r="W1192" s="5" t="s">
        <v>165</v>
      </c>
      <c r="X1192" s="5" t="s">
        <v>165</v>
      </c>
      <c r="Y1192" s="4">
        <v>184</v>
      </c>
      <c r="Z1192" s="4">
        <v>167</v>
      </c>
      <c r="AA1192" s="4">
        <v>169</v>
      </c>
      <c r="AB1192" s="4">
        <v>2</v>
      </c>
      <c r="AC1192" s="4">
        <v>2</v>
      </c>
      <c r="AD1192" s="4">
        <v>5</v>
      </c>
      <c r="AE1192" s="4">
        <v>5</v>
      </c>
      <c r="AF1192" s="4">
        <v>2</v>
      </c>
      <c r="AG1192" s="4">
        <v>2</v>
      </c>
      <c r="AH1192" s="4">
        <v>0</v>
      </c>
      <c r="AI1192" s="4">
        <v>0</v>
      </c>
      <c r="AJ1192" s="4">
        <v>3</v>
      </c>
      <c r="AK1192" s="4">
        <v>3</v>
      </c>
      <c r="AL1192" s="4">
        <v>1</v>
      </c>
      <c r="AM1192" s="4">
        <v>1</v>
      </c>
      <c r="AN1192" s="4">
        <v>0</v>
      </c>
      <c r="AO1192" s="4">
        <v>0</v>
      </c>
      <c r="AP1192" s="3" t="s">
        <v>58</v>
      </c>
      <c r="AQ1192" s="3" t="s">
        <v>86</v>
      </c>
      <c r="AR1192" s="6" t="str">
        <f>HYPERLINK("http://catalog.hathitrust.org/Record/004422615","HathiTrust Record")</f>
        <v>HathiTrust Record</v>
      </c>
      <c r="AS1192" s="6" t="str">
        <f>HYPERLINK("https://creighton-primo.hosted.exlibrisgroup.com/primo-explore/search?tab=default_tab&amp;search_scope=EVERYTHING&amp;vid=01CRU&amp;lang=en_US&amp;offset=0&amp;query=any,contains,991002953219702656","Catalog Record")</f>
        <v>Catalog Record</v>
      </c>
      <c r="AT1192" s="6" t="str">
        <f>HYPERLINK("http://www.worldcat.org/oclc/540046","WorldCat Record")</f>
        <v>WorldCat Record</v>
      </c>
      <c r="AU1192" s="3" t="s">
        <v>15349</v>
      </c>
      <c r="AV1192" s="3" t="s">
        <v>15350</v>
      </c>
      <c r="AW1192" s="3" t="s">
        <v>15351</v>
      </c>
      <c r="AX1192" s="3" t="s">
        <v>15351</v>
      </c>
      <c r="AY1192" s="3" t="s">
        <v>15352</v>
      </c>
      <c r="AZ1192" s="3" t="s">
        <v>74</v>
      </c>
      <c r="BB1192" s="3" t="s">
        <v>15353</v>
      </c>
      <c r="BC1192" s="3" t="s">
        <v>15354</v>
      </c>
      <c r="BD1192" s="3" t="s">
        <v>15355</v>
      </c>
    </row>
    <row r="1193" spans="1:56" ht="42.75" customHeight="1" x14ac:dyDescent="0.25">
      <c r="A1193" s="7" t="s">
        <v>58</v>
      </c>
      <c r="B1193" s="2" t="s">
        <v>15356</v>
      </c>
      <c r="C1193" s="2" t="s">
        <v>15357</v>
      </c>
      <c r="D1193" s="2" t="s">
        <v>15358</v>
      </c>
      <c r="F1193" s="3" t="s">
        <v>58</v>
      </c>
      <c r="G1193" s="3" t="s">
        <v>59</v>
      </c>
      <c r="H1193" s="3" t="s">
        <v>58</v>
      </c>
      <c r="I1193" s="3" t="s">
        <v>58</v>
      </c>
      <c r="J1193" s="3" t="s">
        <v>60</v>
      </c>
      <c r="L1193" s="2" t="s">
        <v>15359</v>
      </c>
      <c r="M1193" s="3" t="s">
        <v>82</v>
      </c>
      <c r="O1193" s="3" t="s">
        <v>64</v>
      </c>
      <c r="P1193" s="3" t="s">
        <v>224</v>
      </c>
      <c r="R1193" s="3" t="s">
        <v>67</v>
      </c>
      <c r="S1193" s="4">
        <v>9</v>
      </c>
      <c r="T1193" s="4">
        <v>9</v>
      </c>
      <c r="U1193" s="5" t="s">
        <v>15348</v>
      </c>
      <c r="V1193" s="5" t="s">
        <v>15348</v>
      </c>
      <c r="W1193" s="5" t="s">
        <v>2542</v>
      </c>
      <c r="X1193" s="5" t="s">
        <v>2542</v>
      </c>
      <c r="Y1193" s="4">
        <v>175</v>
      </c>
      <c r="Z1193" s="4">
        <v>167</v>
      </c>
      <c r="AA1193" s="4">
        <v>580</v>
      </c>
      <c r="AB1193" s="4">
        <v>2</v>
      </c>
      <c r="AC1193" s="4">
        <v>2</v>
      </c>
      <c r="AD1193" s="4">
        <v>3</v>
      </c>
      <c r="AE1193" s="4">
        <v>9</v>
      </c>
      <c r="AF1193" s="4">
        <v>1</v>
      </c>
      <c r="AG1193" s="4">
        <v>5</v>
      </c>
      <c r="AH1193" s="4">
        <v>0</v>
      </c>
      <c r="AI1193" s="4">
        <v>2</v>
      </c>
      <c r="AJ1193" s="4">
        <v>3</v>
      </c>
      <c r="AK1193" s="4">
        <v>5</v>
      </c>
      <c r="AL1193" s="4">
        <v>0</v>
      </c>
      <c r="AM1193" s="4">
        <v>0</v>
      </c>
      <c r="AN1193" s="4">
        <v>0</v>
      </c>
      <c r="AO1193" s="4">
        <v>0</v>
      </c>
      <c r="AP1193" s="3" t="s">
        <v>58</v>
      </c>
      <c r="AQ1193" s="3" t="s">
        <v>58</v>
      </c>
      <c r="AS1193" s="6" t="str">
        <f>HYPERLINK("https://creighton-primo.hosted.exlibrisgroup.com/primo-explore/search?tab=default_tab&amp;search_scope=EVERYTHING&amp;vid=01CRU&amp;lang=en_US&amp;offset=0&amp;query=any,contains,991001024119702656","Catalog Record")</f>
        <v>Catalog Record</v>
      </c>
      <c r="AT1193" s="6" t="str">
        <f>HYPERLINK("http://www.worldcat.org/oclc/15427554","WorldCat Record")</f>
        <v>WorldCat Record</v>
      </c>
      <c r="AU1193" s="3" t="s">
        <v>15360</v>
      </c>
      <c r="AV1193" s="3" t="s">
        <v>15361</v>
      </c>
      <c r="AW1193" s="3" t="s">
        <v>15362</v>
      </c>
      <c r="AX1193" s="3" t="s">
        <v>15362</v>
      </c>
      <c r="AY1193" s="3" t="s">
        <v>15363</v>
      </c>
      <c r="AZ1193" s="3" t="s">
        <v>74</v>
      </c>
      <c r="BB1193" s="3" t="s">
        <v>15364</v>
      </c>
      <c r="BC1193" s="3" t="s">
        <v>15365</v>
      </c>
      <c r="BD1193" s="3" t="s">
        <v>15366</v>
      </c>
    </row>
    <row r="1194" spans="1:56" ht="42.75" customHeight="1" x14ac:dyDescent="0.25">
      <c r="A1194" s="7" t="s">
        <v>58</v>
      </c>
      <c r="B1194" s="2" t="s">
        <v>15367</v>
      </c>
      <c r="C1194" s="2" t="s">
        <v>15368</v>
      </c>
      <c r="D1194" s="2" t="s">
        <v>15369</v>
      </c>
      <c r="F1194" s="3" t="s">
        <v>58</v>
      </c>
      <c r="G1194" s="3" t="s">
        <v>59</v>
      </c>
      <c r="H1194" s="3" t="s">
        <v>58</v>
      </c>
      <c r="I1194" s="3" t="s">
        <v>58</v>
      </c>
      <c r="J1194" s="3" t="s">
        <v>60</v>
      </c>
      <c r="K1194" s="2" t="s">
        <v>15370</v>
      </c>
      <c r="L1194" s="2" t="s">
        <v>15371</v>
      </c>
      <c r="M1194" s="3" t="s">
        <v>238</v>
      </c>
      <c r="O1194" s="3" t="s">
        <v>64</v>
      </c>
      <c r="P1194" s="3" t="s">
        <v>115</v>
      </c>
      <c r="R1194" s="3" t="s">
        <v>67</v>
      </c>
      <c r="S1194" s="4">
        <v>16</v>
      </c>
      <c r="T1194" s="4">
        <v>16</v>
      </c>
      <c r="U1194" s="5" t="s">
        <v>4123</v>
      </c>
      <c r="V1194" s="5" t="s">
        <v>4123</v>
      </c>
      <c r="W1194" s="5" t="s">
        <v>4730</v>
      </c>
      <c r="X1194" s="5" t="s">
        <v>4730</v>
      </c>
      <c r="Y1194" s="4">
        <v>459</v>
      </c>
      <c r="Z1194" s="4">
        <v>404</v>
      </c>
      <c r="AA1194" s="4">
        <v>625</v>
      </c>
      <c r="AB1194" s="4">
        <v>4</v>
      </c>
      <c r="AC1194" s="4">
        <v>5</v>
      </c>
      <c r="AD1194" s="4">
        <v>16</v>
      </c>
      <c r="AE1194" s="4">
        <v>27</v>
      </c>
      <c r="AF1194" s="4">
        <v>5</v>
      </c>
      <c r="AG1194" s="4">
        <v>12</v>
      </c>
      <c r="AH1194" s="4">
        <v>4</v>
      </c>
      <c r="AI1194" s="4">
        <v>6</v>
      </c>
      <c r="AJ1194" s="4">
        <v>8</v>
      </c>
      <c r="AK1194" s="4">
        <v>14</v>
      </c>
      <c r="AL1194" s="4">
        <v>2</v>
      </c>
      <c r="AM1194" s="4">
        <v>2</v>
      </c>
      <c r="AN1194" s="4">
        <v>0</v>
      </c>
      <c r="AO1194" s="4">
        <v>0</v>
      </c>
      <c r="AP1194" s="3" t="s">
        <v>58</v>
      </c>
      <c r="AQ1194" s="3" t="s">
        <v>86</v>
      </c>
      <c r="AR1194" s="6" t="str">
        <f>HYPERLINK("http://catalog.hathitrust.org/Record/000695040","HathiTrust Record")</f>
        <v>HathiTrust Record</v>
      </c>
      <c r="AS1194" s="6" t="str">
        <f>HYPERLINK("https://creighton-primo.hosted.exlibrisgroup.com/primo-explore/search?tab=default_tab&amp;search_scope=EVERYTHING&amp;vid=01CRU&amp;lang=en_US&amp;offset=0&amp;query=any,contains,991004932149702656","Catalog Record")</f>
        <v>Catalog Record</v>
      </c>
      <c r="AT1194" s="6" t="str">
        <f>HYPERLINK("http://www.worldcat.org/oclc/6105673","WorldCat Record")</f>
        <v>WorldCat Record</v>
      </c>
      <c r="AU1194" s="3" t="s">
        <v>15372</v>
      </c>
      <c r="AV1194" s="3" t="s">
        <v>15373</v>
      </c>
      <c r="AW1194" s="3" t="s">
        <v>15374</v>
      </c>
      <c r="AX1194" s="3" t="s">
        <v>15374</v>
      </c>
      <c r="AY1194" s="3" t="s">
        <v>15375</v>
      </c>
      <c r="AZ1194" s="3" t="s">
        <v>74</v>
      </c>
      <c r="BB1194" s="3" t="s">
        <v>15376</v>
      </c>
      <c r="BC1194" s="3" t="s">
        <v>15377</v>
      </c>
      <c r="BD1194" s="3" t="s">
        <v>15378</v>
      </c>
    </row>
    <row r="1195" spans="1:56" ht="42.75" customHeight="1" x14ac:dyDescent="0.25">
      <c r="A1195" s="7" t="s">
        <v>58</v>
      </c>
      <c r="B1195" s="2" t="s">
        <v>15379</v>
      </c>
      <c r="C1195" s="2" t="s">
        <v>15380</v>
      </c>
      <c r="D1195" s="2" t="s">
        <v>15381</v>
      </c>
      <c r="F1195" s="3" t="s">
        <v>58</v>
      </c>
      <c r="G1195" s="3" t="s">
        <v>59</v>
      </c>
      <c r="H1195" s="3" t="s">
        <v>86</v>
      </c>
      <c r="I1195" s="3" t="s">
        <v>58</v>
      </c>
      <c r="J1195" s="3" t="s">
        <v>60</v>
      </c>
      <c r="K1195" s="2" t="s">
        <v>15370</v>
      </c>
      <c r="L1195" s="2" t="s">
        <v>15382</v>
      </c>
      <c r="M1195" s="3" t="s">
        <v>63</v>
      </c>
      <c r="O1195" s="3" t="s">
        <v>64</v>
      </c>
      <c r="P1195" s="3" t="s">
        <v>115</v>
      </c>
      <c r="R1195" s="3" t="s">
        <v>67</v>
      </c>
      <c r="S1195" s="4">
        <v>14</v>
      </c>
      <c r="T1195" s="4">
        <v>14</v>
      </c>
      <c r="U1195" s="5" t="s">
        <v>4123</v>
      </c>
      <c r="V1195" s="5" t="s">
        <v>4123</v>
      </c>
      <c r="W1195" s="5" t="s">
        <v>4221</v>
      </c>
      <c r="X1195" s="5" t="s">
        <v>4221</v>
      </c>
      <c r="Y1195" s="4">
        <v>414</v>
      </c>
      <c r="Z1195" s="4">
        <v>350</v>
      </c>
      <c r="AA1195" s="4">
        <v>358</v>
      </c>
      <c r="AB1195" s="4">
        <v>2</v>
      </c>
      <c r="AC1195" s="4">
        <v>2</v>
      </c>
      <c r="AD1195" s="4">
        <v>13</v>
      </c>
      <c r="AE1195" s="4">
        <v>13</v>
      </c>
      <c r="AF1195" s="4">
        <v>6</v>
      </c>
      <c r="AG1195" s="4">
        <v>6</v>
      </c>
      <c r="AH1195" s="4">
        <v>1</v>
      </c>
      <c r="AI1195" s="4">
        <v>1</v>
      </c>
      <c r="AJ1195" s="4">
        <v>10</v>
      </c>
      <c r="AK1195" s="4">
        <v>10</v>
      </c>
      <c r="AL1195" s="4">
        <v>0</v>
      </c>
      <c r="AM1195" s="4">
        <v>0</v>
      </c>
      <c r="AN1195" s="4">
        <v>0</v>
      </c>
      <c r="AO1195" s="4">
        <v>0</v>
      </c>
      <c r="AP1195" s="3" t="s">
        <v>58</v>
      </c>
      <c r="AQ1195" s="3" t="s">
        <v>86</v>
      </c>
      <c r="AR1195" s="6" t="str">
        <f>HYPERLINK("http://catalog.hathitrust.org/Record/000276549","HathiTrust Record")</f>
        <v>HathiTrust Record</v>
      </c>
      <c r="AS1195" s="6" t="str">
        <f>HYPERLINK("https://creighton-primo.hosted.exlibrisgroup.com/primo-explore/search?tab=default_tab&amp;search_scope=EVERYTHING&amp;vid=01CRU&amp;lang=en_US&amp;offset=0&amp;query=any,contains,991000164699702656","Catalog Record")</f>
        <v>Catalog Record</v>
      </c>
      <c r="AT1195" s="6" t="str">
        <f>HYPERLINK("http://www.worldcat.org/oclc/9282538","WorldCat Record")</f>
        <v>WorldCat Record</v>
      </c>
      <c r="AU1195" s="3" t="s">
        <v>15383</v>
      </c>
      <c r="AV1195" s="3" t="s">
        <v>15384</v>
      </c>
      <c r="AW1195" s="3" t="s">
        <v>15385</v>
      </c>
      <c r="AX1195" s="3" t="s">
        <v>15385</v>
      </c>
      <c r="AY1195" s="3" t="s">
        <v>15386</v>
      </c>
      <c r="AZ1195" s="3" t="s">
        <v>74</v>
      </c>
      <c r="BB1195" s="3" t="s">
        <v>15387</v>
      </c>
      <c r="BC1195" s="3" t="s">
        <v>15388</v>
      </c>
      <c r="BD1195" s="3" t="s">
        <v>15389</v>
      </c>
    </row>
    <row r="1196" spans="1:56" ht="42.75" customHeight="1" x14ac:dyDescent="0.25">
      <c r="A1196" s="7" t="s">
        <v>58</v>
      </c>
      <c r="B1196" s="2" t="s">
        <v>15390</v>
      </c>
      <c r="C1196" s="2" t="s">
        <v>15391</v>
      </c>
      <c r="D1196" s="2" t="s">
        <v>15392</v>
      </c>
      <c r="F1196" s="3" t="s">
        <v>58</v>
      </c>
      <c r="G1196" s="3" t="s">
        <v>59</v>
      </c>
      <c r="H1196" s="3" t="s">
        <v>58</v>
      </c>
      <c r="I1196" s="3" t="s">
        <v>58</v>
      </c>
      <c r="J1196" s="3" t="s">
        <v>60</v>
      </c>
      <c r="K1196" s="2" t="s">
        <v>15370</v>
      </c>
      <c r="L1196" s="2" t="s">
        <v>15393</v>
      </c>
      <c r="M1196" s="3" t="s">
        <v>2386</v>
      </c>
      <c r="O1196" s="3" t="s">
        <v>64</v>
      </c>
      <c r="P1196" s="3" t="s">
        <v>115</v>
      </c>
      <c r="R1196" s="3" t="s">
        <v>67</v>
      </c>
      <c r="S1196" s="4">
        <v>8</v>
      </c>
      <c r="T1196" s="4">
        <v>8</v>
      </c>
      <c r="U1196" s="5" t="s">
        <v>3809</v>
      </c>
      <c r="V1196" s="5" t="s">
        <v>3809</v>
      </c>
      <c r="W1196" s="5" t="s">
        <v>5742</v>
      </c>
      <c r="X1196" s="5" t="s">
        <v>5742</v>
      </c>
      <c r="Y1196" s="4">
        <v>883</v>
      </c>
      <c r="Z1196" s="4">
        <v>778</v>
      </c>
      <c r="AA1196" s="4">
        <v>879</v>
      </c>
      <c r="AB1196" s="4">
        <v>9</v>
      </c>
      <c r="AC1196" s="4">
        <v>10</v>
      </c>
      <c r="AD1196" s="4">
        <v>31</v>
      </c>
      <c r="AE1196" s="4">
        <v>32</v>
      </c>
      <c r="AF1196" s="4">
        <v>11</v>
      </c>
      <c r="AG1196" s="4">
        <v>12</v>
      </c>
      <c r="AH1196" s="4">
        <v>5</v>
      </c>
      <c r="AI1196" s="4">
        <v>5</v>
      </c>
      <c r="AJ1196" s="4">
        <v>17</v>
      </c>
      <c r="AK1196" s="4">
        <v>18</v>
      </c>
      <c r="AL1196" s="4">
        <v>6</v>
      </c>
      <c r="AM1196" s="4">
        <v>6</v>
      </c>
      <c r="AN1196" s="4">
        <v>0</v>
      </c>
      <c r="AO1196" s="4">
        <v>0</v>
      </c>
      <c r="AP1196" s="3" t="s">
        <v>58</v>
      </c>
      <c r="AQ1196" s="3" t="s">
        <v>58</v>
      </c>
      <c r="AS1196" s="6" t="str">
        <f>HYPERLINK("https://creighton-primo.hosted.exlibrisgroup.com/primo-explore/search?tab=default_tab&amp;search_scope=EVERYTHING&amp;vid=01CRU&amp;lang=en_US&amp;offset=0&amp;query=any,contains,991003495039702656","Catalog Record")</f>
        <v>Catalog Record</v>
      </c>
      <c r="AT1196" s="6" t="str">
        <f>HYPERLINK("http://www.worldcat.org/oclc/1045894","WorldCat Record")</f>
        <v>WorldCat Record</v>
      </c>
      <c r="AU1196" s="3" t="s">
        <v>15394</v>
      </c>
      <c r="AV1196" s="3" t="s">
        <v>15395</v>
      </c>
      <c r="AW1196" s="3" t="s">
        <v>15396</v>
      </c>
      <c r="AX1196" s="3" t="s">
        <v>15396</v>
      </c>
      <c r="AY1196" s="3" t="s">
        <v>15397</v>
      </c>
      <c r="AZ1196" s="3" t="s">
        <v>74</v>
      </c>
      <c r="BB1196" s="3" t="s">
        <v>15398</v>
      </c>
      <c r="BC1196" s="3" t="s">
        <v>15399</v>
      </c>
      <c r="BD1196" s="3" t="s">
        <v>15400</v>
      </c>
    </row>
    <row r="1197" spans="1:56" ht="42.75" customHeight="1" x14ac:dyDescent="0.25">
      <c r="A1197" s="7" t="s">
        <v>58</v>
      </c>
      <c r="B1197" s="2" t="s">
        <v>15401</v>
      </c>
      <c r="C1197" s="2" t="s">
        <v>15402</v>
      </c>
      <c r="D1197" s="2" t="s">
        <v>15403</v>
      </c>
      <c r="F1197" s="3" t="s">
        <v>58</v>
      </c>
      <c r="G1197" s="3" t="s">
        <v>59</v>
      </c>
      <c r="H1197" s="3" t="s">
        <v>58</v>
      </c>
      <c r="I1197" s="3" t="s">
        <v>58</v>
      </c>
      <c r="J1197" s="3" t="s">
        <v>60</v>
      </c>
      <c r="K1197" s="2" t="s">
        <v>15404</v>
      </c>
      <c r="L1197" s="2" t="s">
        <v>3285</v>
      </c>
      <c r="M1197" s="3" t="s">
        <v>695</v>
      </c>
      <c r="O1197" s="3" t="s">
        <v>64</v>
      </c>
      <c r="P1197" s="3" t="s">
        <v>115</v>
      </c>
      <c r="Q1197" s="2" t="s">
        <v>10678</v>
      </c>
      <c r="R1197" s="3" t="s">
        <v>67</v>
      </c>
      <c r="S1197" s="4">
        <v>24</v>
      </c>
      <c r="T1197" s="4">
        <v>24</v>
      </c>
      <c r="U1197" s="5" t="s">
        <v>15405</v>
      </c>
      <c r="V1197" s="5" t="s">
        <v>15405</v>
      </c>
      <c r="W1197" s="5" t="s">
        <v>7507</v>
      </c>
      <c r="X1197" s="5" t="s">
        <v>7507</v>
      </c>
      <c r="Y1197" s="4">
        <v>213</v>
      </c>
      <c r="Z1197" s="4">
        <v>143</v>
      </c>
      <c r="AA1197" s="4">
        <v>160</v>
      </c>
      <c r="AB1197" s="4">
        <v>2</v>
      </c>
      <c r="AC1197" s="4">
        <v>2</v>
      </c>
      <c r="AD1197" s="4">
        <v>6</v>
      </c>
      <c r="AE1197" s="4">
        <v>6</v>
      </c>
      <c r="AF1197" s="4">
        <v>2</v>
      </c>
      <c r="AG1197" s="4">
        <v>2</v>
      </c>
      <c r="AH1197" s="4">
        <v>2</v>
      </c>
      <c r="AI1197" s="4">
        <v>2</v>
      </c>
      <c r="AJ1197" s="4">
        <v>2</v>
      </c>
      <c r="AK1197" s="4">
        <v>2</v>
      </c>
      <c r="AL1197" s="4">
        <v>1</v>
      </c>
      <c r="AM1197" s="4">
        <v>1</v>
      </c>
      <c r="AN1197" s="4">
        <v>0</v>
      </c>
      <c r="AO1197" s="4">
        <v>0</v>
      </c>
      <c r="AP1197" s="3" t="s">
        <v>58</v>
      </c>
      <c r="AQ1197" s="3" t="s">
        <v>58</v>
      </c>
      <c r="AS1197" s="6" t="str">
        <f>HYPERLINK("https://creighton-primo.hosted.exlibrisgroup.com/primo-explore/search?tab=default_tab&amp;search_scope=EVERYTHING&amp;vid=01CRU&amp;lang=en_US&amp;offset=0&amp;query=any,contains,991005416239702656","Catalog Record")</f>
        <v>Catalog Record</v>
      </c>
      <c r="AT1197" s="6" t="str">
        <f>HYPERLINK("http://www.worldcat.org/oclc/27186681","WorldCat Record")</f>
        <v>WorldCat Record</v>
      </c>
      <c r="AU1197" s="3" t="s">
        <v>15406</v>
      </c>
      <c r="AV1197" s="3" t="s">
        <v>15407</v>
      </c>
      <c r="AW1197" s="3" t="s">
        <v>15408</v>
      </c>
      <c r="AX1197" s="3" t="s">
        <v>15408</v>
      </c>
      <c r="AY1197" s="3" t="s">
        <v>15409</v>
      </c>
      <c r="AZ1197" s="3" t="s">
        <v>74</v>
      </c>
      <c r="BB1197" s="3" t="s">
        <v>15410</v>
      </c>
      <c r="BC1197" s="3" t="s">
        <v>15411</v>
      </c>
      <c r="BD1197" s="3" t="s">
        <v>15412</v>
      </c>
    </row>
    <row r="1198" spans="1:56" ht="42.75" customHeight="1" x14ac:dyDescent="0.25">
      <c r="A1198" s="7" t="s">
        <v>58</v>
      </c>
      <c r="B1198" s="2" t="s">
        <v>15413</v>
      </c>
      <c r="C1198" s="2" t="s">
        <v>15414</v>
      </c>
      <c r="D1198" s="2" t="s">
        <v>15415</v>
      </c>
      <c r="F1198" s="3" t="s">
        <v>58</v>
      </c>
      <c r="G1198" s="3" t="s">
        <v>59</v>
      </c>
      <c r="H1198" s="3" t="s">
        <v>58</v>
      </c>
      <c r="I1198" s="3" t="s">
        <v>58</v>
      </c>
      <c r="J1198" s="3" t="s">
        <v>60</v>
      </c>
      <c r="K1198" s="2" t="s">
        <v>15416</v>
      </c>
      <c r="L1198" s="2" t="s">
        <v>15417</v>
      </c>
      <c r="M1198" s="3" t="s">
        <v>2770</v>
      </c>
      <c r="N1198" s="2" t="s">
        <v>1736</v>
      </c>
      <c r="O1198" s="3" t="s">
        <v>64</v>
      </c>
      <c r="P1198" s="3" t="s">
        <v>316</v>
      </c>
      <c r="R1198" s="3" t="s">
        <v>67</v>
      </c>
      <c r="S1198" s="4">
        <v>7</v>
      </c>
      <c r="T1198" s="4">
        <v>7</v>
      </c>
      <c r="U1198" s="5" t="s">
        <v>15418</v>
      </c>
      <c r="V1198" s="5" t="s">
        <v>15418</v>
      </c>
      <c r="W1198" s="5" t="s">
        <v>4730</v>
      </c>
      <c r="X1198" s="5" t="s">
        <v>4730</v>
      </c>
      <c r="Y1198" s="4">
        <v>377</v>
      </c>
      <c r="Z1198" s="4">
        <v>358</v>
      </c>
      <c r="AA1198" s="4">
        <v>494</v>
      </c>
      <c r="AB1198" s="4">
        <v>4</v>
      </c>
      <c r="AC1198" s="4">
        <v>4</v>
      </c>
      <c r="AD1198" s="4">
        <v>10</v>
      </c>
      <c r="AE1198" s="4">
        <v>13</v>
      </c>
      <c r="AF1198" s="4">
        <v>2</v>
      </c>
      <c r="AG1198" s="4">
        <v>4</v>
      </c>
      <c r="AH1198" s="4">
        <v>2</v>
      </c>
      <c r="AI1198" s="4">
        <v>3</v>
      </c>
      <c r="AJ1198" s="4">
        <v>5</v>
      </c>
      <c r="AK1198" s="4">
        <v>7</v>
      </c>
      <c r="AL1198" s="4">
        <v>3</v>
      </c>
      <c r="AM1198" s="4">
        <v>3</v>
      </c>
      <c r="AN1198" s="4">
        <v>0</v>
      </c>
      <c r="AO1198" s="4">
        <v>0</v>
      </c>
      <c r="AP1198" s="3" t="s">
        <v>58</v>
      </c>
      <c r="AQ1198" s="3" t="s">
        <v>58</v>
      </c>
      <c r="AS1198" s="6" t="str">
        <f>HYPERLINK("https://creighton-primo.hosted.exlibrisgroup.com/primo-explore/search?tab=default_tab&amp;search_scope=EVERYTHING&amp;vid=01CRU&amp;lang=en_US&amp;offset=0&amp;query=any,contains,991004157639702656","Catalog Record")</f>
        <v>Catalog Record</v>
      </c>
      <c r="AT1198" s="6" t="str">
        <f>HYPERLINK("http://www.worldcat.org/oclc/2542473","WorldCat Record")</f>
        <v>WorldCat Record</v>
      </c>
      <c r="AU1198" s="3" t="s">
        <v>15419</v>
      </c>
      <c r="AV1198" s="3" t="s">
        <v>15420</v>
      </c>
      <c r="AW1198" s="3" t="s">
        <v>15421</v>
      </c>
      <c r="AX1198" s="3" t="s">
        <v>15421</v>
      </c>
      <c r="AY1198" s="3" t="s">
        <v>15422</v>
      </c>
      <c r="AZ1198" s="3" t="s">
        <v>74</v>
      </c>
      <c r="BB1198" s="3" t="s">
        <v>15423</v>
      </c>
      <c r="BC1198" s="3" t="s">
        <v>15424</v>
      </c>
      <c r="BD1198" s="3" t="s">
        <v>15425</v>
      </c>
    </row>
    <row r="1199" spans="1:56" ht="42.75" customHeight="1" x14ac:dyDescent="0.25">
      <c r="A1199" s="7" t="s">
        <v>58</v>
      </c>
      <c r="B1199" s="2" t="s">
        <v>15426</v>
      </c>
      <c r="C1199" s="2" t="s">
        <v>15427</v>
      </c>
      <c r="D1199" s="2" t="s">
        <v>15428</v>
      </c>
      <c r="F1199" s="3" t="s">
        <v>58</v>
      </c>
      <c r="G1199" s="3" t="s">
        <v>59</v>
      </c>
      <c r="H1199" s="3" t="s">
        <v>58</v>
      </c>
      <c r="I1199" s="3" t="s">
        <v>58</v>
      </c>
      <c r="J1199" s="3" t="s">
        <v>60</v>
      </c>
      <c r="K1199" s="2" t="s">
        <v>15429</v>
      </c>
      <c r="L1199" s="2" t="s">
        <v>10895</v>
      </c>
      <c r="M1199" s="3" t="s">
        <v>1574</v>
      </c>
      <c r="O1199" s="3" t="s">
        <v>64</v>
      </c>
      <c r="P1199" s="3" t="s">
        <v>115</v>
      </c>
      <c r="R1199" s="3" t="s">
        <v>67</v>
      </c>
      <c r="S1199" s="4">
        <v>1</v>
      </c>
      <c r="T1199" s="4">
        <v>1</v>
      </c>
      <c r="U1199" s="5" t="s">
        <v>15430</v>
      </c>
      <c r="V1199" s="5" t="s">
        <v>15430</v>
      </c>
      <c r="W1199" s="5" t="s">
        <v>4730</v>
      </c>
      <c r="X1199" s="5" t="s">
        <v>4730</v>
      </c>
      <c r="Y1199" s="4">
        <v>344</v>
      </c>
      <c r="Z1199" s="4">
        <v>289</v>
      </c>
      <c r="AA1199" s="4">
        <v>296</v>
      </c>
      <c r="AB1199" s="4">
        <v>3</v>
      </c>
      <c r="AC1199" s="4">
        <v>3</v>
      </c>
      <c r="AD1199" s="4">
        <v>14</v>
      </c>
      <c r="AE1199" s="4">
        <v>14</v>
      </c>
      <c r="AF1199" s="4">
        <v>5</v>
      </c>
      <c r="AG1199" s="4">
        <v>5</v>
      </c>
      <c r="AH1199" s="4">
        <v>4</v>
      </c>
      <c r="AI1199" s="4">
        <v>4</v>
      </c>
      <c r="AJ1199" s="4">
        <v>8</v>
      </c>
      <c r="AK1199" s="4">
        <v>8</v>
      </c>
      <c r="AL1199" s="4">
        <v>2</v>
      </c>
      <c r="AM1199" s="4">
        <v>2</v>
      </c>
      <c r="AN1199" s="4">
        <v>0</v>
      </c>
      <c r="AO1199" s="4">
        <v>0</v>
      </c>
      <c r="AP1199" s="3" t="s">
        <v>58</v>
      </c>
      <c r="AQ1199" s="3" t="s">
        <v>86</v>
      </c>
      <c r="AR1199" s="6" t="str">
        <f>HYPERLINK("http://catalog.hathitrust.org/Record/000269728","HathiTrust Record")</f>
        <v>HathiTrust Record</v>
      </c>
      <c r="AS1199" s="6" t="str">
        <f>HYPERLINK("https://creighton-primo.hosted.exlibrisgroup.com/primo-explore/search?tab=default_tab&amp;search_scope=EVERYTHING&amp;vid=01CRU&amp;lang=en_US&amp;offset=0&amp;query=any,contains,991005156679702656","Catalog Record")</f>
        <v>Catalog Record</v>
      </c>
      <c r="AT1199" s="6" t="str">
        <f>HYPERLINK("http://www.worldcat.org/oclc/7740805","WorldCat Record")</f>
        <v>WorldCat Record</v>
      </c>
      <c r="AU1199" s="3" t="s">
        <v>15431</v>
      </c>
      <c r="AV1199" s="3" t="s">
        <v>15432</v>
      </c>
      <c r="AW1199" s="3" t="s">
        <v>15433</v>
      </c>
      <c r="AX1199" s="3" t="s">
        <v>15433</v>
      </c>
      <c r="AY1199" s="3" t="s">
        <v>15434</v>
      </c>
      <c r="AZ1199" s="3" t="s">
        <v>74</v>
      </c>
      <c r="BB1199" s="3" t="s">
        <v>15435</v>
      </c>
      <c r="BC1199" s="3" t="s">
        <v>15436</v>
      </c>
      <c r="BD1199" s="3" t="s">
        <v>15437</v>
      </c>
    </row>
    <row r="1200" spans="1:56" ht="42.75" customHeight="1" x14ac:dyDescent="0.25">
      <c r="A1200" s="7" t="s">
        <v>58</v>
      </c>
      <c r="B1200" s="2" t="s">
        <v>15438</v>
      </c>
      <c r="C1200" s="2" t="s">
        <v>15439</v>
      </c>
      <c r="D1200" s="2" t="s">
        <v>15440</v>
      </c>
      <c r="F1200" s="3" t="s">
        <v>58</v>
      </c>
      <c r="G1200" s="3" t="s">
        <v>59</v>
      </c>
      <c r="H1200" s="3" t="s">
        <v>58</v>
      </c>
      <c r="I1200" s="3" t="s">
        <v>58</v>
      </c>
      <c r="J1200" s="3" t="s">
        <v>60</v>
      </c>
      <c r="L1200" s="2" t="s">
        <v>15441</v>
      </c>
      <c r="M1200" s="3" t="s">
        <v>4296</v>
      </c>
      <c r="O1200" s="3" t="s">
        <v>64</v>
      </c>
      <c r="P1200" s="3" t="s">
        <v>359</v>
      </c>
      <c r="R1200" s="3" t="s">
        <v>67</v>
      </c>
      <c r="S1200" s="4">
        <v>15</v>
      </c>
      <c r="T1200" s="4">
        <v>15</v>
      </c>
      <c r="U1200" s="5" t="s">
        <v>4123</v>
      </c>
      <c r="V1200" s="5" t="s">
        <v>4123</v>
      </c>
      <c r="W1200" s="5" t="s">
        <v>7944</v>
      </c>
      <c r="X1200" s="5" t="s">
        <v>7944</v>
      </c>
      <c r="Y1200" s="4">
        <v>243</v>
      </c>
      <c r="Z1200" s="4">
        <v>208</v>
      </c>
      <c r="AA1200" s="4">
        <v>226</v>
      </c>
      <c r="AB1200" s="4">
        <v>2</v>
      </c>
      <c r="AC1200" s="4">
        <v>3</v>
      </c>
      <c r="AD1200" s="4">
        <v>8</v>
      </c>
      <c r="AE1200" s="4">
        <v>10</v>
      </c>
      <c r="AF1200" s="4">
        <v>2</v>
      </c>
      <c r="AG1200" s="4">
        <v>2</v>
      </c>
      <c r="AH1200" s="4">
        <v>3</v>
      </c>
      <c r="AI1200" s="4">
        <v>3</v>
      </c>
      <c r="AJ1200" s="4">
        <v>6</v>
      </c>
      <c r="AK1200" s="4">
        <v>7</v>
      </c>
      <c r="AL1200" s="4">
        <v>1</v>
      </c>
      <c r="AM1200" s="4">
        <v>2</v>
      </c>
      <c r="AN1200" s="4">
        <v>0</v>
      </c>
      <c r="AO1200" s="4">
        <v>0</v>
      </c>
      <c r="AP1200" s="3" t="s">
        <v>58</v>
      </c>
      <c r="AQ1200" s="3" t="s">
        <v>86</v>
      </c>
      <c r="AR1200" s="6" t="str">
        <f>HYPERLINK("http://catalog.hathitrust.org/Record/004422627","HathiTrust Record")</f>
        <v>HathiTrust Record</v>
      </c>
      <c r="AS1200" s="6" t="str">
        <f>HYPERLINK("https://creighton-primo.hosted.exlibrisgroup.com/primo-explore/search?tab=default_tab&amp;search_scope=EVERYTHING&amp;vid=01CRU&amp;lang=en_US&amp;offset=0&amp;query=any,contains,991004035959702656","Catalog Record")</f>
        <v>Catalog Record</v>
      </c>
      <c r="AT1200" s="6" t="str">
        <f>HYPERLINK("http://www.worldcat.org/oclc/2170022","WorldCat Record")</f>
        <v>WorldCat Record</v>
      </c>
      <c r="AU1200" s="3" t="s">
        <v>15442</v>
      </c>
      <c r="AV1200" s="3" t="s">
        <v>15443</v>
      </c>
      <c r="AW1200" s="3" t="s">
        <v>15444</v>
      </c>
      <c r="AX1200" s="3" t="s">
        <v>15444</v>
      </c>
      <c r="AY1200" s="3" t="s">
        <v>15445</v>
      </c>
      <c r="AZ1200" s="3" t="s">
        <v>74</v>
      </c>
      <c r="BB1200" s="3" t="s">
        <v>15446</v>
      </c>
      <c r="BC1200" s="3" t="s">
        <v>15447</v>
      </c>
      <c r="BD1200" s="3" t="s">
        <v>15448</v>
      </c>
    </row>
    <row r="1201" spans="1:56" ht="42.75" customHeight="1" x14ac:dyDescent="0.25">
      <c r="A1201" s="7" t="s">
        <v>58</v>
      </c>
      <c r="B1201" s="2" t="s">
        <v>15449</v>
      </c>
      <c r="C1201" s="2" t="s">
        <v>15450</v>
      </c>
      <c r="D1201" s="2" t="s">
        <v>15451</v>
      </c>
      <c r="F1201" s="3" t="s">
        <v>58</v>
      </c>
      <c r="G1201" s="3" t="s">
        <v>59</v>
      </c>
      <c r="H1201" s="3" t="s">
        <v>58</v>
      </c>
      <c r="I1201" s="3" t="s">
        <v>58</v>
      </c>
      <c r="J1201" s="3" t="s">
        <v>60</v>
      </c>
      <c r="L1201" s="2" t="s">
        <v>15452</v>
      </c>
      <c r="M1201" s="3" t="s">
        <v>3914</v>
      </c>
      <c r="O1201" s="3" t="s">
        <v>64</v>
      </c>
      <c r="P1201" s="3" t="s">
        <v>65</v>
      </c>
      <c r="R1201" s="3" t="s">
        <v>67</v>
      </c>
      <c r="S1201" s="4">
        <v>10</v>
      </c>
      <c r="T1201" s="4">
        <v>10</v>
      </c>
      <c r="U1201" s="5" t="s">
        <v>4123</v>
      </c>
      <c r="V1201" s="5" t="s">
        <v>4123</v>
      </c>
      <c r="W1201" s="5" t="s">
        <v>15453</v>
      </c>
      <c r="X1201" s="5" t="s">
        <v>15453</v>
      </c>
      <c r="Y1201" s="4">
        <v>273</v>
      </c>
      <c r="Z1201" s="4">
        <v>165</v>
      </c>
      <c r="AA1201" s="4">
        <v>167</v>
      </c>
      <c r="AB1201" s="4">
        <v>2</v>
      </c>
      <c r="AC1201" s="4">
        <v>2</v>
      </c>
      <c r="AD1201" s="4">
        <v>6</v>
      </c>
      <c r="AE1201" s="4">
        <v>6</v>
      </c>
      <c r="AF1201" s="4">
        <v>2</v>
      </c>
      <c r="AG1201" s="4">
        <v>2</v>
      </c>
      <c r="AH1201" s="4">
        <v>2</v>
      </c>
      <c r="AI1201" s="4">
        <v>2</v>
      </c>
      <c r="AJ1201" s="4">
        <v>4</v>
      </c>
      <c r="AK1201" s="4">
        <v>4</v>
      </c>
      <c r="AL1201" s="4">
        <v>1</v>
      </c>
      <c r="AM1201" s="4">
        <v>1</v>
      </c>
      <c r="AN1201" s="4">
        <v>0</v>
      </c>
      <c r="AO1201" s="4">
        <v>0</v>
      </c>
      <c r="AP1201" s="3" t="s">
        <v>58</v>
      </c>
      <c r="AQ1201" s="3" t="s">
        <v>86</v>
      </c>
      <c r="AR1201" s="6" t="str">
        <f>HYPERLINK("http://catalog.hathitrust.org/Record/000210190","HathiTrust Record")</f>
        <v>HathiTrust Record</v>
      </c>
      <c r="AS1201" s="6" t="str">
        <f>HYPERLINK("https://creighton-primo.hosted.exlibrisgroup.com/primo-explore/search?tab=default_tab&amp;search_scope=EVERYTHING&amp;vid=01CRU&amp;lang=en_US&amp;offset=0&amp;query=any,contains,991004251519702656","Catalog Record")</f>
        <v>Catalog Record</v>
      </c>
      <c r="AT1201" s="6" t="str">
        <f>HYPERLINK("http://www.worldcat.org/oclc/2814489","WorldCat Record")</f>
        <v>WorldCat Record</v>
      </c>
      <c r="AU1201" s="3" t="s">
        <v>15454</v>
      </c>
      <c r="AV1201" s="3" t="s">
        <v>15455</v>
      </c>
      <c r="AW1201" s="3" t="s">
        <v>15456</v>
      </c>
      <c r="AX1201" s="3" t="s">
        <v>15456</v>
      </c>
      <c r="AY1201" s="3" t="s">
        <v>15457</v>
      </c>
      <c r="AZ1201" s="3" t="s">
        <v>74</v>
      </c>
      <c r="BB1201" s="3" t="s">
        <v>15458</v>
      </c>
      <c r="BC1201" s="3" t="s">
        <v>15459</v>
      </c>
      <c r="BD1201" s="3" t="s">
        <v>15460</v>
      </c>
    </row>
    <row r="1202" spans="1:56" ht="42.75" customHeight="1" x14ac:dyDescent="0.25">
      <c r="A1202" s="7" t="s">
        <v>58</v>
      </c>
      <c r="B1202" s="2" t="s">
        <v>15461</v>
      </c>
      <c r="C1202" s="2" t="s">
        <v>15462</v>
      </c>
      <c r="D1202" s="2" t="s">
        <v>15463</v>
      </c>
      <c r="F1202" s="3" t="s">
        <v>58</v>
      </c>
      <c r="G1202" s="3" t="s">
        <v>59</v>
      </c>
      <c r="H1202" s="3" t="s">
        <v>58</v>
      </c>
      <c r="I1202" s="3" t="s">
        <v>58</v>
      </c>
      <c r="J1202" s="3" t="s">
        <v>60</v>
      </c>
      <c r="K1202" s="2" t="s">
        <v>15464</v>
      </c>
      <c r="L1202" s="2" t="s">
        <v>15465</v>
      </c>
      <c r="M1202" s="3" t="s">
        <v>344</v>
      </c>
      <c r="O1202" s="3" t="s">
        <v>64</v>
      </c>
      <c r="P1202" s="3" t="s">
        <v>2854</v>
      </c>
      <c r="R1202" s="3" t="s">
        <v>67</v>
      </c>
      <c r="S1202" s="4">
        <v>4</v>
      </c>
      <c r="T1202" s="4">
        <v>4</v>
      </c>
      <c r="U1202" s="5" t="s">
        <v>13449</v>
      </c>
      <c r="V1202" s="5" t="s">
        <v>13449</v>
      </c>
      <c r="W1202" s="5" t="s">
        <v>14819</v>
      </c>
      <c r="X1202" s="5" t="s">
        <v>14819</v>
      </c>
      <c r="Y1202" s="4">
        <v>29</v>
      </c>
      <c r="Z1202" s="4">
        <v>29</v>
      </c>
      <c r="AA1202" s="4">
        <v>31</v>
      </c>
      <c r="AB1202" s="4">
        <v>1</v>
      </c>
      <c r="AC1202" s="4">
        <v>1</v>
      </c>
      <c r="AD1202" s="4">
        <v>0</v>
      </c>
      <c r="AE1202" s="4">
        <v>0</v>
      </c>
      <c r="AF1202" s="4">
        <v>0</v>
      </c>
      <c r="AG1202" s="4">
        <v>0</v>
      </c>
      <c r="AH1202" s="4">
        <v>0</v>
      </c>
      <c r="AI1202" s="4">
        <v>0</v>
      </c>
      <c r="AJ1202" s="4">
        <v>0</v>
      </c>
      <c r="AK1202" s="4">
        <v>0</v>
      </c>
      <c r="AL1202" s="4">
        <v>0</v>
      </c>
      <c r="AM1202" s="4">
        <v>0</v>
      </c>
      <c r="AN1202" s="4">
        <v>0</v>
      </c>
      <c r="AO1202" s="4">
        <v>0</v>
      </c>
      <c r="AP1202" s="3" t="s">
        <v>58</v>
      </c>
      <c r="AQ1202" s="3" t="s">
        <v>86</v>
      </c>
      <c r="AR1202" s="6" t="str">
        <f>HYPERLINK("http://catalog.hathitrust.org/Record/004934200","HathiTrust Record")</f>
        <v>HathiTrust Record</v>
      </c>
      <c r="AS1202" s="6" t="str">
        <f>HYPERLINK("https://creighton-primo.hosted.exlibrisgroup.com/primo-explore/search?tab=default_tab&amp;search_scope=EVERYTHING&amp;vid=01CRU&amp;lang=en_US&amp;offset=0&amp;query=any,contains,991005068569702656","Catalog Record")</f>
        <v>Catalog Record</v>
      </c>
      <c r="AT1202" s="6" t="str">
        <f>HYPERLINK("http://www.worldcat.org/oclc/6982692","WorldCat Record")</f>
        <v>WorldCat Record</v>
      </c>
      <c r="AU1202" s="3" t="s">
        <v>15466</v>
      </c>
      <c r="AV1202" s="3" t="s">
        <v>15467</v>
      </c>
      <c r="AW1202" s="3" t="s">
        <v>15468</v>
      </c>
      <c r="AX1202" s="3" t="s">
        <v>15468</v>
      </c>
      <c r="AY1202" s="3" t="s">
        <v>15469</v>
      </c>
      <c r="AZ1202" s="3" t="s">
        <v>74</v>
      </c>
      <c r="BB1202" s="3" t="s">
        <v>15470</v>
      </c>
      <c r="BC1202" s="3" t="s">
        <v>15471</v>
      </c>
      <c r="BD1202" s="3" t="s">
        <v>15472</v>
      </c>
    </row>
    <row r="1203" spans="1:56" ht="42.75" customHeight="1" x14ac:dyDescent="0.25">
      <c r="A1203" s="7" t="s">
        <v>58</v>
      </c>
      <c r="B1203" s="2" t="s">
        <v>15473</v>
      </c>
      <c r="C1203" s="2" t="s">
        <v>15474</v>
      </c>
      <c r="D1203" s="2" t="s">
        <v>15475</v>
      </c>
      <c r="F1203" s="3" t="s">
        <v>58</v>
      </c>
      <c r="G1203" s="3" t="s">
        <v>59</v>
      </c>
      <c r="H1203" s="3" t="s">
        <v>58</v>
      </c>
      <c r="I1203" s="3" t="s">
        <v>58</v>
      </c>
      <c r="J1203" s="3" t="s">
        <v>60</v>
      </c>
      <c r="K1203" s="2" t="s">
        <v>5380</v>
      </c>
      <c r="L1203" s="2" t="s">
        <v>15476</v>
      </c>
      <c r="M1203" s="3" t="s">
        <v>344</v>
      </c>
      <c r="N1203" s="2" t="s">
        <v>1736</v>
      </c>
      <c r="O1203" s="3" t="s">
        <v>64</v>
      </c>
      <c r="P1203" s="3" t="s">
        <v>115</v>
      </c>
      <c r="R1203" s="3" t="s">
        <v>67</v>
      </c>
      <c r="S1203" s="4">
        <v>3</v>
      </c>
      <c r="T1203" s="4">
        <v>3</v>
      </c>
      <c r="U1203" s="5" t="s">
        <v>15286</v>
      </c>
      <c r="V1203" s="5" t="s">
        <v>15286</v>
      </c>
      <c r="W1203" s="5" t="s">
        <v>4221</v>
      </c>
      <c r="X1203" s="5" t="s">
        <v>4221</v>
      </c>
      <c r="Y1203" s="4">
        <v>539</v>
      </c>
      <c r="Z1203" s="4">
        <v>483</v>
      </c>
      <c r="AA1203" s="4">
        <v>588</v>
      </c>
      <c r="AB1203" s="4">
        <v>3</v>
      </c>
      <c r="AC1203" s="4">
        <v>5</v>
      </c>
      <c r="AD1203" s="4">
        <v>16</v>
      </c>
      <c r="AE1203" s="4">
        <v>21</v>
      </c>
      <c r="AF1203" s="4">
        <v>5</v>
      </c>
      <c r="AG1203" s="4">
        <v>5</v>
      </c>
      <c r="AH1203" s="4">
        <v>6</v>
      </c>
      <c r="AI1203" s="4">
        <v>6</v>
      </c>
      <c r="AJ1203" s="4">
        <v>9</v>
      </c>
      <c r="AK1203" s="4">
        <v>12</v>
      </c>
      <c r="AL1203" s="4">
        <v>2</v>
      </c>
      <c r="AM1203" s="4">
        <v>4</v>
      </c>
      <c r="AN1203" s="4">
        <v>0</v>
      </c>
      <c r="AO1203" s="4">
        <v>0</v>
      </c>
      <c r="AP1203" s="3" t="s">
        <v>58</v>
      </c>
      <c r="AQ1203" s="3" t="s">
        <v>58</v>
      </c>
      <c r="AS1203" s="6" t="str">
        <f>HYPERLINK("https://creighton-primo.hosted.exlibrisgroup.com/primo-explore/search?tab=default_tab&amp;search_scope=EVERYTHING&amp;vid=01CRU&amp;lang=en_US&amp;offset=0&amp;query=any,contains,991004985439702656","Catalog Record")</f>
        <v>Catalog Record</v>
      </c>
      <c r="AT1203" s="6" t="str">
        <f>HYPERLINK("http://www.worldcat.org/oclc/6447353","WorldCat Record")</f>
        <v>WorldCat Record</v>
      </c>
      <c r="AU1203" s="3" t="s">
        <v>15477</v>
      </c>
      <c r="AV1203" s="3" t="s">
        <v>15478</v>
      </c>
      <c r="AW1203" s="3" t="s">
        <v>15479</v>
      </c>
      <c r="AX1203" s="3" t="s">
        <v>15479</v>
      </c>
      <c r="AY1203" s="3" t="s">
        <v>15480</v>
      </c>
      <c r="AZ1203" s="3" t="s">
        <v>74</v>
      </c>
      <c r="BB1203" s="3" t="s">
        <v>15481</v>
      </c>
      <c r="BC1203" s="3" t="s">
        <v>15482</v>
      </c>
      <c r="BD1203" s="3" t="s">
        <v>15483</v>
      </c>
    </row>
    <row r="1204" spans="1:56" ht="42.75" customHeight="1" x14ac:dyDescent="0.25">
      <c r="A1204" s="7" t="s">
        <v>58</v>
      </c>
      <c r="B1204" s="2" t="s">
        <v>15484</v>
      </c>
      <c r="C1204" s="2" t="s">
        <v>15485</v>
      </c>
      <c r="D1204" s="2" t="s">
        <v>15486</v>
      </c>
      <c r="F1204" s="3" t="s">
        <v>58</v>
      </c>
      <c r="G1204" s="3" t="s">
        <v>59</v>
      </c>
      <c r="H1204" s="3" t="s">
        <v>58</v>
      </c>
      <c r="I1204" s="3" t="s">
        <v>58</v>
      </c>
      <c r="J1204" s="3" t="s">
        <v>60</v>
      </c>
      <c r="K1204" s="2" t="s">
        <v>15487</v>
      </c>
      <c r="L1204" s="2" t="s">
        <v>15488</v>
      </c>
      <c r="M1204" s="3" t="s">
        <v>163</v>
      </c>
      <c r="O1204" s="3" t="s">
        <v>64</v>
      </c>
      <c r="P1204" s="3" t="s">
        <v>115</v>
      </c>
      <c r="R1204" s="3" t="s">
        <v>67</v>
      </c>
      <c r="S1204" s="4">
        <v>11</v>
      </c>
      <c r="T1204" s="4">
        <v>11</v>
      </c>
      <c r="U1204" s="5" t="s">
        <v>15489</v>
      </c>
      <c r="V1204" s="5" t="s">
        <v>15489</v>
      </c>
      <c r="W1204" s="5" t="s">
        <v>11036</v>
      </c>
      <c r="X1204" s="5" t="s">
        <v>11036</v>
      </c>
      <c r="Y1204" s="4">
        <v>300</v>
      </c>
      <c r="Z1204" s="4">
        <v>278</v>
      </c>
      <c r="AA1204" s="4">
        <v>296</v>
      </c>
      <c r="AB1204" s="4">
        <v>3</v>
      </c>
      <c r="AC1204" s="4">
        <v>3</v>
      </c>
      <c r="AD1204" s="4">
        <v>4</v>
      </c>
      <c r="AE1204" s="4">
        <v>6</v>
      </c>
      <c r="AF1204" s="4">
        <v>1</v>
      </c>
      <c r="AG1204" s="4">
        <v>2</v>
      </c>
      <c r="AH1204" s="4">
        <v>1</v>
      </c>
      <c r="AI1204" s="4">
        <v>2</v>
      </c>
      <c r="AJ1204" s="4">
        <v>2</v>
      </c>
      <c r="AK1204" s="4">
        <v>2</v>
      </c>
      <c r="AL1204" s="4">
        <v>1</v>
      </c>
      <c r="AM1204" s="4">
        <v>1</v>
      </c>
      <c r="AN1204" s="4">
        <v>0</v>
      </c>
      <c r="AO1204" s="4">
        <v>0</v>
      </c>
      <c r="AP1204" s="3" t="s">
        <v>58</v>
      </c>
      <c r="AQ1204" s="3" t="s">
        <v>58</v>
      </c>
      <c r="AS1204" s="6" t="str">
        <f>HYPERLINK("https://creighton-primo.hosted.exlibrisgroup.com/primo-explore/search?tab=default_tab&amp;search_scope=EVERYTHING&amp;vid=01CRU&amp;lang=en_US&amp;offset=0&amp;query=any,contains,991001220279702656","Catalog Record")</f>
        <v>Catalog Record</v>
      </c>
      <c r="AT1204" s="6" t="str">
        <f>HYPERLINK("http://www.worldcat.org/oclc/196483","WorldCat Record")</f>
        <v>WorldCat Record</v>
      </c>
      <c r="AU1204" s="3" t="s">
        <v>15490</v>
      </c>
      <c r="AV1204" s="3" t="s">
        <v>15491</v>
      </c>
      <c r="AW1204" s="3" t="s">
        <v>15492</v>
      </c>
      <c r="AX1204" s="3" t="s">
        <v>15492</v>
      </c>
      <c r="AY1204" s="3" t="s">
        <v>15493</v>
      </c>
      <c r="AZ1204" s="3" t="s">
        <v>74</v>
      </c>
      <c r="BC1204" s="3" t="s">
        <v>15494</v>
      </c>
      <c r="BD1204" s="3" t="s">
        <v>15495</v>
      </c>
    </row>
    <row r="1205" spans="1:56" ht="42.75" customHeight="1" x14ac:dyDescent="0.25">
      <c r="A1205" s="7" t="s">
        <v>58</v>
      </c>
      <c r="B1205" s="2" t="s">
        <v>15496</v>
      </c>
      <c r="C1205" s="2" t="s">
        <v>15497</v>
      </c>
      <c r="D1205" s="2" t="s">
        <v>15498</v>
      </c>
      <c r="F1205" s="3" t="s">
        <v>58</v>
      </c>
      <c r="G1205" s="3" t="s">
        <v>59</v>
      </c>
      <c r="H1205" s="3" t="s">
        <v>58</v>
      </c>
      <c r="I1205" s="3" t="s">
        <v>58</v>
      </c>
      <c r="J1205" s="3" t="s">
        <v>60</v>
      </c>
      <c r="K1205" s="2" t="s">
        <v>15499</v>
      </c>
      <c r="L1205" s="2" t="s">
        <v>15500</v>
      </c>
      <c r="M1205" s="3" t="s">
        <v>4296</v>
      </c>
      <c r="O1205" s="3" t="s">
        <v>64</v>
      </c>
      <c r="P1205" s="3" t="s">
        <v>83</v>
      </c>
      <c r="R1205" s="3" t="s">
        <v>67</v>
      </c>
      <c r="S1205" s="4">
        <v>17</v>
      </c>
      <c r="T1205" s="4">
        <v>17</v>
      </c>
      <c r="U1205" s="5" t="s">
        <v>15501</v>
      </c>
      <c r="V1205" s="5" t="s">
        <v>15501</v>
      </c>
      <c r="W1205" s="5" t="s">
        <v>15453</v>
      </c>
      <c r="X1205" s="5" t="s">
        <v>15453</v>
      </c>
      <c r="Y1205" s="4">
        <v>259</v>
      </c>
      <c r="Z1205" s="4">
        <v>219</v>
      </c>
      <c r="AA1205" s="4">
        <v>277</v>
      </c>
      <c r="AB1205" s="4">
        <v>3</v>
      </c>
      <c r="AC1205" s="4">
        <v>3</v>
      </c>
      <c r="AD1205" s="4">
        <v>7</v>
      </c>
      <c r="AE1205" s="4">
        <v>7</v>
      </c>
      <c r="AF1205" s="4">
        <v>2</v>
      </c>
      <c r="AG1205" s="4">
        <v>2</v>
      </c>
      <c r="AH1205" s="4">
        <v>1</v>
      </c>
      <c r="AI1205" s="4">
        <v>1</v>
      </c>
      <c r="AJ1205" s="4">
        <v>3</v>
      </c>
      <c r="AK1205" s="4">
        <v>3</v>
      </c>
      <c r="AL1205" s="4">
        <v>2</v>
      </c>
      <c r="AM1205" s="4">
        <v>2</v>
      </c>
      <c r="AN1205" s="4">
        <v>1</v>
      </c>
      <c r="AO1205" s="4">
        <v>1</v>
      </c>
      <c r="AP1205" s="3" t="s">
        <v>58</v>
      </c>
      <c r="AQ1205" s="3" t="s">
        <v>86</v>
      </c>
      <c r="AR1205" s="6" t="str">
        <f>HYPERLINK("http://catalog.hathitrust.org/Record/000023696","HathiTrust Record")</f>
        <v>HathiTrust Record</v>
      </c>
      <c r="AS1205" s="6" t="str">
        <f>HYPERLINK("https://creighton-primo.hosted.exlibrisgroup.com/primo-explore/search?tab=default_tab&amp;search_scope=EVERYTHING&amp;vid=01CRU&amp;lang=en_US&amp;offset=0&amp;query=any,contains,991003505229702656","Catalog Record")</f>
        <v>Catalog Record</v>
      </c>
      <c r="AT1205" s="6" t="str">
        <f>HYPERLINK("http://www.worldcat.org/oclc/1056807","WorldCat Record")</f>
        <v>WorldCat Record</v>
      </c>
      <c r="AU1205" s="3" t="s">
        <v>15502</v>
      </c>
      <c r="AV1205" s="3" t="s">
        <v>15503</v>
      </c>
      <c r="AW1205" s="3" t="s">
        <v>15504</v>
      </c>
      <c r="AX1205" s="3" t="s">
        <v>15504</v>
      </c>
      <c r="AY1205" s="3" t="s">
        <v>15505</v>
      </c>
      <c r="AZ1205" s="3" t="s">
        <v>74</v>
      </c>
      <c r="BB1205" s="3" t="s">
        <v>15506</v>
      </c>
      <c r="BC1205" s="3" t="s">
        <v>15507</v>
      </c>
      <c r="BD1205" s="3" t="s">
        <v>15508</v>
      </c>
    </row>
    <row r="1206" spans="1:56" ht="42.75" customHeight="1" x14ac:dyDescent="0.25">
      <c r="A1206" s="7" t="s">
        <v>58</v>
      </c>
      <c r="B1206" s="2" t="s">
        <v>15509</v>
      </c>
      <c r="C1206" s="2" t="s">
        <v>15510</v>
      </c>
      <c r="D1206" s="2" t="s">
        <v>15511</v>
      </c>
      <c r="F1206" s="3" t="s">
        <v>58</v>
      </c>
      <c r="G1206" s="3" t="s">
        <v>59</v>
      </c>
      <c r="H1206" s="3" t="s">
        <v>58</v>
      </c>
      <c r="I1206" s="3" t="s">
        <v>58</v>
      </c>
      <c r="J1206" s="3" t="s">
        <v>60</v>
      </c>
      <c r="K1206" s="2" t="s">
        <v>15512</v>
      </c>
      <c r="L1206" s="2" t="s">
        <v>15513</v>
      </c>
      <c r="M1206" s="3" t="s">
        <v>4296</v>
      </c>
      <c r="O1206" s="3" t="s">
        <v>64</v>
      </c>
      <c r="P1206" s="3" t="s">
        <v>115</v>
      </c>
      <c r="R1206" s="3" t="s">
        <v>67</v>
      </c>
      <c r="S1206" s="4">
        <v>4</v>
      </c>
      <c r="T1206" s="4">
        <v>4</v>
      </c>
      <c r="U1206" s="5" t="s">
        <v>15514</v>
      </c>
      <c r="V1206" s="5" t="s">
        <v>15514</v>
      </c>
      <c r="W1206" s="5" t="s">
        <v>15453</v>
      </c>
      <c r="X1206" s="5" t="s">
        <v>15453</v>
      </c>
      <c r="Y1206" s="4">
        <v>400</v>
      </c>
      <c r="Z1206" s="4">
        <v>345</v>
      </c>
      <c r="AA1206" s="4">
        <v>966</v>
      </c>
      <c r="AB1206" s="4">
        <v>3</v>
      </c>
      <c r="AC1206" s="4">
        <v>10</v>
      </c>
      <c r="AD1206" s="4">
        <v>9</v>
      </c>
      <c r="AE1206" s="4">
        <v>31</v>
      </c>
      <c r="AF1206" s="4">
        <v>1</v>
      </c>
      <c r="AG1206" s="4">
        <v>9</v>
      </c>
      <c r="AH1206" s="4">
        <v>1</v>
      </c>
      <c r="AI1206" s="4">
        <v>7</v>
      </c>
      <c r="AJ1206" s="4">
        <v>7</v>
      </c>
      <c r="AK1206" s="4">
        <v>12</v>
      </c>
      <c r="AL1206" s="4">
        <v>2</v>
      </c>
      <c r="AM1206" s="4">
        <v>8</v>
      </c>
      <c r="AN1206" s="4">
        <v>0</v>
      </c>
      <c r="AO1206" s="4">
        <v>1</v>
      </c>
      <c r="AP1206" s="3" t="s">
        <v>58</v>
      </c>
      <c r="AQ1206" s="3" t="s">
        <v>86</v>
      </c>
      <c r="AR1206" s="6" t="str">
        <f>HYPERLINK("http://catalog.hathitrust.org/Record/000034236","HathiTrust Record")</f>
        <v>HathiTrust Record</v>
      </c>
      <c r="AS1206" s="6" t="str">
        <f>HYPERLINK("https://creighton-primo.hosted.exlibrisgroup.com/primo-explore/search?tab=default_tab&amp;search_scope=EVERYTHING&amp;vid=01CRU&amp;lang=en_US&amp;offset=0&amp;query=any,contains,991003784519702656","Catalog Record")</f>
        <v>Catalog Record</v>
      </c>
      <c r="AT1206" s="6" t="str">
        <f>HYPERLINK("http://www.worldcat.org/oclc/1500086","WorldCat Record")</f>
        <v>WorldCat Record</v>
      </c>
      <c r="AU1206" s="3" t="s">
        <v>15515</v>
      </c>
      <c r="AV1206" s="3" t="s">
        <v>15516</v>
      </c>
      <c r="AW1206" s="3" t="s">
        <v>15517</v>
      </c>
      <c r="AX1206" s="3" t="s">
        <v>15517</v>
      </c>
      <c r="AY1206" s="3" t="s">
        <v>15518</v>
      </c>
      <c r="AZ1206" s="3" t="s">
        <v>74</v>
      </c>
      <c r="BB1206" s="3" t="s">
        <v>15519</v>
      </c>
      <c r="BC1206" s="3" t="s">
        <v>15520</v>
      </c>
      <c r="BD1206" s="3" t="s">
        <v>15521</v>
      </c>
    </row>
    <row r="1207" spans="1:56" ht="42.75" customHeight="1" x14ac:dyDescent="0.25">
      <c r="A1207" s="7" t="s">
        <v>58</v>
      </c>
      <c r="B1207" s="2" t="s">
        <v>15522</v>
      </c>
      <c r="C1207" s="2" t="s">
        <v>15523</v>
      </c>
      <c r="D1207" s="2" t="s">
        <v>15524</v>
      </c>
      <c r="E1207" s="3" t="s">
        <v>252</v>
      </c>
      <c r="F1207" s="3" t="s">
        <v>86</v>
      </c>
      <c r="G1207" s="3" t="s">
        <v>59</v>
      </c>
      <c r="H1207" s="3" t="s">
        <v>58</v>
      </c>
      <c r="I1207" s="3" t="s">
        <v>58</v>
      </c>
      <c r="J1207" s="3" t="s">
        <v>60</v>
      </c>
      <c r="K1207" s="2" t="s">
        <v>15512</v>
      </c>
      <c r="L1207" s="2" t="s">
        <v>15525</v>
      </c>
      <c r="M1207" s="3" t="s">
        <v>2386</v>
      </c>
      <c r="O1207" s="3" t="s">
        <v>64</v>
      </c>
      <c r="P1207" s="3" t="s">
        <v>2854</v>
      </c>
      <c r="R1207" s="3" t="s">
        <v>67</v>
      </c>
      <c r="S1207" s="4">
        <v>7</v>
      </c>
      <c r="T1207" s="4">
        <v>7</v>
      </c>
      <c r="U1207" s="5" t="s">
        <v>15526</v>
      </c>
      <c r="V1207" s="5" t="s">
        <v>15526</v>
      </c>
      <c r="W1207" s="5" t="s">
        <v>15453</v>
      </c>
      <c r="X1207" s="5" t="s">
        <v>15453</v>
      </c>
      <c r="Y1207" s="4">
        <v>248</v>
      </c>
      <c r="Z1207" s="4">
        <v>235</v>
      </c>
      <c r="AA1207" s="4">
        <v>272</v>
      </c>
      <c r="AB1207" s="4">
        <v>2</v>
      </c>
      <c r="AC1207" s="4">
        <v>3</v>
      </c>
      <c r="AD1207" s="4">
        <v>9</v>
      </c>
      <c r="AE1207" s="4">
        <v>11</v>
      </c>
      <c r="AF1207" s="4">
        <v>2</v>
      </c>
      <c r="AG1207" s="4">
        <v>2</v>
      </c>
      <c r="AH1207" s="4">
        <v>2</v>
      </c>
      <c r="AI1207" s="4">
        <v>3</v>
      </c>
      <c r="AJ1207" s="4">
        <v>5</v>
      </c>
      <c r="AK1207" s="4">
        <v>6</v>
      </c>
      <c r="AL1207" s="4">
        <v>1</v>
      </c>
      <c r="AM1207" s="4">
        <v>2</v>
      </c>
      <c r="AN1207" s="4">
        <v>0</v>
      </c>
      <c r="AO1207" s="4">
        <v>0</v>
      </c>
      <c r="AP1207" s="3" t="s">
        <v>58</v>
      </c>
      <c r="AQ1207" s="3" t="s">
        <v>86</v>
      </c>
      <c r="AR1207" s="6" t="str">
        <f>HYPERLINK("http://catalog.hathitrust.org/Record/003522585","HathiTrust Record")</f>
        <v>HathiTrust Record</v>
      </c>
      <c r="AS1207" s="6" t="str">
        <f>HYPERLINK("https://creighton-primo.hosted.exlibrisgroup.com/primo-explore/search?tab=default_tab&amp;search_scope=EVERYTHING&amp;vid=01CRU&amp;lang=en_US&amp;offset=0&amp;query=any,contains,991003742469702656","Catalog Record")</f>
        <v>Catalog Record</v>
      </c>
      <c r="AT1207" s="6" t="str">
        <f>HYPERLINK("http://www.worldcat.org/oclc/1009658","WorldCat Record")</f>
        <v>WorldCat Record</v>
      </c>
      <c r="AU1207" s="3" t="s">
        <v>15527</v>
      </c>
      <c r="AV1207" s="3" t="s">
        <v>15528</v>
      </c>
      <c r="AW1207" s="3" t="s">
        <v>15529</v>
      </c>
      <c r="AX1207" s="3" t="s">
        <v>15529</v>
      </c>
      <c r="AY1207" s="3" t="s">
        <v>15530</v>
      </c>
      <c r="AZ1207" s="3" t="s">
        <v>74</v>
      </c>
      <c r="BC1207" s="3" t="s">
        <v>15531</v>
      </c>
      <c r="BD1207" s="3" t="s">
        <v>15532</v>
      </c>
    </row>
    <row r="1208" spans="1:56" ht="42.75" customHeight="1" x14ac:dyDescent="0.25">
      <c r="A1208" s="7" t="s">
        <v>58</v>
      </c>
      <c r="B1208" s="2" t="s">
        <v>15533</v>
      </c>
      <c r="C1208" s="2" t="s">
        <v>15534</v>
      </c>
      <c r="D1208" s="2" t="s">
        <v>15535</v>
      </c>
      <c r="F1208" s="3" t="s">
        <v>58</v>
      </c>
      <c r="G1208" s="3" t="s">
        <v>59</v>
      </c>
      <c r="H1208" s="3" t="s">
        <v>58</v>
      </c>
      <c r="I1208" s="3" t="s">
        <v>58</v>
      </c>
      <c r="J1208" s="3" t="s">
        <v>60</v>
      </c>
      <c r="K1208" s="2" t="s">
        <v>15536</v>
      </c>
      <c r="L1208" s="2" t="s">
        <v>15537</v>
      </c>
      <c r="M1208" s="3" t="s">
        <v>2227</v>
      </c>
      <c r="O1208" s="3" t="s">
        <v>64</v>
      </c>
      <c r="P1208" s="3" t="s">
        <v>178</v>
      </c>
      <c r="R1208" s="3" t="s">
        <v>67</v>
      </c>
      <c r="S1208" s="4">
        <v>24</v>
      </c>
      <c r="T1208" s="4">
        <v>24</v>
      </c>
      <c r="U1208" s="5" t="s">
        <v>6864</v>
      </c>
      <c r="V1208" s="5" t="s">
        <v>6864</v>
      </c>
      <c r="W1208" s="5" t="s">
        <v>15538</v>
      </c>
      <c r="X1208" s="5" t="s">
        <v>15538</v>
      </c>
      <c r="Y1208" s="4">
        <v>92</v>
      </c>
      <c r="Z1208" s="4">
        <v>74</v>
      </c>
      <c r="AA1208" s="4">
        <v>74</v>
      </c>
      <c r="AB1208" s="4">
        <v>2</v>
      </c>
      <c r="AC1208" s="4">
        <v>2</v>
      </c>
      <c r="AD1208" s="4">
        <v>4</v>
      </c>
      <c r="AE1208" s="4">
        <v>4</v>
      </c>
      <c r="AF1208" s="4">
        <v>0</v>
      </c>
      <c r="AG1208" s="4">
        <v>0</v>
      </c>
      <c r="AH1208" s="4">
        <v>2</v>
      </c>
      <c r="AI1208" s="4">
        <v>2</v>
      </c>
      <c r="AJ1208" s="4">
        <v>2</v>
      </c>
      <c r="AK1208" s="4">
        <v>2</v>
      </c>
      <c r="AL1208" s="4">
        <v>0</v>
      </c>
      <c r="AM1208" s="4">
        <v>0</v>
      </c>
      <c r="AN1208" s="4">
        <v>0</v>
      </c>
      <c r="AO1208" s="4">
        <v>0</v>
      </c>
      <c r="AP1208" s="3" t="s">
        <v>58</v>
      </c>
      <c r="AQ1208" s="3" t="s">
        <v>58</v>
      </c>
      <c r="AS1208" s="6" t="str">
        <f>HYPERLINK("https://creighton-primo.hosted.exlibrisgroup.com/primo-explore/search?tab=default_tab&amp;search_scope=EVERYTHING&amp;vid=01CRU&amp;lang=en_US&amp;offset=0&amp;query=any,contains,991000606829702656","Catalog Record")</f>
        <v>Catalog Record</v>
      </c>
      <c r="AT1208" s="6" t="str">
        <f>HYPERLINK("http://www.worldcat.org/oclc/11866997","WorldCat Record")</f>
        <v>WorldCat Record</v>
      </c>
      <c r="AU1208" s="3" t="s">
        <v>15539</v>
      </c>
      <c r="AV1208" s="3" t="s">
        <v>15540</v>
      </c>
      <c r="AW1208" s="3" t="s">
        <v>15541</v>
      </c>
      <c r="AX1208" s="3" t="s">
        <v>15541</v>
      </c>
      <c r="AY1208" s="3" t="s">
        <v>15542</v>
      </c>
      <c r="AZ1208" s="3" t="s">
        <v>74</v>
      </c>
      <c r="BB1208" s="3" t="s">
        <v>15543</v>
      </c>
      <c r="BC1208" s="3" t="s">
        <v>15544</v>
      </c>
      <c r="BD1208" s="3" t="s">
        <v>15545</v>
      </c>
    </row>
    <row r="1209" spans="1:56" ht="42.75" customHeight="1" x14ac:dyDescent="0.25">
      <c r="A1209" s="7" t="s">
        <v>58</v>
      </c>
      <c r="B1209" s="2" t="s">
        <v>15546</v>
      </c>
      <c r="C1209" s="2" t="s">
        <v>15547</v>
      </c>
      <c r="D1209" s="2" t="s">
        <v>15548</v>
      </c>
      <c r="F1209" s="3" t="s">
        <v>58</v>
      </c>
      <c r="G1209" s="3" t="s">
        <v>59</v>
      </c>
      <c r="H1209" s="3" t="s">
        <v>58</v>
      </c>
      <c r="I1209" s="3" t="s">
        <v>58</v>
      </c>
      <c r="J1209" s="3" t="s">
        <v>60</v>
      </c>
      <c r="K1209" s="2" t="s">
        <v>15536</v>
      </c>
      <c r="L1209" s="2" t="s">
        <v>15549</v>
      </c>
      <c r="M1209" s="3" t="s">
        <v>2227</v>
      </c>
      <c r="O1209" s="3" t="s">
        <v>64</v>
      </c>
      <c r="P1209" s="3" t="s">
        <v>115</v>
      </c>
      <c r="R1209" s="3" t="s">
        <v>67</v>
      </c>
      <c r="S1209" s="4">
        <v>40</v>
      </c>
      <c r="T1209" s="4">
        <v>40</v>
      </c>
      <c r="U1209" s="5" t="s">
        <v>15550</v>
      </c>
      <c r="V1209" s="5" t="s">
        <v>15550</v>
      </c>
      <c r="W1209" s="5" t="s">
        <v>4459</v>
      </c>
      <c r="X1209" s="5" t="s">
        <v>4459</v>
      </c>
      <c r="Y1209" s="4">
        <v>277</v>
      </c>
      <c r="Z1209" s="4">
        <v>247</v>
      </c>
      <c r="AA1209" s="4">
        <v>256</v>
      </c>
      <c r="AB1209" s="4">
        <v>4</v>
      </c>
      <c r="AC1209" s="4">
        <v>4</v>
      </c>
      <c r="AD1209" s="4">
        <v>9</v>
      </c>
      <c r="AE1209" s="4">
        <v>9</v>
      </c>
      <c r="AF1209" s="4">
        <v>1</v>
      </c>
      <c r="AG1209" s="4">
        <v>1</v>
      </c>
      <c r="AH1209" s="4">
        <v>3</v>
      </c>
      <c r="AI1209" s="4">
        <v>3</v>
      </c>
      <c r="AJ1209" s="4">
        <v>6</v>
      </c>
      <c r="AK1209" s="4">
        <v>6</v>
      </c>
      <c r="AL1209" s="4">
        <v>2</v>
      </c>
      <c r="AM1209" s="4">
        <v>2</v>
      </c>
      <c r="AN1209" s="4">
        <v>0</v>
      </c>
      <c r="AO1209" s="4">
        <v>0</v>
      </c>
      <c r="AP1209" s="3" t="s">
        <v>58</v>
      </c>
      <c r="AQ1209" s="3" t="s">
        <v>86</v>
      </c>
      <c r="AR1209" s="6" t="str">
        <f>HYPERLINK("http://catalog.hathitrust.org/Record/007472115","HathiTrust Record")</f>
        <v>HathiTrust Record</v>
      </c>
      <c r="AS1209" s="6" t="str">
        <f>HYPERLINK("https://creighton-primo.hosted.exlibrisgroup.com/primo-explore/search?tab=default_tab&amp;search_scope=EVERYTHING&amp;vid=01CRU&amp;lang=en_US&amp;offset=0&amp;query=any,contains,991000634549702656","Catalog Record")</f>
        <v>Catalog Record</v>
      </c>
      <c r="AT1209" s="6" t="str">
        <f>HYPERLINK("http://www.worldcat.org/oclc/12079467","WorldCat Record")</f>
        <v>WorldCat Record</v>
      </c>
      <c r="AU1209" s="3" t="s">
        <v>15551</v>
      </c>
      <c r="AV1209" s="3" t="s">
        <v>15552</v>
      </c>
      <c r="AW1209" s="3" t="s">
        <v>15553</v>
      </c>
      <c r="AX1209" s="3" t="s">
        <v>15553</v>
      </c>
      <c r="AY1209" s="3" t="s">
        <v>15554</v>
      </c>
      <c r="AZ1209" s="3" t="s">
        <v>74</v>
      </c>
      <c r="BB1209" s="3" t="s">
        <v>15555</v>
      </c>
      <c r="BC1209" s="3" t="s">
        <v>15556</v>
      </c>
      <c r="BD1209" s="3" t="s">
        <v>15557</v>
      </c>
    </row>
    <row r="1210" spans="1:56" ht="42.75" customHeight="1" x14ac:dyDescent="0.25">
      <c r="A1210" s="7" t="s">
        <v>58</v>
      </c>
      <c r="B1210" s="2" t="s">
        <v>15558</v>
      </c>
      <c r="C1210" s="2" t="s">
        <v>15559</v>
      </c>
      <c r="D1210" s="2" t="s">
        <v>15560</v>
      </c>
      <c r="F1210" s="3" t="s">
        <v>58</v>
      </c>
      <c r="G1210" s="3" t="s">
        <v>59</v>
      </c>
      <c r="H1210" s="3" t="s">
        <v>58</v>
      </c>
      <c r="I1210" s="3" t="s">
        <v>58</v>
      </c>
      <c r="J1210" s="3" t="s">
        <v>60</v>
      </c>
      <c r="K1210" s="2" t="s">
        <v>15561</v>
      </c>
      <c r="L1210" s="2" t="s">
        <v>15562</v>
      </c>
      <c r="M1210" s="3" t="s">
        <v>207</v>
      </c>
      <c r="O1210" s="3" t="s">
        <v>64</v>
      </c>
      <c r="P1210" s="3" t="s">
        <v>115</v>
      </c>
      <c r="R1210" s="3" t="s">
        <v>67</v>
      </c>
      <c r="S1210" s="4">
        <v>25</v>
      </c>
      <c r="T1210" s="4">
        <v>25</v>
      </c>
      <c r="U1210" s="5" t="s">
        <v>15563</v>
      </c>
      <c r="V1210" s="5" t="s">
        <v>15563</v>
      </c>
      <c r="W1210" s="5" t="s">
        <v>401</v>
      </c>
      <c r="X1210" s="5" t="s">
        <v>401</v>
      </c>
      <c r="Y1210" s="4">
        <v>655</v>
      </c>
      <c r="Z1210" s="4">
        <v>574</v>
      </c>
      <c r="AA1210" s="4">
        <v>833</v>
      </c>
      <c r="AB1210" s="4">
        <v>3</v>
      </c>
      <c r="AC1210" s="4">
        <v>4</v>
      </c>
      <c r="AD1210" s="4">
        <v>22</v>
      </c>
      <c r="AE1210" s="4">
        <v>33</v>
      </c>
      <c r="AF1210" s="4">
        <v>9</v>
      </c>
      <c r="AG1210" s="4">
        <v>14</v>
      </c>
      <c r="AH1210" s="4">
        <v>5</v>
      </c>
      <c r="AI1210" s="4">
        <v>8</v>
      </c>
      <c r="AJ1210" s="4">
        <v>12</v>
      </c>
      <c r="AK1210" s="4">
        <v>16</v>
      </c>
      <c r="AL1210" s="4">
        <v>2</v>
      </c>
      <c r="AM1210" s="4">
        <v>3</v>
      </c>
      <c r="AN1210" s="4">
        <v>0</v>
      </c>
      <c r="AO1210" s="4">
        <v>0</v>
      </c>
      <c r="AP1210" s="3" t="s">
        <v>58</v>
      </c>
      <c r="AQ1210" s="3" t="s">
        <v>86</v>
      </c>
      <c r="AR1210" s="6" t="str">
        <f>HYPERLINK("http://catalog.hathitrust.org/Record/000083977","HathiTrust Record")</f>
        <v>HathiTrust Record</v>
      </c>
      <c r="AS1210" s="6" t="str">
        <f>HYPERLINK("https://creighton-primo.hosted.exlibrisgroup.com/primo-explore/search?tab=default_tab&amp;search_scope=EVERYTHING&amp;vid=01CRU&amp;lang=en_US&amp;offset=0&amp;query=any,contains,991005085809702656","Catalog Record")</f>
        <v>Catalog Record</v>
      </c>
      <c r="AT1210" s="6" t="str">
        <f>HYPERLINK("http://www.worldcat.org/oclc/7196584","WorldCat Record")</f>
        <v>WorldCat Record</v>
      </c>
      <c r="AU1210" s="3" t="s">
        <v>15564</v>
      </c>
      <c r="AV1210" s="3" t="s">
        <v>15565</v>
      </c>
      <c r="AW1210" s="3" t="s">
        <v>15566</v>
      </c>
      <c r="AX1210" s="3" t="s">
        <v>15566</v>
      </c>
      <c r="AY1210" s="3" t="s">
        <v>15567</v>
      </c>
      <c r="AZ1210" s="3" t="s">
        <v>74</v>
      </c>
      <c r="BB1210" s="3" t="s">
        <v>15568</v>
      </c>
      <c r="BC1210" s="3" t="s">
        <v>15569</v>
      </c>
      <c r="BD1210" s="3" t="s">
        <v>15570</v>
      </c>
    </row>
    <row r="1211" spans="1:56" ht="42.75" customHeight="1" x14ac:dyDescent="0.25">
      <c r="A1211" s="7" t="s">
        <v>58</v>
      </c>
      <c r="B1211" s="2" t="s">
        <v>15571</v>
      </c>
      <c r="C1211" s="2" t="s">
        <v>15572</v>
      </c>
      <c r="D1211" s="2" t="s">
        <v>15573</v>
      </c>
      <c r="F1211" s="3" t="s">
        <v>58</v>
      </c>
      <c r="G1211" s="3" t="s">
        <v>59</v>
      </c>
      <c r="H1211" s="3" t="s">
        <v>58</v>
      </c>
      <c r="I1211" s="3" t="s">
        <v>58</v>
      </c>
      <c r="J1211" s="3" t="s">
        <v>60</v>
      </c>
      <c r="L1211" s="2" t="s">
        <v>15574</v>
      </c>
      <c r="M1211" s="3" t="s">
        <v>192</v>
      </c>
      <c r="O1211" s="3" t="s">
        <v>64</v>
      </c>
      <c r="P1211" s="3" t="s">
        <v>115</v>
      </c>
      <c r="R1211" s="3" t="s">
        <v>67</v>
      </c>
      <c r="S1211" s="4">
        <v>2</v>
      </c>
      <c r="T1211" s="4">
        <v>2</v>
      </c>
      <c r="U1211" s="5" t="s">
        <v>10164</v>
      </c>
      <c r="V1211" s="5" t="s">
        <v>10164</v>
      </c>
      <c r="W1211" s="5" t="s">
        <v>10164</v>
      </c>
      <c r="X1211" s="5" t="s">
        <v>10164</v>
      </c>
      <c r="Y1211" s="4">
        <v>223</v>
      </c>
      <c r="Z1211" s="4">
        <v>190</v>
      </c>
      <c r="AA1211" s="4">
        <v>218</v>
      </c>
      <c r="AB1211" s="4">
        <v>2</v>
      </c>
      <c r="AC1211" s="4">
        <v>2</v>
      </c>
      <c r="AD1211" s="4">
        <v>6</v>
      </c>
      <c r="AE1211" s="4">
        <v>6</v>
      </c>
      <c r="AF1211" s="4">
        <v>2</v>
      </c>
      <c r="AG1211" s="4">
        <v>2</v>
      </c>
      <c r="AH1211" s="4">
        <v>2</v>
      </c>
      <c r="AI1211" s="4">
        <v>2</v>
      </c>
      <c r="AJ1211" s="4">
        <v>2</v>
      </c>
      <c r="AK1211" s="4">
        <v>2</v>
      </c>
      <c r="AL1211" s="4">
        <v>1</v>
      </c>
      <c r="AM1211" s="4">
        <v>1</v>
      </c>
      <c r="AN1211" s="4">
        <v>0</v>
      </c>
      <c r="AO1211" s="4">
        <v>0</v>
      </c>
      <c r="AP1211" s="3" t="s">
        <v>58</v>
      </c>
      <c r="AQ1211" s="3" t="s">
        <v>58</v>
      </c>
      <c r="AS1211" s="6" t="str">
        <f>HYPERLINK("https://creighton-primo.hosted.exlibrisgroup.com/primo-explore/search?tab=default_tab&amp;search_scope=EVERYTHING&amp;vid=01CRU&amp;lang=en_US&amp;offset=0&amp;query=any,contains,991005277939702656","Catalog Record")</f>
        <v>Catalog Record</v>
      </c>
      <c r="AT1211" s="6" t="str">
        <f>HYPERLINK("http://www.worldcat.org/oclc/62161080","WorldCat Record")</f>
        <v>WorldCat Record</v>
      </c>
      <c r="AU1211" s="3" t="s">
        <v>15575</v>
      </c>
      <c r="AV1211" s="3" t="s">
        <v>15576</v>
      </c>
      <c r="AW1211" s="3" t="s">
        <v>15577</v>
      </c>
      <c r="AX1211" s="3" t="s">
        <v>15577</v>
      </c>
      <c r="AY1211" s="3" t="s">
        <v>15578</v>
      </c>
      <c r="AZ1211" s="3" t="s">
        <v>74</v>
      </c>
      <c r="BB1211" s="3" t="s">
        <v>15579</v>
      </c>
      <c r="BC1211" s="3" t="s">
        <v>15580</v>
      </c>
      <c r="BD1211" s="3" t="s">
        <v>15581</v>
      </c>
    </row>
    <row r="1212" spans="1:56" ht="42.75" customHeight="1" x14ac:dyDescent="0.25">
      <c r="A1212" s="7" t="s">
        <v>58</v>
      </c>
      <c r="B1212" s="2" t="s">
        <v>15582</v>
      </c>
      <c r="C1212" s="2" t="s">
        <v>15583</v>
      </c>
      <c r="D1212" s="2" t="s">
        <v>15584</v>
      </c>
      <c r="F1212" s="3" t="s">
        <v>58</v>
      </c>
      <c r="G1212" s="3" t="s">
        <v>59</v>
      </c>
      <c r="H1212" s="3" t="s">
        <v>86</v>
      </c>
      <c r="I1212" s="3" t="s">
        <v>58</v>
      </c>
      <c r="J1212" s="3" t="s">
        <v>60</v>
      </c>
      <c r="K1212" s="2" t="s">
        <v>15332</v>
      </c>
      <c r="L1212" s="2" t="s">
        <v>15585</v>
      </c>
      <c r="M1212" s="3" t="s">
        <v>82</v>
      </c>
      <c r="O1212" s="3" t="s">
        <v>64</v>
      </c>
      <c r="P1212" s="3" t="s">
        <v>2331</v>
      </c>
      <c r="R1212" s="3" t="s">
        <v>67</v>
      </c>
      <c r="S1212" s="4">
        <v>2</v>
      </c>
      <c r="T1212" s="4">
        <v>2</v>
      </c>
      <c r="U1212" s="5" t="s">
        <v>1911</v>
      </c>
      <c r="V1212" s="5" t="s">
        <v>1911</v>
      </c>
      <c r="W1212" s="5" t="s">
        <v>1911</v>
      </c>
      <c r="X1212" s="5" t="s">
        <v>1911</v>
      </c>
      <c r="Y1212" s="4">
        <v>758</v>
      </c>
      <c r="Z1212" s="4">
        <v>621</v>
      </c>
      <c r="AA1212" s="4">
        <v>774</v>
      </c>
      <c r="AB1212" s="4">
        <v>4</v>
      </c>
      <c r="AC1212" s="4">
        <v>4</v>
      </c>
      <c r="AD1212" s="4">
        <v>21</v>
      </c>
      <c r="AE1212" s="4">
        <v>31</v>
      </c>
      <c r="AF1212" s="4">
        <v>7</v>
      </c>
      <c r="AG1212" s="4">
        <v>14</v>
      </c>
      <c r="AH1212" s="4">
        <v>8</v>
      </c>
      <c r="AI1212" s="4">
        <v>11</v>
      </c>
      <c r="AJ1212" s="4">
        <v>8</v>
      </c>
      <c r="AK1212" s="4">
        <v>12</v>
      </c>
      <c r="AL1212" s="4">
        <v>2</v>
      </c>
      <c r="AM1212" s="4">
        <v>2</v>
      </c>
      <c r="AN1212" s="4">
        <v>0</v>
      </c>
      <c r="AO1212" s="4">
        <v>0</v>
      </c>
      <c r="AP1212" s="3" t="s">
        <v>58</v>
      </c>
      <c r="AQ1212" s="3" t="s">
        <v>58</v>
      </c>
      <c r="AS1212" s="6" t="str">
        <f>HYPERLINK("https://creighton-primo.hosted.exlibrisgroup.com/primo-explore/search?tab=default_tab&amp;search_scope=EVERYTHING&amp;vid=01CRU&amp;lang=en_US&amp;offset=0&amp;query=any,contains,991005349089702656","Catalog Record")</f>
        <v>Catalog Record</v>
      </c>
      <c r="AT1212" s="6" t="str">
        <f>HYPERLINK("http://www.worldcat.org/oclc/12976186","WorldCat Record")</f>
        <v>WorldCat Record</v>
      </c>
      <c r="AU1212" s="3" t="s">
        <v>15586</v>
      </c>
      <c r="AV1212" s="3" t="s">
        <v>15587</v>
      </c>
      <c r="AW1212" s="3" t="s">
        <v>15588</v>
      </c>
      <c r="AX1212" s="3" t="s">
        <v>15588</v>
      </c>
      <c r="AY1212" s="3" t="s">
        <v>15589</v>
      </c>
      <c r="AZ1212" s="3" t="s">
        <v>74</v>
      </c>
      <c r="BB1212" s="3" t="s">
        <v>15590</v>
      </c>
      <c r="BC1212" s="3" t="s">
        <v>15591</v>
      </c>
      <c r="BD1212" s="3" t="s">
        <v>15592</v>
      </c>
    </row>
    <row r="1213" spans="1:56" ht="42.75" customHeight="1" x14ac:dyDescent="0.25">
      <c r="A1213" s="7" t="s">
        <v>58</v>
      </c>
      <c r="B1213" s="2" t="s">
        <v>15593</v>
      </c>
      <c r="C1213" s="2" t="s">
        <v>15594</v>
      </c>
      <c r="D1213" s="2" t="s">
        <v>15595</v>
      </c>
      <c r="F1213" s="3" t="s">
        <v>58</v>
      </c>
      <c r="G1213" s="3" t="s">
        <v>59</v>
      </c>
      <c r="H1213" s="3" t="s">
        <v>86</v>
      </c>
      <c r="I1213" s="3" t="s">
        <v>58</v>
      </c>
      <c r="J1213" s="3" t="s">
        <v>60</v>
      </c>
      <c r="L1213" s="2" t="s">
        <v>8118</v>
      </c>
      <c r="M1213" s="3" t="s">
        <v>82</v>
      </c>
      <c r="O1213" s="3" t="s">
        <v>64</v>
      </c>
      <c r="P1213" s="3" t="s">
        <v>145</v>
      </c>
      <c r="Q1213" s="2" t="s">
        <v>15596</v>
      </c>
      <c r="R1213" s="3" t="s">
        <v>67</v>
      </c>
      <c r="S1213" s="4">
        <v>35</v>
      </c>
      <c r="T1213" s="4">
        <v>35</v>
      </c>
      <c r="U1213" s="5" t="s">
        <v>2145</v>
      </c>
      <c r="V1213" s="5" t="s">
        <v>2145</v>
      </c>
      <c r="W1213" s="5" t="s">
        <v>15597</v>
      </c>
      <c r="X1213" s="5" t="s">
        <v>15598</v>
      </c>
      <c r="Y1213" s="4">
        <v>735</v>
      </c>
      <c r="Z1213" s="4">
        <v>650</v>
      </c>
      <c r="AA1213" s="4">
        <v>658</v>
      </c>
      <c r="AB1213" s="4">
        <v>6</v>
      </c>
      <c r="AC1213" s="4">
        <v>6</v>
      </c>
      <c r="AD1213" s="4">
        <v>30</v>
      </c>
      <c r="AE1213" s="4">
        <v>30</v>
      </c>
      <c r="AF1213" s="4">
        <v>11</v>
      </c>
      <c r="AG1213" s="4">
        <v>11</v>
      </c>
      <c r="AH1213" s="4">
        <v>9</v>
      </c>
      <c r="AI1213" s="4">
        <v>9</v>
      </c>
      <c r="AJ1213" s="4">
        <v>16</v>
      </c>
      <c r="AK1213" s="4">
        <v>16</v>
      </c>
      <c r="AL1213" s="4">
        <v>4</v>
      </c>
      <c r="AM1213" s="4">
        <v>4</v>
      </c>
      <c r="AN1213" s="4">
        <v>0</v>
      </c>
      <c r="AO1213" s="4">
        <v>0</v>
      </c>
      <c r="AP1213" s="3" t="s">
        <v>58</v>
      </c>
      <c r="AQ1213" s="3" t="s">
        <v>86</v>
      </c>
      <c r="AR1213" s="6" t="str">
        <f>HYPERLINK("http://catalog.hathitrust.org/Record/000825203","HathiTrust Record")</f>
        <v>HathiTrust Record</v>
      </c>
      <c r="AS1213" s="6" t="str">
        <f>HYPERLINK("https://creighton-primo.hosted.exlibrisgroup.com/primo-explore/search?tab=default_tab&amp;search_scope=EVERYTHING&amp;vid=01CRU&amp;lang=en_US&amp;offset=0&amp;query=any,contains,991001634919702656","Catalog Record")</f>
        <v>Catalog Record</v>
      </c>
      <c r="AT1213" s="6" t="str">
        <f>HYPERLINK("http://www.worldcat.org/oclc/14413485","WorldCat Record")</f>
        <v>WorldCat Record</v>
      </c>
      <c r="AU1213" s="3" t="s">
        <v>15599</v>
      </c>
      <c r="AV1213" s="3" t="s">
        <v>15600</v>
      </c>
      <c r="AW1213" s="3" t="s">
        <v>15601</v>
      </c>
      <c r="AX1213" s="3" t="s">
        <v>15601</v>
      </c>
      <c r="AY1213" s="3" t="s">
        <v>15602</v>
      </c>
      <c r="AZ1213" s="3" t="s">
        <v>74</v>
      </c>
      <c r="BB1213" s="3" t="s">
        <v>15603</v>
      </c>
      <c r="BC1213" s="3" t="s">
        <v>15604</v>
      </c>
      <c r="BD1213" s="3" t="s">
        <v>15605</v>
      </c>
    </row>
    <row r="1214" spans="1:56" ht="42.75" customHeight="1" x14ac:dyDescent="0.25">
      <c r="A1214" s="7" t="s">
        <v>58</v>
      </c>
      <c r="B1214" s="2" t="s">
        <v>15606</v>
      </c>
      <c r="C1214" s="2" t="s">
        <v>15607</v>
      </c>
      <c r="D1214" s="2" t="s">
        <v>15608</v>
      </c>
      <c r="F1214" s="3" t="s">
        <v>58</v>
      </c>
      <c r="G1214" s="3" t="s">
        <v>59</v>
      </c>
      <c r="H1214" s="3" t="s">
        <v>58</v>
      </c>
      <c r="I1214" s="3" t="s">
        <v>58</v>
      </c>
      <c r="J1214" s="3" t="s">
        <v>60</v>
      </c>
      <c r="K1214" s="2" t="s">
        <v>15609</v>
      </c>
      <c r="L1214" s="2" t="s">
        <v>15610</v>
      </c>
      <c r="M1214" s="3" t="s">
        <v>3215</v>
      </c>
      <c r="O1214" s="3" t="s">
        <v>64</v>
      </c>
      <c r="P1214" s="3" t="s">
        <v>115</v>
      </c>
      <c r="R1214" s="3" t="s">
        <v>67</v>
      </c>
      <c r="S1214" s="4">
        <v>17</v>
      </c>
      <c r="T1214" s="4">
        <v>17</v>
      </c>
      <c r="U1214" s="5" t="s">
        <v>15611</v>
      </c>
      <c r="V1214" s="5" t="s">
        <v>15611</v>
      </c>
      <c r="W1214" s="5" t="s">
        <v>7944</v>
      </c>
      <c r="X1214" s="5" t="s">
        <v>7944</v>
      </c>
      <c r="Y1214" s="4">
        <v>203</v>
      </c>
      <c r="Z1214" s="4">
        <v>173</v>
      </c>
      <c r="AA1214" s="4">
        <v>184</v>
      </c>
      <c r="AB1214" s="4">
        <v>4</v>
      </c>
      <c r="AC1214" s="4">
        <v>4</v>
      </c>
      <c r="AD1214" s="4">
        <v>7</v>
      </c>
      <c r="AE1214" s="4">
        <v>7</v>
      </c>
      <c r="AF1214" s="4">
        <v>2</v>
      </c>
      <c r="AG1214" s="4">
        <v>2</v>
      </c>
      <c r="AH1214" s="4">
        <v>0</v>
      </c>
      <c r="AI1214" s="4">
        <v>0</v>
      </c>
      <c r="AJ1214" s="4">
        <v>2</v>
      </c>
      <c r="AK1214" s="4">
        <v>2</v>
      </c>
      <c r="AL1214" s="4">
        <v>3</v>
      </c>
      <c r="AM1214" s="4">
        <v>3</v>
      </c>
      <c r="AN1214" s="4">
        <v>0</v>
      </c>
      <c r="AO1214" s="4">
        <v>0</v>
      </c>
      <c r="AP1214" s="3" t="s">
        <v>58</v>
      </c>
      <c r="AQ1214" s="3" t="s">
        <v>58</v>
      </c>
      <c r="AS1214" s="6" t="str">
        <f>HYPERLINK("https://creighton-primo.hosted.exlibrisgroup.com/primo-explore/search?tab=default_tab&amp;search_scope=EVERYTHING&amp;vid=01CRU&amp;lang=en_US&amp;offset=0&amp;query=any,contains,991002919689702656","Catalog Record")</f>
        <v>Catalog Record</v>
      </c>
      <c r="AT1214" s="6" t="str">
        <f>HYPERLINK("http://www.worldcat.org/oclc/526160","WorldCat Record")</f>
        <v>WorldCat Record</v>
      </c>
      <c r="AU1214" s="3" t="s">
        <v>15612</v>
      </c>
      <c r="AV1214" s="3" t="s">
        <v>15613</v>
      </c>
      <c r="AW1214" s="3" t="s">
        <v>15614</v>
      </c>
      <c r="AX1214" s="3" t="s">
        <v>15614</v>
      </c>
      <c r="AY1214" s="3" t="s">
        <v>15615</v>
      </c>
      <c r="AZ1214" s="3" t="s">
        <v>74</v>
      </c>
      <c r="BC1214" s="3" t="s">
        <v>15616</v>
      </c>
      <c r="BD1214" s="3" t="s">
        <v>15617</v>
      </c>
    </row>
    <row r="1215" spans="1:56" ht="42.75" customHeight="1" x14ac:dyDescent="0.25">
      <c r="A1215" s="7" t="s">
        <v>58</v>
      </c>
      <c r="B1215" s="2" t="s">
        <v>15618</v>
      </c>
      <c r="C1215" s="2" t="s">
        <v>15619</v>
      </c>
      <c r="D1215" s="2" t="s">
        <v>15620</v>
      </c>
      <c r="F1215" s="3" t="s">
        <v>58</v>
      </c>
      <c r="G1215" s="3" t="s">
        <v>59</v>
      </c>
      <c r="H1215" s="3" t="s">
        <v>58</v>
      </c>
      <c r="I1215" s="3" t="s">
        <v>58</v>
      </c>
      <c r="J1215" s="3" t="s">
        <v>60</v>
      </c>
      <c r="K1215" s="2" t="s">
        <v>15621</v>
      </c>
      <c r="L1215" s="2" t="s">
        <v>15622</v>
      </c>
      <c r="M1215" s="3" t="s">
        <v>177</v>
      </c>
      <c r="O1215" s="3" t="s">
        <v>64</v>
      </c>
      <c r="P1215" s="3" t="s">
        <v>359</v>
      </c>
      <c r="R1215" s="3" t="s">
        <v>67</v>
      </c>
      <c r="S1215" s="4">
        <v>15</v>
      </c>
      <c r="T1215" s="4">
        <v>15</v>
      </c>
      <c r="U1215" s="5" t="s">
        <v>6864</v>
      </c>
      <c r="V1215" s="5" t="s">
        <v>6864</v>
      </c>
      <c r="W1215" s="5" t="s">
        <v>69</v>
      </c>
      <c r="X1215" s="5" t="s">
        <v>69</v>
      </c>
      <c r="Y1215" s="4">
        <v>487</v>
      </c>
      <c r="Z1215" s="4">
        <v>397</v>
      </c>
      <c r="AA1215" s="4">
        <v>399</v>
      </c>
      <c r="AB1215" s="4">
        <v>6</v>
      </c>
      <c r="AC1215" s="4">
        <v>6</v>
      </c>
      <c r="AD1215" s="4">
        <v>14</v>
      </c>
      <c r="AE1215" s="4">
        <v>14</v>
      </c>
      <c r="AF1215" s="4">
        <v>2</v>
      </c>
      <c r="AG1215" s="4">
        <v>2</v>
      </c>
      <c r="AH1215" s="4">
        <v>4</v>
      </c>
      <c r="AI1215" s="4">
        <v>4</v>
      </c>
      <c r="AJ1215" s="4">
        <v>6</v>
      </c>
      <c r="AK1215" s="4">
        <v>6</v>
      </c>
      <c r="AL1215" s="4">
        <v>3</v>
      </c>
      <c r="AM1215" s="4">
        <v>3</v>
      </c>
      <c r="AN1215" s="4">
        <v>1</v>
      </c>
      <c r="AO1215" s="4">
        <v>1</v>
      </c>
      <c r="AP1215" s="3" t="s">
        <v>58</v>
      </c>
      <c r="AQ1215" s="3" t="s">
        <v>86</v>
      </c>
      <c r="AR1215" s="6" t="str">
        <f>HYPERLINK("http://catalog.hathitrust.org/Record/001565209","HathiTrust Record")</f>
        <v>HathiTrust Record</v>
      </c>
      <c r="AS1215" s="6" t="str">
        <f>HYPERLINK("https://creighton-primo.hosted.exlibrisgroup.com/primo-explore/search?tab=default_tab&amp;search_scope=EVERYTHING&amp;vid=01CRU&amp;lang=en_US&amp;offset=0&amp;query=any,contains,991005309319702656","Catalog Record")</f>
        <v>Catalog Record</v>
      </c>
      <c r="AT1215" s="6" t="str">
        <f>HYPERLINK("http://www.worldcat.org/oclc/508519","WorldCat Record")</f>
        <v>WorldCat Record</v>
      </c>
      <c r="AU1215" s="3" t="s">
        <v>15623</v>
      </c>
      <c r="AV1215" s="3" t="s">
        <v>15624</v>
      </c>
      <c r="AW1215" s="3" t="s">
        <v>15625</v>
      </c>
      <c r="AX1215" s="3" t="s">
        <v>15625</v>
      </c>
      <c r="AY1215" s="3" t="s">
        <v>15626</v>
      </c>
      <c r="AZ1215" s="3" t="s">
        <v>74</v>
      </c>
      <c r="BB1215" s="3" t="s">
        <v>15627</v>
      </c>
      <c r="BC1215" s="3" t="s">
        <v>15628</v>
      </c>
      <c r="BD1215" s="3" t="s">
        <v>15629</v>
      </c>
    </row>
    <row r="1216" spans="1:56" ht="42.75" customHeight="1" x14ac:dyDescent="0.25">
      <c r="A1216" s="7" t="s">
        <v>58</v>
      </c>
      <c r="B1216" s="2" t="s">
        <v>15630</v>
      </c>
      <c r="C1216" s="2" t="s">
        <v>15631</v>
      </c>
      <c r="D1216" s="2" t="s">
        <v>15632</v>
      </c>
      <c r="F1216" s="3" t="s">
        <v>58</v>
      </c>
      <c r="G1216" s="3" t="s">
        <v>59</v>
      </c>
      <c r="H1216" s="3" t="s">
        <v>58</v>
      </c>
      <c r="I1216" s="3" t="s">
        <v>58</v>
      </c>
      <c r="J1216" s="3" t="s">
        <v>60</v>
      </c>
      <c r="K1216" s="2" t="s">
        <v>15633</v>
      </c>
      <c r="L1216" s="2" t="s">
        <v>15634</v>
      </c>
      <c r="M1216" s="3" t="s">
        <v>314</v>
      </c>
      <c r="O1216" s="3" t="s">
        <v>64</v>
      </c>
      <c r="P1216" s="3" t="s">
        <v>115</v>
      </c>
      <c r="R1216" s="3" t="s">
        <v>67</v>
      </c>
      <c r="S1216" s="4">
        <v>15</v>
      </c>
      <c r="T1216" s="4">
        <v>15</v>
      </c>
      <c r="U1216" s="5" t="s">
        <v>149</v>
      </c>
      <c r="V1216" s="5" t="s">
        <v>149</v>
      </c>
      <c r="W1216" s="5" t="s">
        <v>12809</v>
      </c>
      <c r="X1216" s="5" t="s">
        <v>12809</v>
      </c>
      <c r="Y1216" s="4">
        <v>302</v>
      </c>
      <c r="Z1216" s="4">
        <v>251</v>
      </c>
      <c r="AA1216" s="4">
        <v>261</v>
      </c>
      <c r="AB1216" s="4">
        <v>3</v>
      </c>
      <c r="AC1216" s="4">
        <v>3</v>
      </c>
      <c r="AD1216" s="4">
        <v>9</v>
      </c>
      <c r="AE1216" s="4">
        <v>9</v>
      </c>
      <c r="AF1216" s="4">
        <v>1</v>
      </c>
      <c r="AG1216" s="4">
        <v>1</v>
      </c>
      <c r="AH1216" s="4">
        <v>2</v>
      </c>
      <c r="AI1216" s="4">
        <v>2</v>
      </c>
      <c r="AJ1216" s="4">
        <v>4</v>
      </c>
      <c r="AK1216" s="4">
        <v>4</v>
      </c>
      <c r="AL1216" s="4">
        <v>2</v>
      </c>
      <c r="AM1216" s="4">
        <v>2</v>
      </c>
      <c r="AN1216" s="4">
        <v>0</v>
      </c>
      <c r="AO1216" s="4">
        <v>0</v>
      </c>
      <c r="AP1216" s="3" t="s">
        <v>58</v>
      </c>
      <c r="AQ1216" s="3" t="s">
        <v>86</v>
      </c>
      <c r="AR1216" s="6" t="str">
        <f>HYPERLINK("http://catalog.hathitrust.org/Record/001565211","HathiTrust Record")</f>
        <v>HathiTrust Record</v>
      </c>
      <c r="AS1216" s="6" t="str">
        <f>HYPERLINK("https://creighton-primo.hosted.exlibrisgroup.com/primo-explore/search?tab=default_tab&amp;search_scope=EVERYTHING&amp;vid=01CRU&amp;lang=en_US&amp;offset=0&amp;query=any,contains,991002786029702656","Catalog Record")</f>
        <v>Catalog Record</v>
      </c>
      <c r="AT1216" s="6" t="str">
        <f>HYPERLINK("http://www.worldcat.org/oclc/441670","WorldCat Record")</f>
        <v>WorldCat Record</v>
      </c>
      <c r="AU1216" s="3" t="s">
        <v>15635</v>
      </c>
      <c r="AV1216" s="3" t="s">
        <v>15636</v>
      </c>
      <c r="AW1216" s="3" t="s">
        <v>15637</v>
      </c>
      <c r="AX1216" s="3" t="s">
        <v>15637</v>
      </c>
      <c r="AY1216" s="3" t="s">
        <v>15638</v>
      </c>
      <c r="AZ1216" s="3" t="s">
        <v>74</v>
      </c>
      <c r="BC1216" s="3" t="s">
        <v>15639</v>
      </c>
      <c r="BD1216" s="3" t="s">
        <v>15640</v>
      </c>
    </row>
    <row r="1217" spans="1:56" ht="42.75" customHeight="1" x14ac:dyDescent="0.25">
      <c r="A1217" s="7" t="s">
        <v>58</v>
      </c>
      <c r="B1217" s="2" t="s">
        <v>15641</v>
      </c>
      <c r="C1217" s="2" t="s">
        <v>15642</v>
      </c>
      <c r="D1217" s="2" t="s">
        <v>15643</v>
      </c>
      <c r="F1217" s="3" t="s">
        <v>58</v>
      </c>
      <c r="G1217" s="3" t="s">
        <v>59</v>
      </c>
      <c r="H1217" s="3" t="s">
        <v>86</v>
      </c>
      <c r="I1217" s="3" t="s">
        <v>58</v>
      </c>
      <c r="J1217" s="3" t="s">
        <v>60</v>
      </c>
      <c r="K1217" s="2" t="s">
        <v>15332</v>
      </c>
      <c r="L1217" s="2" t="s">
        <v>15644</v>
      </c>
      <c r="M1217" s="3" t="s">
        <v>269</v>
      </c>
      <c r="O1217" s="3" t="s">
        <v>64</v>
      </c>
      <c r="P1217" s="3" t="s">
        <v>359</v>
      </c>
      <c r="R1217" s="3" t="s">
        <v>67</v>
      </c>
      <c r="S1217" s="4">
        <v>10</v>
      </c>
      <c r="T1217" s="4">
        <v>34</v>
      </c>
      <c r="U1217" s="5" t="s">
        <v>15645</v>
      </c>
      <c r="V1217" s="5" t="s">
        <v>15645</v>
      </c>
      <c r="W1217" s="5" t="s">
        <v>15453</v>
      </c>
      <c r="X1217" s="5" t="s">
        <v>15453</v>
      </c>
      <c r="Y1217" s="4">
        <v>459</v>
      </c>
      <c r="Z1217" s="4">
        <v>372</v>
      </c>
      <c r="AA1217" s="4">
        <v>384</v>
      </c>
      <c r="AB1217" s="4">
        <v>2</v>
      </c>
      <c r="AC1217" s="4">
        <v>3</v>
      </c>
      <c r="AD1217" s="4">
        <v>12</v>
      </c>
      <c r="AE1217" s="4">
        <v>14</v>
      </c>
      <c r="AF1217" s="4">
        <v>3</v>
      </c>
      <c r="AG1217" s="4">
        <v>3</v>
      </c>
      <c r="AH1217" s="4">
        <v>2</v>
      </c>
      <c r="AI1217" s="4">
        <v>2</v>
      </c>
      <c r="AJ1217" s="4">
        <v>7</v>
      </c>
      <c r="AK1217" s="4">
        <v>8</v>
      </c>
      <c r="AL1217" s="4">
        <v>0</v>
      </c>
      <c r="AM1217" s="4">
        <v>1</v>
      </c>
      <c r="AN1217" s="4">
        <v>1</v>
      </c>
      <c r="AO1217" s="4">
        <v>1</v>
      </c>
      <c r="AP1217" s="3" t="s">
        <v>58</v>
      </c>
      <c r="AQ1217" s="3" t="s">
        <v>86</v>
      </c>
      <c r="AR1217" s="6" t="str">
        <f>HYPERLINK("http://catalog.hathitrust.org/Record/003515317","HathiTrust Record")</f>
        <v>HathiTrust Record</v>
      </c>
      <c r="AS1217" s="6" t="str">
        <f>HYPERLINK("https://creighton-primo.hosted.exlibrisgroup.com/primo-explore/search?tab=default_tab&amp;search_scope=EVERYTHING&amp;vid=01CRU&amp;lang=en_US&amp;offset=0&amp;query=any,contains,991001792679702656","Catalog Record")</f>
        <v>Catalog Record</v>
      </c>
      <c r="AT1217" s="6" t="str">
        <f>HYPERLINK("http://www.worldcat.org/oclc/23098","WorldCat Record")</f>
        <v>WorldCat Record</v>
      </c>
      <c r="AU1217" s="3" t="s">
        <v>15646</v>
      </c>
      <c r="AV1217" s="3" t="s">
        <v>15647</v>
      </c>
      <c r="AW1217" s="3" t="s">
        <v>15648</v>
      </c>
      <c r="AX1217" s="3" t="s">
        <v>15648</v>
      </c>
      <c r="AY1217" s="3" t="s">
        <v>15649</v>
      </c>
      <c r="AZ1217" s="3" t="s">
        <v>74</v>
      </c>
      <c r="BB1217" s="3" t="s">
        <v>15650</v>
      </c>
      <c r="BC1217" s="3" t="s">
        <v>15651</v>
      </c>
      <c r="BD1217" s="3" t="s">
        <v>15652</v>
      </c>
    </row>
    <row r="1218" spans="1:56" ht="42.75" customHeight="1" x14ac:dyDescent="0.25">
      <c r="A1218" s="7" t="s">
        <v>58</v>
      </c>
      <c r="B1218" s="2" t="s">
        <v>15653</v>
      </c>
      <c r="C1218" s="2" t="s">
        <v>15654</v>
      </c>
      <c r="D1218" s="2" t="s">
        <v>15655</v>
      </c>
      <c r="F1218" s="3" t="s">
        <v>58</v>
      </c>
      <c r="G1218" s="3" t="s">
        <v>59</v>
      </c>
      <c r="H1218" s="3" t="s">
        <v>58</v>
      </c>
      <c r="I1218" s="3" t="s">
        <v>58</v>
      </c>
      <c r="J1218" s="3" t="s">
        <v>60</v>
      </c>
      <c r="K1218" s="2" t="s">
        <v>15656</v>
      </c>
      <c r="L1218" s="2" t="s">
        <v>15657</v>
      </c>
      <c r="M1218" s="3" t="s">
        <v>329</v>
      </c>
      <c r="O1218" s="3" t="s">
        <v>64</v>
      </c>
      <c r="P1218" s="3" t="s">
        <v>115</v>
      </c>
      <c r="R1218" s="3" t="s">
        <v>67</v>
      </c>
      <c r="S1218" s="4">
        <v>1</v>
      </c>
      <c r="T1218" s="4">
        <v>1</v>
      </c>
      <c r="U1218" s="5" t="s">
        <v>15430</v>
      </c>
      <c r="V1218" s="5" t="s">
        <v>15430</v>
      </c>
      <c r="W1218" s="5" t="s">
        <v>15453</v>
      </c>
      <c r="X1218" s="5" t="s">
        <v>15453</v>
      </c>
      <c r="Y1218" s="4">
        <v>295</v>
      </c>
      <c r="Z1218" s="4">
        <v>285</v>
      </c>
      <c r="AA1218" s="4">
        <v>453</v>
      </c>
      <c r="AB1218" s="4">
        <v>1</v>
      </c>
      <c r="AC1218" s="4">
        <v>2</v>
      </c>
      <c r="AD1218" s="4">
        <v>1</v>
      </c>
      <c r="AE1218" s="4">
        <v>8</v>
      </c>
      <c r="AF1218" s="4">
        <v>0</v>
      </c>
      <c r="AG1218" s="4">
        <v>4</v>
      </c>
      <c r="AH1218" s="4">
        <v>0</v>
      </c>
      <c r="AI1218" s="4">
        <v>1</v>
      </c>
      <c r="AJ1218" s="4">
        <v>0</v>
      </c>
      <c r="AK1218" s="4">
        <v>3</v>
      </c>
      <c r="AL1218" s="4">
        <v>0</v>
      </c>
      <c r="AM1218" s="4">
        <v>1</v>
      </c>
      <c r="AN1218" s="4">
        <v>1</v>
      </c>
      <c r="AO1218" s="4">
        <v>1</v>
      </c>
      <c r="AP1218" s="3" t="s">
        <v>58</v>
      </c>
      <c r="AQ1218" s="3" t="s">
        <v>58</v>
      </c>
      <c r="AS1218" s="6" t="str">
        <f>HYPERLINK("https://creighton-primo.hosted.exlibrisgroup.com/primo-explore/search?tab=default_tab&amp;search_scope=EVERYTHING&amp;vid=01CRU&amp;lang=en_US&amp;offset=0&amp;query=any,contains,991002115029702656","Catalog Record")</f>
        <v>Catalog Record</v>
      </c>
      <c r="AT1218" s="6" t="str">
        <f>HYPERLINK("http://www.worldcat.org/oclc/268214","WorldCat Record")</f>
        <v>WorldCat Record</v>
      </c>
      <c r="AU1218" s="3" t="s">
        <v>15658</v>
      </c>
      <c r="AV1218" s="3" t="s">
        <v>15659</v>
      </c>
      <c r="AW1218" s="3" t="s">
        <v>15660</v>
      </c>
      <c r="AX1218" s="3" t="s">
        <v>15660</v>
      </c>
      <c r="AY1218" s="3" t="s">
        <v>15661</v>
      </c>
      <c r="AZ1218" s="3" t="s">
        <v>74</v>
      </c>
      <c r="BC1218" s="3" t="s">
        <v>15662</v>
      </c>
      <c r="BD1218" s="3" t="s">
        <v>15663</v>
      </c>
    </row>
    <row r="1219" spans="1:56" ht="42.75" customHeight="1" x14ac:dyDescent="0.25">
      <c r="A1219" s="7" t="s">
        <v>58</v>
      </c>
      <c r="B1219" s="2" t="s">
        <v>15664</v>
      </c>
      <c r="C1219" s="2" t="s">
        <v>15665</v>
      </c>
      <c r="D1219" s="2" t="s">
        <v>15666</v>
      </c>
      <c r="F1219" s="3" t="s">
        <v>58</v>
      </c>
      <c r="G1219" s="3" t="s">
        <v>59</v>
      </c>
      <c r="H1219" s="3" t="s">
        <v>58</v>
      </c>
      <c r="I1219" s="3" t="s">
        <v>58</v>
      </c>
      <c r="J1219" s="3" t="s">
        <v>60</v>
      </c>
      <c r="K1219" s="2" t="s">
        <v>15667</v>
      </c>
      <c r="L1219" s="2" t="s">
        <v>3747</v>
      </c>
      <c r="M1219" s="3" t="s">
        <v>344</v>
      </c>
      <c r="O1219" s="3" t="s">
        <v>64</v>
      </c>
      <c r="P1219" s="3" t="s">
        <v>83</v>
      </c>
      <c r="Q1219" s="2" t="s">
        <v>15668</v>
      </c>
      <c r="R1219" s="3" t="s">
        <v>67</v>
      </c>
      <c r="S1219" s="4">
        <v>8</v>
      </c>
      <c r="T1219" s="4">
        <v>8</v>
      </c>
      <c r="U1219" s="5" t="s">
        <v>15669</v>
      </c>
      <c r="V1219" s="5" t="s">
        <v>15669</v>
      </c>
      <c r="W1219" s="5" t="s">
        <v>4221</v>
      </c>
      <c r="X1219" s="5" t="s">
        <v>4221</v>
      </c>
      <c r="Y1219" s="4">
        <v>171</v>
      </c>
      <c r="Z1219" s="4">
        <v>138</v>
      </c>
      <c r="AA1219" s="4">
        <v>143</v>
      </c>
      <c r="AB1219" s="4">
        <v>2</v>
      </c>
      <c r="AC1219" s="4">
        <v>2</v>
      </c>
      <c r="AD1219" s="4">
        <v>5</v>
      </c>
      <c r="AE1219" s="4">
        <v>5</v>
      </c>
      <c r="AF1219" s="4">
        <v>1</v>
      </c>
      <c r="AG1219" s="4">
        <v>1</v>
      </c>
      <c r="AH1219" s="4">
        <v>0</v>
      </c>
      <c r="AI1219" s="4">
        <v>0</v>
      </c>
      <c r="AJ1219" s="4">
        <v>3</v>
      </c>
      <c r="AK1219" s="4">
        <v>3</v>
      </c>
      <c r="AL1219" s="4">
        <v>1</v>
      </c>
      <c r="AM1219" s="4">
        <v>1</v>
      </c>
      <c r="AN1219" s="4">
        <v>0</v>
      </c>
      <c r="AO1219" s="4">
        <v>0</v>
      </c>
      <c r="AP1219" s="3" t="s">
        <v>58</v>
      </c>
      <c r="AQ1219" s="3" t="s">
        <v>86</v>
      </c>
      <c r="AR1219" s="6" t="str">
        <f>HYPERLINK("http://catalog.hathitrust.org/Record/003516307","HathiTrust Record")</f>
        <v>HathiTrust Record</v>
      </c>
      <c r="AS1219" s="6" t="str">
        <f>HYPERLINK("https://creighton-primo.hosted.exlibrisgroup.com/primo-explore/search?tab=default_tab&amp;search_scope=EVERYTHING&amp;vid=01CRU&amp;lang=en_US&amp;offset=0&amp;query=any,contains,991004740899702656","Catalog Record")</f>
        <v>Catalog Record</v>
      </c>
      <c r="AT1219" s="6" t="str">
        <f>HYPERLINK("http://www.worldcat.org/oclc/4883399","WorldCat Record")</f>
        <v>WorldCat Record</v>
      </c>
      <c r="AU1219" s="3" t="s">
        <v>15670</v>
      </c>
      <c r="AV1219" s="3" t="s">
        <v>15671</v>
      </c>
      <c r="AW1219" s="3" t="s">
        <v>15672</v>
      </c>
      <c r="AX1219" s="3" t="s">
        <v>15672</v>
      </c>
      <c r="AY1219" s="3" t="s">
        <v>15673</v>
      </c>
      <c r="AZ1219" s="3" t="s">
        <v>74</v>
      </c>
      <c r="BB1219" s="3" t="s">
        <v>15674</v>
      </c>
      <c r="BC1219" s="3" t="s">
        <v>15675</v>
      </c>
      <c r="BD1219" s="3" t="s">
        <v>15676</v>
      </c>
    </row>
    <row r="1220" spans="1:56" ht="42.75" customHeight="1" x14ac:dyDescent="0.25">
      <c r="A1220" s="7" t="s">
        <v>58</v>
      </c>
      <c r="B1220" s="2" t="s">
        <v>15677</v>
      </c>
      <c r="C1220" s="2" t="s">
        <v>15678</v>
      </c>
      <c r="D1220" s="2" t="s">
        <v>15679</v>
      </c>
      <c r="F1220" s="3" t="s">
        <v>58</v>
      </c>
      <c r="G1220" s="3" t="s">
        <v>59</v>
      </c>
      <c r="H1220" s="3" t="s">
        <v>58</v>
      </c>
      <c r="I1220" s="3" t="s">
        <v>58</v>
      </c>
      <c r="J1220" s="3" t="s">
        <v>60</v>
      </c>
      <c r="K1220" s="2" t="s">
        <v>15680</v>
      </c>
      <c r="L1220" s="2" t="s">
        <v>15681</v>
      </c>
      <c r="M1220" s="3" t="s">
        <v>2770</v>
      </c>
      <c r="O1220" s="3" t="s">
        <v>64</v>
      </c>
      <c r="P1220" s="3" t="s">
        <v>115</v>
      </c>
      <c r="R1220" s="3" t="s">
        <v>67</v>
      </c>
      <c r="S1220" s="4">
        <v>0</v>
      </c>
      <c r="T1220" s="4">
        <v>0</v>
      </c>
      <c r="U1220" s="5" t="s">
        <v>15682</v>
      </c>
      <c r="V1220" s="5" t="s">
        <v>15682</v>
      </c>
      <c r="W1220" s="5" t="s">
        <v>2813</v>
      </c>
      <c r="X1220" s="5" t="s">
        <v>2813</v>
      </c>
      <c r="Y1220" s="4">
        <v>305</v>
      </c>
      <c r="Z1220" s="4">
        <v>286</v>
      </c>
      <c r="AA1220" s="4">
        <v>291</v>
      </c>
      <c r="AB1220" s="4">
        <v>4</v>
      </c>
      <c r="AC1220" s="4">
        <v>4</v>
      </c>
      <c r="AD1220" s="4">
        <v>3</v>
      </c>
      <c r="AE1220" s="4">
        <v>3</v>
      </c>
      <c r="AF1220" s="4">
        <v>1</v>
      </c>
      <c r="AG1220" s="4">
        <v>1</v>
      </c>
      <c r="AH1220" s="4">
        <v>0</v>
      </c>
      <c r="AI1220" s="4">
        <v>0</v>
      </c>
      <c r="AJ1220" s="4">
        <v>1</v>
      </c>
      <c r="AK1220" s="4">
        <v>1</v>
      </c>
      <c r="AL1220" s="4">
        <v>1</v>
      </c>
      <c r="AM1220" s="4">
        <v>1</v>
      </c>
      <c r="AN1220" s="4">
        <v>0</v>
      </c>
      <c r="AO1220" s="4">
        <v>0</v>
      </c>
      <c r="AP1220" s="3" t="s">
        <v>58</v>
      </c>
      <c r="AQ1220" s="3" t="s">
        <v>86</v>
      </c>
      <c r="AR1220" s="6" t="str">
        <f>HYPERLINK("http://catalog.hathitrust.org/Record/003515346","HathiTrust Record")</f>
        <v>HathiTrust Record</v>
      </c>
      <c r="AS1220" s="6" t="str">
        <f>HYPERLINK("https://creighton-primo.hosted.exlibrisgroup.com/primo-explore/search?tab=default_tab&amp;search_scope=EVERYTHING&amp;vid=01CRU&amp;lang=en_US&amp;offset=0&amp;query=any,contains,991004259719702656","Catalog Record")</f>
        <v>Catalog Record</v>
      </c>
      <c r="AT1220" s="6" t="str">
        <f>HYPERLINK("http://www.worldcat.org/oclc/2837410","WorldCat Record")</f>
        <v>WorldCat Record</v>
      </c>
      <c r="AU1220" s="3" t="s">
        <v>15683</v>
      </c>
      <c r="AV1220" s="3" t="s">
        <v>15684</v>
      </c>
      <c r="AW1220" s="3" t="s">
        <v>15685</v>
      </c>
      <c r="AX1220" s="3" t="s">
        <v>15685</v>
      </c>
      <c r="AY1220" s="3" t="s">
        <v>15686</v>
      </c>
      <c r="AZ1220" s="3" t="s">
        <v>74</v>
      </c>
      <c r="BB1220" s="3" t="s">
        <v>15687</v>
      </c>
      <c r="BC1220" s="3" t="s">
        <v>15688</v>
      </c>
      <c r="BD1220" s="3" t="s">
        <v>15689</v>
      </c>
    </row>
    <row r="1221" spans="1:56" ht="42.75" customHeight="1" x14ac:dyDescent="0.25">
      <c r="A1221" s="7" t="s">
        <v>58</v>
      </c>
      <c r="B1221" s="2" t="s">
        <v>15690</v>
      </c>
      <c r="C1221" s="2" t="s">
        <v>15691</v>
      </c>
      <c r="D1221" s="2" t="s">
        <v>15692</v>
      </c>
      <c r="F1221" s="3" t="s">
        <v>58</v>
      </c>
      <c r="G1221" s="3" t="s">
        <v>59</v>
      </c>
      <c r="H1221" s="3" t="s">
        <v>58</v>
      </c>
      <c r="I1221" s="3" t="s">
        <v>58</v>
      </c>
      <c r="J1221" s="3" t="s">
        <v>60</v>
      </c>
      <c r="L1221" s="2" t="s">
        <v>15693</v>
      </c>
      <c r="M1221" s="3" t="s">
        <v>586</v>
      </c>
      <c r="O1221" s="3" t="s">
        <v>64</v>
      </c>
      <c r="P1221" s="3" t="s">
        <v>65</v>
      </c>
      <c r="Q1221" s="2" t="s">
        <v>5942</v>
      </c>
      <c r="R1221" s="3" t="s">
        <v>67</v>
      </c>
      <c r="S1221" s="4">
        <v>22</v>
      </c>
      <c r="T1221" s="4">
        <v>22</v>
      </c>
      <c r="U1221" s="5" t="s">
        <v>15405</v>
      </c>
      <c r="V1221" s="5" t="s">
        <v>15405</v>
      </c>
      <c r="W1221" s="5" t="s">
        <v>4552</v>
      </c>
      <c r="X1221" s="5" t="s">
        <v>4552</v>
      </c>
      <c r="Y1221" s="4">
        <v>334</v>
      </c>
      <c r="Z1221" s="4">
        <v>217</v>
      </c>
      <c r="AA1221" s="4">
        <v>224</v>
      </c>
      <c r="AB1221" s="4">
        <v>4</v>
      </c>
      <c r="AC1221" s="4">
        <v>4</v>
      </c>
      <c r="AD1221" s="4">
        <v>15</v>
      </c>
      <c r="AE1221" s="4">
        <v>15</v>
      </c>
      <c r="AF1221" s="4">
        <v>4</v>
      </c>
      <c r="AG1221" s="4">
        <v>4</v>
      </c>
      <c r="AH1221" s="4">
        <v>3</v>
      </c>
      <c r="AI1221" s="4">
        <v>3</v>
      </c>
      <c r="AJ1221" s="4">
        <v>8</v>
      </c>
      <c r="AK1221" s="4">
        <v>8</v>
      </c>
      <c r="AL1221" s="4">
        <v>3</v>
      </c>
      <c r="AM1221" s="4">
        <v>3</v>
      </c>
      <c r="AN1221" s="4">
        <v>0</v>
      </c>
      <c r="AO1221" s="4">
        <v>0</v>
      </c>
      <c r="AP1221" s="3" t="s">
        <v>58</v>
      </c>
      <c r="AQ1221" s="3" t="s">
        <v>86</v>
      </c>
      <c r="AR1221" s="6" t="str">
        <f>HYPERLINK("http://catalog.hathitrust.org/Record/002435439","HathiTrust Record")</f>
        <v>HathiTrust Record</v>
      </c>
      <c r="AS1221" s="6" t="str">
        <f>HYPERLINK("https://creighton-primo.hosted.exlibrisgroup.com/primo-explore/search?tab=default_tab&amp;search_scope=EVERYTHING&amp;vid=01CRU&amp;lang=en_US&amp;offset=0&amp;query=any,contains,991001714879702656","Catalog Record")</f>
        <v>Catalog Record</v>
      </c>
      <c r="AT1221" s="6" t="str">
        <f>HYPERLINK("http://www.worldcat.org/oclc/21672772","WorldCat Record")</f>
        <v>WorldCat Record</v>
      </c>
      <c r="AU1221" s="3" t="s">
        <v>15694</v>
      </c>
      <c r="AV1221" s="3" t="s">
        <v>15695</v>
      </c>
      <c r="AW1221" s="3" t="s">
        <v>15696</v>
      </c>
      <c r="AX1221" s="3" t="s">
        <v>15696</v>
      </c>
      <c r="AY1221" s="3" t="s">
        <v>15697</v>
      </c>
      <c r="AZ1221" s="3" t="s">
        <v>74</v>
      </c>
      <c r="BB1221" s="3" t="s">
        <v>15698</v>
      </c>
      <c r="BC1221" s="3" t="s">
        <v>15699</v>
      </c>
      <c r="BD1221" s="3" t="s">
        <v>15700</v>
      </c>
    </row>
    <row r="1222" spans="1:56" ht="42.75" customHeight="1" x14ac:dyDescent="0.25">
      <c r="A1222" s="7" t="s">
        <v>58</v>
      </c>
      <c r="B1222" s="2" t="s">
        <v>15701</v>
      </c>
      <c r="C1222" s="2" t="s">
        <v>15702</v>
      </c>
      <c r="D1222" s="2" t="s">
        <v>15703</v>
      </c>
      <c r="F1222" s="3" t="s">
        <v>58</v>
      </c>
      <c r="G1222" s="3" t="s">
        <v>59</v>
      </c>
      <c r="H1222" s="3" t="s">
        <v>58</v>
      </c>
      <c r="I1222" s="3" t="s">
        <v>58</v>
      </c>
      <c r="J1222" s="3" t="s">
        <v>60</v>
      </c>
      <c r="K1222" s="2" t="s">
        <v>15704</v>
      </c>
      <c r="L1222" s="2" t="s">
        <v>14768</v>
      </c>
      <c r="M1222" s="3" t="s">
        <v>114</v>
      </c>
      <c r="O1222" s="3" t="s">
        <v>64</v>
      </c>
      <c r="P1222" s="3" t="s">
        <v>115</v>
      </c>
      <c r="R1222" s="3" t="s">
        <v>67</v>
      </c>
      <c r="S1222" s="4">
        <v>31</v>
      </c>
      <c r="T1222" s="4">
        <v>31</v>
      </c>
      <c r="U1222" s="5" t="s">
        <v>15705</v>
      </c>
      <c r="V1222" s="5" t="s">
        <v>15705</v>
      </c>
      <c r="W1222" s="5" t="s">
        <v>15706</v>
      </c>
      <c r="X1222" s="5" t="s">
        <v>15706</v>
      </c>
      <c r="Y1222" s="4">
        <v>1154</v>
      </c>
      <c r="Z1222" s="4">
        <v>950</v>
      </c>
      <c r="AA1222" s="4">
        <v>957</v>
      </c>
      <c r="AB1222" s="4">
        <v>8</v>
      </c>
      <c r="AC1222" s="4">
        <v>8</v>
      </c>
      <c r="AD1222" s="4">
        <v>44</v>
      </c>
      <c r="AE1222" s="4">
        <v>44</v>
      </c>
      <c r="AF1222" s="4">
        <v>16</v>
      </c>
      <c r="AG1222" s="4">
        <v>16</v>
      </c>
      <c r="AH1222" s="4">
        <v>10</v>
      </c>
      <c r="AI1222" s="4">
        <v>10</v>
      </c>
      <c r="AJ1222" s="4">
        <v>20</v>
      </c>
      <c r="AK1222" s="4">
        <v>20</v>
      </c>
      <c r="AL1222" s="4">
        <v>7</v>
      </c>
      <c r="AM1222" s="4">
        <v>7</v>
      </c>
      <c r="AN1222" s="4">
        <v>2</v>
      </c>
      <c r="AO1222" s="4">
        <v>2</v>
      </c>
      <c r="AP1222" s="3" t="s">
        <v>58</v>
      </c>
      <c r="AQ1222" s="3" t="s">
        <v>86</v>
      </c>
      <c r="AR1222" s="6" t="str">
        <f>HYPERLINK("http://catalog.hathitrust.org/Record/000333584","HathiTrust Record")</f>
        <v>HathiTrust Record</v>
      </c>
      <c r="AS1222" s="6" t="str">
        <f>HYPERLINK("https://creighton-primo.hosted.exlibrisgroup.com/primo-explore/search?tab=default_tab&amp;search_scope=EVERYTHING&amp;vid=01CRU&amp;lang=en_US&amp;offset=0&amp;query=any,contains,991000473629702656","Catalog Record")</f>
        <v>Catalog Record</v>
      </c>
      <c r="AT1222" s="6" t="str">
        <f>HYPERLINK("http://www.worldcat.org/oclc/10998803","WorldCat Record")</f>
        <v>WorldCat Record</v>
      </c>
      <c r="AU1222" s="3" t="s">
        <v>15707</v>
      </c>
      <c r="AV1222" s="3" t="s">
        <v>15708</v>
      </c>
      <c r="AW1222" s="3" t="s">
        <v>15709</v>
      </c>
      <c r="AX1222" s="3" t="s">
        <v>15709</v>
      </c>
      <c r="AY1222" s="3" t="s">
        <v>15710</v>
      </c>
      <c r="AZ1222" s="3" t="s">
        <v>74</v>
      </c>
      <c r="BB1222" s="3" t="s">
        <v>15711</v>
      </c>
      <c r="BC1222" s="3" t="s">
        <v>15712</v>
      </c>
      <c r="BD1222" s="3" t="s">
        <v>15713</v>
      </c>
    </row>
    <row r="1223" spans="1:56" ht="42.75" customHeight="1" x14ac:dyDescent="0.25">
      <c r="A1223" s="7" t="s">
        <v>58</v>
      </c>
      <c r="B1223" s="2" t="s">
        <v>15714</v>
      </c>
      <c r="C1223" s="2" t="s">
        <v>15715</v>
      </c>
      <c r="D1223" s="2" t="s">
        <v>15716</v>
      </c>
      <c r="F1223" s="3" t="s">
        <v>58</v>
      </c>
      <c r="G1223" s="3" t="s">
        <v>59</v>
      </c>
      <c r="H1223" s="3" t="s">
        <v>58</v>
      </c>
      <c r="I1223" s="3" t="s">
        <v>58</v>
      </c>
      <c r="J1223" s="3" t="s">
        <v>60</v>
      </c>
      <c r="K1223" s="2" t="s">
        <v>15717</v>
      </c>
      <c r="L1223" s="2" t="s">
        <v>1883</v>
      </c>
      <c r="M1223" s="3" t="s">
        <v>238</v>
      </c>
      <c r="O1223" s="3" t="s">
        <v>64</v>
      </c>
      <c r="P1223" s="3" t="s">
        <v>83</v>
      </c>
      <c r="R1223" s="3" t="s">
        <v>67</v>
      </c>
      <c r="S1223" s="4">
        <v>8</v>
      </c>
      <c r="T1223" s="4">
        <v>8</v>
      </c>
      <c r="U1223" s="5" t="s">
        <v>15718</v>
      </c>
      <c r="V1223" s="5" t="s">
        <v>15718</v>
      </c>
      <c r="W1223" s="5" t="s">
        <v>13210</v>
      </c>
      <c r="X1223" s="5" t="s">
        <v>13210</v>
      </c>
      <c r="Y1223" s="4">
        <v>348</v>
      </c>
      <c r="Z1223" s="4">
        <v>292</v>
      </c>
      <c r="AA1223" s="4">
        <v>297</v>
      </c>
      <c r="AB1223" s="4">
        <v>5</v>
      </c>
      <c r="AC1223" s="4">
        <v>5</v>
      </c>
      <c r="AD1223" s="4">
        <v>10</v>
      </c>
      <c r="AE1223" s="4">
        <v>10</v>
      </c>
      <c r="AF1223" s="4">
        <v>3</v>
      </c>
      <c r="AG1223" s="4">
        <v>3</v>
      </c>
      <c r="AH1223" s="4">
        <v>1</v>
      </c>
      <c r="AI1223" s="4">
        <v>1</v>
      </c>
      <c r="AJ1223" s="4">
        <v>5</v>
      </c>
      <c r="AK1223" s="4">
        <v>5</v>
      </c>
      <c r="AL1223" s="4">
        <v>3</v>
      </c>
      <c r="AM1223" s="4">
        <v>3</v>
      </c>
      <c r="AN1223" s="4">
        <v>0</v>
      </c>
      <c r="AO1223" s="4">
        <v>0</v>
      </c>
      <c r="AP1223" s="3" t="s">
        <v>58</v>
      </c>
      <c r="AQ1223" s="3" t="s">
        <v>58</v>
      </c>
      <c r="AS1223" s="6" t="str">
        <f>HYPERLINK("https://creighton-primo.hosted.exlibrisgroup.com/primo-explore/search?tab=default_tab&amp;search_scope=EVERYTHING&amp;vid=01CRU&amp;lang=en_US&amp;offset=0&amp;query=any,contains,991004695279702656","Catalog Record")</f>
        <v>Catalog Record</v>
      </c>
      <c r="AT1223" s="6" t="str">
        <f>HYPERLINK("http://www.worldcat.org/oclc/4638886","WorldCat Record")</f>
        <v>WorldCat Record</v>
      </c>
      <c r="AU1223" s="3" t="s">
        <v>15719</v>
      </c>
      <c r="AV1223" s="3" t="s">
        <v>15720</v>
      </c>
      <c r="AW1223" s="3" t="s">
        <v>15721</v>
      </c>
      <c r="AX1223" s="3" t="s">
        <v>15721</v>
      </c>
      <c r="AY1223" s="3" t="s">
        <v>15722</v>
      </c>
      <c r="AZ1223" s="3" t="s">
        <v>74</v>
      </c>
      <c r="BB1223" s="3" t="s">
        <v>15723</v>
      </c>
      <c r="BC1223" s="3" t="s">
        <v>15724</v>
      </c>
      <c r="BD1223" s="3" t="s">
        <v>15725</v>
      </c>
    </row>
    <row r="1224" spans="1:56" ht="42.75" customHeight="1" x14ac:dyDescent="0.25">
      <c r="A1224" s="7" t="s">
        <v>58</v>
      </c>
      <c r="B1224" s="2" t="s">
        <v>15726</v>
      </c>
      <c r="C1224" s="2" t="s">
        <v>15727</v>
      </c>
      <c r="D1224" s="2" t="s">
        <v>15728</v>
      </c>
      <c r="F1224" s="3" t="s">
        <v>58</v>
      </c>
      <c r="G1224" s="3" t="s">
        <v>59</v>
      </c>
      <c r="H1224" s="3" t="s">
        <v>58</v>
      </c>
      <c r="I1224" s="3" t="s">
        <v>58</v>
      </c>
      <c r="J1224" s="3" t="s">
        <v>60</v>
      </c>
      <c r="L1224" s="2" t="s">
        <v>15729</v>
      </c>
      <c r="M1224" s="3" t="s">
        <v>344</v>
      </c>
      <c r="O1224" s="3" t="s">
        <v>64</v>
      </c>
      <c r="P1224" s="3" t="s">
        <v>115</v>
      </c>
      <c r="Q1224" s="2" t="s">
        <v>15730</v>
      </c>
      <c r="R1224" s="3" t="s">
        <v>67</v>
      </c>
      <c r="S1224" s="4">
        <v>8</v>
      </c>
      <c r="T1224" s="4">
        <v>8</v>
      </c>
      <c r="U1224" s="5" t="s">
        <v>15731</v>
      </c>
      <c r="V1224" s="5" t="s">
        <v>15731</v>
      </c>
      <c r="W1224" s="5" t="s">
        <v>15732</v>
      </c>
      <c r="X1224" s="5" t="s">
        <v>15732</v>
      </c>
      <c r="Y1224" s="4">
        <v>219</v>
      </c>
      <c r="Z1224" s="4">
        <v>187</v>
      </c>
      <c r="AA1224" s="4">
        <v>190</v>
      </c>
      <c r="AB1224" s="4">
        <v>2</v>
      </c>
      <c r="AC1224" s="4">
        <v>2</v>
      </c>
      <c r="AD1224" s="4">
        <v>5</v>
      </c>
      <c r="AE1224" s="4">
        <v>5</v>
      </c>
      <c r="AF1224" s="4">
        <v>1</v>
      </c>
      <c r="AG1224" s="4">
        <v>1</v>
      </c>
      <c r="AH1224" s="4">
        <v>1</v>
      </c>
      <c r="AI1224" s="4">
        <v>1</v>
      </c>
      <c r="AJ1224" s="4">
        <v>4</v>
      </c>
      <c r="AK1224" s="4">
        <v>4</v>
      </c>
      <c r="AL1224" s="4">
        <v>1</v>
      </c>
      <c r="AM1224" s="4">
        <v>1</v>
      </c>
      <c r="AN1224" s="4">
        <v>0</v>
      </c>
      <c r="AO1224" s="4">
        <v>0</v>
      </c>
      <c r="AP1224" s="3" t="s">
        <v>58</v>
      </c>
      <c r="AQ1224" s="3" t="s">
        <v>86</v>
      </c>
      <c r="AR1224" s="6" t="str">
        <f>HYPERLINK("http://catalog.hathitrust.org/Record/000227658","HathiTrust Record")</f>
        <v>HathiTrust Record</v>
      </c>
      <c r="AS1224" s="6" t="str">
        <f>HYPERLINK("https://creighton-primo.hosted.exlibrisgroup.com/primo-explore/search?tab=default_tab&amp;search_scope=EVERYTHING&amp;vid=01CRU&amp;lang=en_US&amp;offset=0&amp;query=any,contains,991004740849702656","Catalog Record")</f>
        <v>Catalog Record</v>
      </c>
      <c r="AT1224" s="6" t="str">
        <f>HYPERLINK("http://www.worldcat.org/oclc/4883384","WorldCat Record")</f>
        <v>WorldCat Record</v>
      </c>
      <c r="AU1224" s="3" t="s">
        <v>15733</v>
      </c>
      <c r="AV1224" s="3" t="s">
        <v>15734</v>
      </c>
      <c r="AW1224" s="3" t="s">
        <v>15735</v>
      </c>
      <c r="AX1224" s="3" t="s">
        <v>15735</v>
      </c>
      <c r="AY1224" s="3" t="s">
        <v>15736</v>
      </c>
      <c r="AZ1224" s="3" t="s">
        <v>74</v>
      </c>
      <c r="BB1224" s="3" t="s">
        <v>15737</v>
      </c>
      <c r="BC1224" s="3" t="s">
        <v>15738</v>
      </c>
      <c r="BD1224" s="3" t="s">
        <v>15739</v>
      </c>
    </row>
    <row r="1225" spans="1:56" ht="42.75" customHeight="1" x14ac:dyDescent="0.25">
      <c r="A1225" s="7" t="s">
        <v>58</v>
      </c>
      <c r="B1225" s="2" t="s">
        <v>15740</v>
      </c>
      <c r="C1225" s="2" t="s">
        <v>15741</v>
      </c>
      <c r="D1225" s="2" t="s">
        <v>15742</v>
      </c>
      <c r="F1225" s="3" t="s">
        <v>58</v>
      </c>
      <c r="G1225" s="3" t="s">
        <v>59</v>
      </c>
      <c r="H1225" s="3" t="s">
        <v>58</v>
      </c>
      <c r="I1225" s="3" t="s">
        <v>58</v>
      </c>
      <c r="J1225" s="3" t="s">
        <v>60</v>
      </c>
      <c r="K1225" s="2" t="s">
        <v>15512</v>
      </c>
      <c r="L1225" s="2" t="s">
        <v>15743</v>
      </c>
      <c r="M1225" s="3" t="s">
        <v>2227</v>
      </c>
      <c r="O1225" s="3" t="s">
        <v>64</v>
      </c>
      <c r="P1225" s="3" t="s">
        <v>2331</v>
      </c>
      <c r="R1225" s="3" t="s">
        <v>67</v>
      </c>
      <c r="S1225" s="4">
        <v>4</v>
      </c>
      <c r="T1225" s="4">
        <v>4</v>
      </c>
      <c r="U1225" s="5" t="s">
        <v>2798</v>
      </c>
      <c r="V1225" s="5" t="s">
        <v>2798</v>
      </c>
      <c r="W1225" s="5" t="s">
        <v>4730</v>
      </c>
      <c r="X1225" s="5" t="s">
        <v>4730</v>
      </c>
      <c r="Y1225" s="4">
        <v>515</v>
      </c>
      <c r="Z1225" s="4">
        <v>408</v>
      </c>
      <c r="AA1225" s="4">
        <v>414</v>
      </c>
      <c r="AB1225" s="4">
        <v>2</v>
      </c>
      <c r="AC1225" s="4">
        <v>2</v>
      </c>
      <c r="AD1225" s="4">
        <v>18</v>
      </c>
      <c r="AE1225" s="4">
        <v>18</v>
      </c>
      <c r="AF1225" s="4">
        <v>6</v>
      </c>
      <c r="AG1225" s="4">
        <v>6</v>
      </c>
      <c r="AH1225" s="4">
        <v>5</v>
      </c>
      <c r="AI1225" s="4">
        <v>5</v>
      </c>
      <c r="AJ1225" s="4">
        <v>10</v>
      </c>
      <c r="AK1225" s="4">
        <v>10</v>
      </c>
      <c r="AL1225" s="4">
        <v>1</v>
      </c>
      <c r="AM1225" s="4">
        <v>1</v>
      </c>
      <c r="AN1225" s="4">
        <v>0</v>
      </c>
      <c r="AO1225" s="4">
        <v>0</v>
      </c>
      <c r="AP1225" s="3" t="s">
        <v>58</v>
      </c>
      <c r="AQ1225" s="3" t="s">
        <v>58</v>
      </c>
      <c r="AS1225" s="6" t="str">
        <f>HYPERLINK("https://creighton-primo.hosted.exlibrisgroup.com/primo-explore/search?tab=default_tab&amp;search_scope=EVERYTHING&amp;vid=01CRU&amp;lang=en_US&amp;offset=0&amp;query=any,contains,991000612129702656","Catalog Record")</f>
        <v>Catalog Record</v>
      </c>
      <c r="AT1225" s="6" t="str">
        <f>HYPERLINK("http://www.worldcat.org/oclc/11916671","WorldCat Record")</f>
        <v>WorldCat Record</v>
      </c>
      <c r="AU1225" s="3" t="s">
        <v>15744</v>
      </c>
      <c r="AV1225" s="3" t="s">
        <v>15745</v>
      </c>
      <c r="AW1225" s="3" t="s">
        <v>15746</v>
      </c>
      <c r="AX1225" s="3" t="s">
        <v>15746</v>
      </c>
      <c r="AY1225" s="3" t="s">
        <v>15747</v>
      </c>
      <c r="AZ1225" s="3" t="s">
        <v>74</v>
      </c>
      <c r="BB1225" s="3" t="s">
        <v>15748</v>
      </c>
      <c r="BC1225" s="3" t="s">
        <v>15749</v>
      </c>
      <c r="BD1225" s="3" t="s">
        <v>15750</v>
      </c>
    </row>
    <row r="1226" spans="1:56" ht="42.75" customHeight="1" x14ac:dyDescent="0.25">
      <c r="A1226" s="7" t="s">
        <v>58</v>
      </c>
      <c r="B1226" s="2" t="s">
        <v>15751</v>
      </c>
      <c r="C1226" s="2" t="s">
        <v>15752</v>
      </c>
      <c r="D1226" s="2" t="s">
        <v>15753</v>
      </c>
      <c r="F1226" s="3" t="s">
        <v>58</v>
      </c>
      <c r="G1226" s="3" t="s">
        <v>59</v>
      </c>
      <c r="H1226" s="3" t="s">
        <v>58</v>
      </c>
      <c r="I1226" s="3" t="s">
        <v>58</v>
      </c>
      <c r="J1226" s="3" t="s">
        <v>60</v>
      </c>
      <c r="K1226" s="2" t="s">
        <v>15754</v>
      </c>
      <c r="L1226" s="2" t="s">
        <v>15755</v>
      </c>
      <c r="M1226" s="3" t="s">
        <v>223</v>
      </c>
      <c r="O1226" s="3" t="s">
        <v>64</v>
      </c>
      <c r="P1226" s="3" t="s">
        <v>2854</v>
      </c>
      <c r="R1226" s="3" t="s">
        <v>67</v>
      </c>
      <c r="S1226" s="4">
        <v>9</v>
      </c>
      <c r="T1226" s="4">
        <v>9</v>
      </c>
      <c r="U1226" s="5" t="s">
        <v>7328</v>
      </c>
      <c r="V1226" s="5" t="s">
        <v>7328</v>
      </c>
      <c r="W1226" s="5" t="s">
        <v>10381</v>
      </c>
      <c r="X1226" s="5" t="s">
        <v>10381</v>
      </c>
      <c r="Y1226" s="4">
        <v>846</v>
      </c>
      <c r="Z1226" s="4">
        <v>717</v>
      </c>
      <c r="AA1226" s="4">
        <v>766</v>
      </c>
      <c r="AB1226" s="4">
        <v>6</v>
      </c>
      <c r="AC1226" s="4">
        <v>6</v>
      </c>
      <c r="AD1226" s="4">
        <v>29</v>
      </c>
      <c r="AE1226" s="4">
        <v>30</v>
      </c>
      <c r="AF1226" s="4">
        <v>14</v>
      </c>
      <c r="AG1226" s="4">
        <v>14</v>
      </c>
      <c r="AH1226" s="4">
        <v>4</v>
      </c>
      <c r="AI1226" s="4">
        <v>5</v>
      </c>
      <c r="AJ1226" s="4">
        <v>10</v>
      </c>
      <c r="AK1226" s="4">
        <v>10</v>
      </c>
      <c r="AL1226" s="4">
        <v>3</v>
      </c>
      <c r="AM1226" s="4">
        <v>3</v>
      </c>
      <c r="AN1226" s="4">
        <v>4</v>
      </c>
      <c r="AO1226" s="4">
        <v>4</v>
      </c>
      <c r="AP1226" s="3" t="s">
        <v>58</v>
      </c>
      <c r="AQ1226" s="3" t="s">
        <v>86</v>
      </c>
      <c r="AR1226" s="6" t="str">
        <f>HYPERLINK("http://catalog.hathitrust.org/Record/000218574","HathiTrust Record")</f>
        <v>HathiTrust Record</v>
      </c>
      <c r="AS1226" s="6" t="str">
        <f>HYPERLINK("https://creighton-primo.hosted.exlibrisgroup.com/primo-explore/search?tab=default_tab&amp;search_scope=EVERYTHING&amp;vid=01CRU&amp;lang=en_US&amp;offset=0&amp;query=any,contains,991004623849702656","Catalog Record")</f>
        <v>Catalog Record</v>
      </c>
      <c r="AT1226" s="6" t="str">
        <f>HYPERLINK("http://www.worldcat.org/oclc/4319798","WorldCat Record")</f>
        <v>WorldCat Record</v>
      </c>
      <c r="AU1226" s="3" t="s">
        <v>15756</v>
      </c>
      <c r="AV1226" s="3" t="s">
        <v>15757</v>
      </c>
      <c r="AW1226" s="3" t="s">
        <v>15758</v>
      </c>
      <c r="AX1226" s="3" t="s">
        <v>15758</v>
      </c>
      <c r="AY1226" s="3" t="s">
        <v>15759</v>
      </c>
      <c r="AZ1226" s="3" t="s">
        <v>74</v>
      </c>
      <c r="BB1226" s="3" t="s">
        <v>15760</v>
      </c>
      <c r="BC1226" s="3" t="s">
        <v>15761</v>
      </c>
      <c r="BD1226" s="3" t="s">
        <v>15762</v>
      </c>
    </row>
    <row r="1227" spans="1:56" ht="42.75" customHeight="1" x14ac:dyDescent="0.25">
      <c r="A1227" s="7" t="s">
        <v>58</v>
      </c>
      <c r="B1227" s="2" t="s">
        <v>15763</v>
      </c>
      <c r="C1227" s="2" t="s">
        <v>15764</v>
      </c>
      <c r="D1227" s="2" t="s">
        <v>15765</v>
      </c>
      <c r="F1227" s="3" t="s">
        <v>58</v>
      </c>
      <c r="G1227" s="3" t="s">
        <v>59</v>
      </c>
      <c r="H1227" s="3" t="s">
        <v>58</v>
      </c>
      <c r="I1227" s="3" t="s">
        <v>58</v>
      </c>
      <c r="J1227" s="3" t="s">
        <v>60</v>
      </c>
      <c r="K1227" s="2" t="s">
        <v>15766</v>
      </c>
      <c r="L1227" s="2" t="s">
        <v>10137</v>
      </c>
      <c r="M1227" s="3" t="s">
        <v>98</v>
      </c>
      <c r="N1227" s="2" t="s">
        <v>1736</v>
      </c>
      <c r="O1227" s="3" t="s">
        <v>64</v>
      </c>
      <c r="P1227" s="3" t="s">
        <v>115</v>
      </c>
      <c r="R1227" s="3" t="s">
        <v>67</v>
      </c>
      <c r="S1227" s="4">
        <v>14</v>
      </c>
      <c r="T1227" s="4">
        <v>14</v>
      </c>
      <c r="U1227" s="5" t="s">
        <v>15767</v>
      </c>
      <c r="V1227" s="5" t="s">
        <v>15767</v>
      </c>
      <c r="W1227" s="5" t="s">
        <v>15768</v>
      </c>
      <c r="X1227" s="5" t="s">
        <v>15768</v>
      </c>
      <c r="Y1227" s="4">
        <v>737</v>
      </c>
      <c r="Z1227" s="4">
        <v>605</v>
      </c>
      <c r="AA1227" s="4">
        <v>765</v>
      </c>
      <c r="AB1227" s="4">
        <v>4</v>
      </c>
      <c r="AC1227" s="4">
        <v>8</v>
      </c>
      <c r="AD1227" s="4">
        <v>25</v>
      </c>
      <c r="AE1227" s="4">
        <v>31</v>
      </c>
      <c r="AF1227" s="4">
        <v>9</v>
      </c>
      <c r="AG1227" s="4">
        <v>10</v>
      </c>
      <c r="AH1227" s="4">
        <v>5</v>
      </c>
      <c r="AI1227" s="4">
        <v>6</v>
      </c>
      <c r="AJ1227" s="4">
        <v>13</v>
      </c>
      <c r="AK1227" s="4">
        <v>15</v>
      </c>
      <c r="AL1227" s="4">
        <v>3</v>
      </c>
      <c r="AM1227" s="4">
        <v>6</v>
      </c>
      <c r="AN1227" s="4">
        <v>0</v>
      </c>
      <c r="AO1227" s="4">
        <v>0</v>
      </c>
      <c r="AP1227" s="3" t="s">
        <v>58</v>
      </c>
      <c r="AQ1227" s="3" t="s">
        <v>58</v>
      </c>
      <c r="AS1227" s="6" t="str">
        <f>HYPERLINK("https://creighton-primo.hosted.exlibrisgroup.com/primo-explore/search?tab=default_tab&amp;search_scope=EVERYTHING&amp;vid=01CRU&amp;lang=en_US&amp;offset=0&amp;query=any,contains,991001226799702656","Catalog Record")</f>
        <v>Catalog Record</v>
      </c>
      <c r="AT1227" s="6" t="str">
        <f>HYPERLINK("http://www.worldcat.org/oclc/17508251","WorldCat Record")</f>
        <v>WorldCat Record</v>
      </c>
      <c r="AU1227" s="3" t="s">
        <v>15769</v>
      </c>
      <c r="AV1227" s="3" t="s">
        <v>15770</v>
      </c>
      <c r="AW1227" s="3" t="s">
        <v>15771</v>
      </c>
      <c r="AX1227" s="3" t="s">
        <v>15771</v>
      </c>
      <c r="AY1227" s="3" t="s">
        <v>15772</v>
      </c>
      <c r="AZ1227" s="3" t="s">
        <v>74</v>
      </c>
      <c r="BB1227" s="3" t="s">
        <v>15773</v>
      </c>
      <c r="BC1227" s="3" t="s">
        <v>15774</v>
      </c>
      <c r="BD1227" s="3" t="s">
        <v>15775</v>
      </c>
    </row>
    <row r="1228" spans="1:56" ht="42.75" customHeight="1" x14ac:dyDescent="0.25">
      <c r="A1228" s="7" t="s">
        <v>58</v>
      </c>
      <c r="B1228" s="2" t="s">
        <v>15776</v>
      </c>
      <c r="C1228" s="2" t="s">
        <v>15777</v>
      </c>
      <c r="D1228" s="2" t="s">
        <v>15778</v>
      </c>
      <c r="F1228" s="3" t="s">
        <v>58</v>
      </c>
      <c r="G1228" s="3" t="s">
        <v>59</v>
      </c>
      <c r="H1228" s="3" t="s">
        <v>58</v>
      </c>
      <c r="I1228" s="3" t="s">
        <v>58</v>
      </c>
      <c r="J1228" s="3" t="s">
        <v>60</v>
      </c>
      <c r="K1228" s="2" t="s">
        <v>14881</v>
      </c>
      <c r="L1228" s="2" t="s">
        <v>15779</v>
      </c>
      <c r="M1228" s="3" t="s">
        <v>223</v>
      </c>
      <c r="O1228" s="3" t="s">
        <v>64</v>
      </c>
      <c r="P1228" s="3" t="s">
        <v>99</v>
      </c>
      <c r="R1228" s="3" t="s">
        <v>67</v>
      </c>
      <c r="S1228" s="4">
        <v>9</v>
      </c>
      <c r="T1228" s="4">
        <v>9</v>
      </c>
      <c r="U1228" s="5" t="s">
        <v>15780</v>
      </c>
      <c r="V1228" s="5" t="s">
        <v>15780</v>
      </c>
      <c r="W1228" s="5" t="s">
        <v>6880</v>
      </c>
      <c r="X1228" s="5" t="s">
        <v>6880</v>
      </c>
      <c r="Y1228" s="4">
        <v>301</v>
      </c>
      <c r="Z1228" s="4">
        <v>284</v>
      </c>
      <c r="AA1228" s="4">
        <v>879</v>
      </c>
      <c r="AB1228" s="4">
        <v>5</v>
      </c>
      <c r="AC1228" s="4">
        <v>12</v>
      </c>
      <c r="AD1228" s="4">
        <v>0</v>
      </c>
      <c r="AE1228" s="4">
        <v>21</v>
      </c>
      <c r="AF1228" s="4">
        <v>0</v>
      </c>
      <c r="AG1228" s="4">
        <v>5</v>
      </c>
      <c r="AH1228" s="4">
        <v>0</v>
      </c>
      <c r="AI1228" s="4">
        <v>4</v>
      </c>
      <c r="AJ1228" s="4">
        <v>0</v>
      </c>
      <c r="AK1228" s="4">
        <v>7</v>
      </c>
      <c r="AL1228" s="4">
        <v>0</v>
      </c>
      <c r="AM1228" s="4">
        <v>7</v>
      </c>
      <c r="AN1228" s="4">
        <v>0</v>
      </c>
      <c r="AO1228" s="4">
        <v>0</v>
      </c>
      <c r="AP1228" s="3" t="s">
        <v>58</v>
      </c>
      <c r="AQ1228" s="3" t="s">
        <v>86</v>
      </c>
      <c r="AR1228" s="6" t="str">
        <f>HYPERLINK("http://catalog.hathitrust.org/Record/000179953","HathiTrust Record")</f>
        <v>HathiTrust Record</v>
      </c>
      <c r="AS1228" s="6" t="str">
        <f>HYPERLINK("https://creighton-primo.hosted.exlibrisgroup.com/primo-explore/search?tab=default_tab&amp;search_scope=EVERYTHING&amp;vid=01CRU&amp;lang=en_US&amp;offset=0&amp;query=any,contains,991004591699702656","Catalog Record")</f>
        <v>Catalog Record</v>
      </c>
      <c r="AT1228" s="6" t="str">
        <f>HYPERLINK("http://www.worldcat.org/oclc/4128205","WorldCat Record")</f>
        <v>WorldCat Record</v>
      </c>
      <c r="AU1228" s="3" t="s">
        <v>15781</v>
      </c>
      <c r="AV1228" s="3" t="s">
        <v>15782</v>
      </c>
      <c r="AW1228" s="3" t="s">
        <v>15783</v>
      </c>
      <c r="AX1228" s="3" t="s">
        <v>15783</v>
      </c>
      <c r="AY1228" s="3" t="s">
        <v>15784</v>
      </c>
      <c r="AZ1228" s="3" t="s">
        <v>74</v>
      </c>
      <c r="BB1228" s="3" t="s">
        <v>15785</v>
      </c>
      <c r="BC1228" s="3" t="s">
        <v>15786</v>
      </c>
      <c r="BD1228" s="3" t="s">
        <v>15787</v>
      </c>
    </row>
    <row r="1229" spans="1:56" ht="42.75" customHeight="1" x14ac:dyDescent="0.25">
      <c r="A1229" s="7" t="s">
        <v>58</v>
      </c>
      <c r="B1229" s="2" t="s">
        <v>15788</v>
      </c>
      <c r="C1229" s="2" t="s">
        <v>15789</v>
      </c>
      <c r="D1229" s="2" t="s">
        <v>15790</v>
      </c>
      <c r="F1229" s="3" t="s">
        <v>58</v>
      </c>
      <c r="G1229" s="3" t="s">
        <v>59</v>
      </c>
      <c r="H1229" s="3" t="s">
        <v>58</v>
      </c>
      <c r="I1229" s="3" t="s">
        <v>58</v>
      </c>
      <c r="J1229" s="3" t="s">
        <v>60</v>
      </c>
      <c r="L1229" s="2" t="s">
        <v>15791</v>
      </c>
      <c r="M1229" s="3" t="s">
        <v>534</v>
      </c>
      <c r="O1229" s="3" t="s">
        <v>64</v>
      </c>
      <c r="P1229" s="3" t="s">
        <v>99</v>
      </c>
      <c r="R1229" s="3" t="s">
        <v>67</v>
      </c>
      <c r="S1229" s="4">
        <v>15</v>
      </c>
      <c r="T1229" s="4">
        <v>15</v>
      </c>
      <c r="U1229" s="5" t="s">
        <v>2278</v>
      </c>
      <c r="V1229" s="5" t="s">
        <v>2278</v>
      </c>
      <c r="W1229" s="5" t="s">
        <v>15792</v>
      </c>
      <c r="X1229" s="5" t="s">
        <v>15792</v>
      </c>
      <c r="Y1229" s="4">
        <v>512</v>
      </c>
      <c r="Z1229" s="4">
        <v>388</v>
      </c>
      <c r="AA1229" s="4">
        <v>394</v>
      </c>
      <c r="AB1229" s="4">
        <v>4</v>
      </c>
      <c r="AC1229" s="4">
        <v>4</v>
      </c>
      <c r="AD1229" s="4">
        <v>15</v>
      </c>
      <c r="AE1229" s="4">
        <v>15</v>
      </c>
      <c r="AF1229" s="4">
        <v>4</v>
      </c>
      <c r="AG1229" s="4">
        <v>4</v>
      </c>
      <c r="AH1229" s="4">
        <v>2</v>
      </c>
      <c r="AI1229" s="4">
        <v>2</v>
      </c>
      <c r="AJ1229" s="4">
        <v>9</v>
      </c>
      <c r="AK1229" s="4">
        <v>9</v>
      </c>
      <c r="AL1229" s="4">
        <v>3</v>
      </c>
      <c r="AM1229" s="4">
        <v>3</v>
      </c>
      <c r="AN1229" s="4">
        <v>0</v>
      </c>
      <c r="AO1229" s="4">
        <v>0</v>
      </c>
      <c r="AP1229" s="3" t="s">
        <v>58</v>
      </c>
      <c r="AQ1229" s="3" t="s">
        <v>86</v>
      </c>
      <c r="AR1229" s="6" t="str">
        <f>HYPERLINK("http://catalog.hathitrust.org/Record/001949860","HathiTrust Record")</f>
        <v>HathiTrust Record</v>
      </c>
      <c r="AS1229" s="6" t="str">
        <f>HYPERLINK("https://creighton-primo.hosted.exlibrisgroup.com/primo-explore/search?tab=default_tab&amp;search_scope=EVERYTHING&amp;vid=01CRU&amp;lang=en_US&amp;offset=0&amp;query=any,contains,991001538369702656","Catalog Record")</f>
        <v>Catalog Record</v>
      </c>
      <c r="AT1229" s="6" t="str">
        <f>HYPERLINK("http://www.worldcat.org/oclc/20094127","WorldCat Record")</f>
        <v>WorldCat Record</v>
      </c>
      <c r="AU1229" s="3" t="s">
        <v>15793</v>
      </c>
      <c r="AV1229" s="3" t="s">
        <v>15794</v>
      </c>
      <c r="AW1229" s="3" t="s">
        <v>15795</v>
      </c>
      <c r="AX1229" s="3" t="s">
        <v>15795</v>
      </c>
      <c r="AY1229" s="3" t="s">
        <v>15796</v>
      </c>
      <c r="AZ1229" s="3" t="s">
        <v>74</v>
      </c>
      <c r="BB1229" s="3" t="s">
        <v>15797</v>
      </c>
      <c r="BC1229" s="3" t="s">
        <v>15798</v>
      </c>
      <c r="BD1229" s="3" t="s">
        <v>15799</v>
      </c>
    </row>
    <row r="1230" spans="1:56" ht="42.75" customHeight="1" x14ac:dyDescent="0.25">
      <c r="A1230" s="7" t="s">
        <v>58</v>
      </c>
      <c r="B1230" s="2" t="s">
        <v>15800</v>
      </c>
      <c r="C1230" s="2" t="s">
        <v>15801</v>
      </c>
      <c r="D1230" s="2" t="s">
        <v>15802</v>
      </c>
      <c r="F1230" s="3" t="s">
        <v>58</v>
      </c>
      <c r="G1230" s="3" t="s">
        <v>59</v>
      </c>
      <c r="H1230" s="3" t="s">
        <v>86</v>
      </c>
      <c r="I1230" s="3" t="s">
        <v>58</v>
      </c>
      <c r="J1230" s="3" t="s">
        <v>60</v>
      </c>
      <c r="K1230" s="2" t="s">
        <v>15803</v>
      </c>
      <c r="L1230" s="2" t="s">
        <v>15804</v>
      </c>
      <c r="M1230" s="3" t="s">
        <v>1574</v>
      </c>
      <c r="N1230" s="2" t="s">
        <v>1736</v>
      </c>
      <c r="O1230" s="3" t="s">
        <v>64</v>
      </c>
      <c r="P1230" s="3" t="s">
        <v>208</v>
      </c>
      <c r="R1230" s="3" t="s">
        <v>67</v>
      </c>
      <c r="S1230" s="4">
        <v>13</v>
      </c>
      <c r="T1230" s="4">
        <v>14</v>
      </c>
      <c r="U1230" s="5" t="s">
        <v>2278</v>
      </c>
      <c r="V1230" s="5" t="s">
        <v>2278</v>
      </c>
      <c r="W1230" s="5" t="s">
        <v>11382</v>
      </c>
      <c r="X1230" s="5" t="s">
        <v>11382</v>
      </c>
      <c r="Y1230" s="4">
        <v>305</v>
      </c>
      <c r="Z1230" s="4">
        <v>243</v>
      </c>
      <c r="AA1230" s="4">
        <v>250</v>
      </c>
      <c r="AB1230" s="4">
        <v>3</v>
      </c>
      <c r="AC1230" s="4">
        <v>3</v>
      </c>
      <c r="AD1230" s="4">
        <v>6</v>
      </c>
      <c r="AE1230" s="4">
        <v>6</v>
      </c>
      <c r="AF1230" s="4">
        <v>2</v>
      </c>
      <c r="AG1230" s="4">
        <v>2</v>
      </c>
      <c r="AH1230" s="4">
        <v>1</v>
      </c>
      <c r="AI1230" s="4">
        <v>1</v>
      </c>
      <c r="AJ1230" s="4">
        <v>2</v>
      </c>
      <c r="AK1230" s="4">
        <v>2</v>
      </c>
      <c r="AL1230" s="4">
        <v>1</v>
      </c>
      <c r="AM1230" s="4">
        <v>1</v>
      </c>
      <c r="AN1230" s="4">
        <v>1</v>
      </c>
      <c r="AO1230" s="4">
        <v>1</v>
      </c>
      <c r="AP1230" s="3" t="s">
        <v>58</v>
      </c>
      <c r="AQ1230" s="3" t="s">
        <v>86</v>
      </c>
      <c r="AR1230" s="6" t="str">
        <f>HYPERLINK("http://catalog.hathitrust.org/Record/000156916","HathiTrust Record")</f>
        <v>HathiTrust Record</v>
      </c>
      <c r="AS1230" s="6" t="str">
        <f>HYPERLINK("https://creighton-primo.hosted.exlibrisgroup.com/primo-explore/search?tab=default_tab&amp;search_scope=EVERYTHING&amp;vid=01CRU&amp;lang=en_US&amp;offset=0&amp;query=any,contains,991001789749702656","Catalog Record")</f>
        <v>Catalog Record</v>
      </c>
      <c r="AT1230" s="6" t="str">
        <f>HYPERLINK("http://www.worldcat.org/oclc/8924924","WorldCat Record")</f>
        <v>WorldCat Record</v>
      </c>
      <c r="AU1230" s="3" t="s">
        <v>15805</v>
      </c>
      <c r="AV1230" s="3" t="s">
        <v>15806</v>
      </c>
      <c r="AW1230" s="3" t="s">
        <v>15807</v>
      </c>
      <c r="AX1230" s="3" t="s">
        <v>15807</v>
      </c>
      <c r="AY1230" s="3" t="s">
        <v>15808</v>
      </c>
      <c r="AZ1230" s="3" t="s">
        <v>74</v>
      </c>
      <c r="BB1230" s="3" t="s">
        <v>15809</v>
      </c>
      <c r="BC1230" s="3" t="s">
        <v>15810</v>
      </c>
      <c r="BD1230" s="3" t="s">
        <v>15811</v>
      </c>
    </row>
    <row r="1231" spans="1:56" ht="42.75" customHeight="1" x14ac:dyDescent="0.25">
      <c r="A1231" s="7" t="s">
        <v>58</v>
      </c>
      <c r="B1231" s="2" t="s">
        <v>15812</v>
      </c>
      <c r="C1231" s="2" t="s">
        <v>15813</v>
      </c>
      <c r="D1231" s="2" t="s">
        <v>15814</v>
      </c>
      <c r="F1231" s="3" t="s">
        <v>58</v>
      </c>
      <c r="G1231" s="3" t="s">
        <v>59</v>
      </c>
      <c r="H1231" s="3" t="s">
        <v>58</v>
      </c>
      <c r="I1231" s="3" t="s">
        <v>58</v>
      </c>
      <c r="J1231" s="3" t="s">
        <v>60</v>
      </c>
      <c r="K1231" s="2" t="s">
        <v>15815</v>
      </c>
      <c r="L1231" s="2" t="s">
        <v>7652</v>
      </c>
      <c r="M1231" s="3" t="s">
        <v>480</v>
      </c>
      <c r="O1231" s="3" t="s">
        <v>64</v>
      </c>
      <c r="P1231" s="3" t="s">
        <v>115</v>
      </c>
      <c r="Q1231" s="2" t="s">
        <v>15816</v>
      </c>
      <c r="R1231" s="3" t="s">
        <v>67</v>
      </c>
      <c r="S1231" s="4">
        <v>9</v>
      </c>
      <c r="T1231" s="4">
        <v>9</v>
      </c>
      <c r="U1231" s="5" t="s">
        <v>2278</v>
      </c>
      <c r="V1231" s="5" t="s">
        <v>2278</v>
      </c>
      <c r="W1231" s="5" t="s">
        <v>15817</v>
      </c>
      <c r="X1231" s="5" t="s">
        <v>15817</v>
      </c>
      <c r="Y1231" s="4">
        <v>335</v>
      </c>
      <c r="Z1231" s="4">
        <v>280</v>
      </c>
      <c r="AA1231" s="4">
        <v>312</v>
      </c>
      <c r="AB1231" s="4">
        <v>4</v>
      </c>
      <c r="AC1231" s="4">
        <v>4</v>
      </c>
      <c r="AD1231" s="4">
        <v>20</v>
      </c>
      <c r="AE1231" s="4">
        <v>20</v>
      </c>
      <c r="AF1231" s="4">
        <v>7</v>
      </c>
      <c r="AG1231" s="4">
        <v>7</v>
      </c>
      <c r="AH1231" s="4">
        <v>4</v>
      </c>
      <c r="AI1231" s="4">
        <v>4</v>
      </c>
      <c r="AJ1231" s="4">
        <v>11</v>
      </c>
      <c r="AK1231" s="4">
        <v>11</v>
      </c>
      <c r="AL1231" s="4">
        <v>3</v>
      </c>
      <c r="AM1231" s="4">
        <v>3</v>
      </c>
      <c r="AN1231" s="4">
        <v>0</v>
      </c>
      <c r="AO1231" s="4">
        <v>0</v>
      </c>
      <c r="AP1231" s="3" t="s">
        <v>58</v>
      </c>
      <c r="AQ1231" s="3" t="s">
        <v>58</v>
      </c>
      <c r="AS1231" s="6" t="str">
        <f>HYPERLINK("https://creighton-primo.hosted.exlibrisgroup.com/primo-explore/search?tab=default_tab&amp;search_scope=EVERYTHING&amp;vid=01CRU&amp;lang=en_US&amp;offset=0&amp;query=any,contains,991001486859702656","Catalog Record")</f>
        <v>Catalog Record</v>
      </c>
      <c r="AT1231" s="6" t="str">
        <f>HYPERLINK("http://www.worldcat.org/oclc/19670265","WorldCat Record")</f>
        <v>WorldCat Record</v>
      </c>
      <c r="AU1231" s="3" t="s">
        <v>15818</v>
      </c>
      <c r="AV1231" s="3" t="s">
        <v>15819</v>
      </c>
      <c r="AW1231" s="3" t="s">
        <v>15820</v>
      </c>
      <c r="AX1231" s="3" t="s">
        <v>15820</v>
      </c>
      <c r="AY1231" s="3" t="s">
        <v>15821</v>
      </c>
      <c r="AZ1231" s="3" t="s">
        <v>74</v>
      </c>
      <c r="BB1231" s="3" t="s">
        <v>15822</v>
      </c>
      <c r="BC1231" s="3" t="s">
        <v>15823</v>
      </c>
      <c r="BD1231" s="3" t="s">
        <v>15824</v>
      </c>
    </row>
    <row r="1232" spans="1:56" ht="42.75" customHeight="1" x14ac:dyDescent="0.25">
      <c r="A1232" s="7" t="s">
        <v>58</v>
      </c>
      <c r="B1232" s="2" t="s">
        <v>15825</v>
      </c>
      <c r="C1232" s="2" t="s">
        <v>15826</v>
      </c>
      <c r="D1232" s="2" t="s">
        <v>15827</v>
      </c>
      <c r="F1232" s="3" t="s">
        <v>58</v>
      </c>
      <c r="G1232" s="3" t="s">
        <v>59</v>
      </c>
      <c r="H1232" s="3" t="s">
        <v>58</v>
      </c>
      <c r="I1232" s="3" t="s">
        <v>58</v>
      </c>
      <c r="J1232" s="3" t="s">
        <v>60</v>
      </c>
      <c r="L1232" s="2" t="s">
        <v>15828</v>
      </c>
      <c r="M1232" s="3" t="s">
        <v>534</v>
      </c>
      <c r="O1232" s="3" t="s">
        <v>64</v>
      </c>
      <c r="P1232" s="3" t="s">
        <v>115</v>
      </c>
      <c r="R1232" s="3" t="s">
        <v>67</v>
      </c>
      <c r="S1232" s="4">
        <v>17</v>
      </c>
      <c r="T1232" s="4">
        <v>17</v>
      </c>
      <c r="U1232" s="5" t="s">
        <v>15829</v>
      </c>
      <c r="V1232" s="5" t="s">
        <v>15829</v>
      </c>
      <c r="W1232" s="5" t="s">
        <v>15830</v>
      </c>
      <c r="X1232" s="5" t="s">
        <v>15830</v>
      </c>
      <c r="Y1232" s="4">
        <v>375</v>
      </c>
      <c r="Z1232" s="4">
        <v>299</v>
      </c>
      <c r="AA1232" s="4">
        <v>325</v>
      </c>
      <c r="AB1232" s="4">
        <v>3</v>
      </c>
      <c r="AC1232" s="4">
        <v>3</v>
      </c>
      <c r="AD1232" s="4">
        <v>13</v>
      </c>
      <c r="AE1232" s="4">
        <v>13</v>
      </c>
      <c r="AF1232" s="4">
        <v>4</v>
      </c>
      <c r="AG1232" s="4">
        <v>4</v>
      </c>
      <c r="AH1232" s="4">
        <v>3</v>
      </c>
      <c r="AI1232" s="4">
        <v>3</v>
      </c>
      <c r="AJ1232" s="4">
        <v>7</v>
      </c>
      <c r="AK1232" s="4">
        <v>7</v>
      </c>
      <c r="AL1232" s="4">
        <v>2</v>
      </c>
      <c r="AM1232" s="4">
        <v>2</v>
      </c>
      <c r="AN1232" s="4">
        <v>0</v>
      </c>
      <c r="AO1232" s="4">
        <v>0</v>
      </c>
      <c r="AP1232" s="3" t="s">
        <v>58</v>
      </c>
      <c r="AQ1232" s="3" t="s">
        <v>86</v>
      </c>
      <c r="AR1232" s="6" t="str">
        <f>HYPERLINK("http://catalog.hathitrust.org/Record/004034903","HathiTrust Record")</f>
        <v>HathiTrust Record</v>
      </c>
      <c r="AS1232" s="6" t="str">
        <f>HYPERLINK("https://creighton-primo.hosted.exlibrisgroup.com/primo-explore/search?tab=default_tab&amp;search_scope=EVERYTHING&amp;vid=01CRU&amp;lang=en_US&amp;offset=0&amp;query=any,contains,991001597049702656","Catalog Record")</f>
        <v>Catalog Record</v>
      </c>
      <c r="AT1232" s="6" t="str">
        <f>HYPERLINK("http://www.worldcat.org/oclc/20629507","WorldCat Record")</f>
        <v>WorldCat Record</v>
      </c>
      <c r="AU1232" s="3" t="s">
        <v>15831</v>
      </c>
      <c r="AV1232" s="3" t="s">
        <v>15832</v>
      </c>
      <c r="AW1232" s="3" t="s">
        <v>15833</v>
      </c>
      <c r="AX1232" s="3" t="s">
        <v>15833</v>
      </c>
      <c r="AY1232" s="3" t="s">
        <v>15834</v>
      </c>
      <c r="AZ1232" s="3" t="s">
        <v>74</v>
      </c>
      <c r="BB1232" s="3" t="s">
        <v>15835</v>
      </c>
      <c r="BC1232" s="3" t="s">
        <v>15836</v>
      </c>
      <c r="BD1232" s="3" t="s">
        <v>15837</v>
      </c>
    </row>
    <row r="1233" spans="1:56" ht="42.75" customHeight="1" x14ac:dyDescent="0.25">
      <c r="A1233" s="7" t="s">
        <v>58</v>
      </c>
      <c r="B1233" s="2" t="s">
        <v>15838</v>
      </c>
      <c r="C1233" s="2" t="s">
        <v>15839</v>
      </c>
      <c r="D1233" s="2" t="s">
        <v>15840</v>
      </c>
      <c r="F1233" s="3" t="s">
        <v>58</v>
      </c>
      <c r="G1233" s="3" t="s">
        <v>59</v>
      </c>
      <c r="H1233" s="3" t="s">
        <v>58</v>
      </c>
      <c r="I1233" s="3" t="s">
        <v>58</v>
      </c>
      <c r="J1233" s="3" t="s">
        <v>60</v>
      </c>
      <c r="K1233" s="2" t="s">
        <v>15841</v>
      </c>
      <c r="L1233" s="2" t="s">
        <v>15842</v>
      </c>
      <c r="M1233" s="3" t="s">
        <v>586</v>
      </c>
      <c r="O1233" s="3" t="s">
        <v>64</v>
      </c>
      <c r="P1233" s="3" t="s">
        <v>99</v>
      </c>
      <c r="R1233" s="3" t="s">
        <v>67</v>
      </c>
      <c r="S1233" s="4">
        <v>25</v>
      </c>
      <c r="T1233" s="4">
        <v>25</v>
      </c>
      <c r="U1233" s="5" t="s">
        <v>15829</v>
      </c>
      <c r="V1233" s="5" t="s">
        <v>15829</v>
      </c>
      <c r="W1233" s="5" t="s">
        <v>13773</v>
      </c>
      <c r="X1233" s="5" t="s">
        <v>13773</v>
      </c>
      <c r="Y1233" s="4">
        <v>373</v>
      </c>
      <c r="Z1233" s="4">
        <v>350</v>
      </c>
      <c r="AA1233" s="4">
        <v>821</v>
      </c>
      <c r="AB1233" s="4">
        <v>3</v>
      </c>
      <c r="AC1233" s="4">
        <v>6</v>
      </c>
      <c r="AD1233" s="4">
        <v>10</v>
      </c>
      <c r="AE1233" s="4">
        <v>18</v>
      </c>
      <c r="AF1233" s="4">
        <v>3</v>
      </c>
      <c r="AG1233" s="4">
        <v>6</v>
      </c>
      <c r="AH1233" s="4">
        <v>1</v>
      </c>
      <c r="AI1233" s="4">
        <v>4</v>
      </c>
      <c r="AJ1233" s="4">
        <v>7</v>
      </c>
      <c r="AK1233" s="4">
        <v>10</v>
      </c>
      <c r="AL1233" s="4">
        <v>1</v>
      </c>
      <c r="AM1233" s="4">
        <v>4</v>
      </c>
      <c r="AN1233" s="4">
        <v>0</v>
      </c>
      <c r="AO1233" s="4">
        <v>0</v>
      </c>
      <c r="AP1233" s="3" t="s">
        <v>58</v>
      </c>
      <c r="AQ1233" s="3" t="s">
        <v>58</v>
      </c>
      <c r="AS1233" s="6" t="str">
        <f>HYPERLINK("https://creighton-primo.hosted.exlibrisgroup.com/primo-explore/search?tab=default_tab&amp;search_scope=EVERYTHING&amp;vid=01CRU&amp;lang=en_US&amp;offset=0&amp;query=any,contains,991001863849702656","Catalog Record")</f>
        <v>Catalog Record</v>
      </c>
      <c r="AT1233" s="6" t="str">
        <f>HYPERLINK("http://www.worldcat.org/oclc/23436803","WorldCat Record")</f>
        <v>WorldCat Record</v>
      </c>
      <c r="AU1233" s="3" t="s">
        <v>15843</v>
      </c>
      <c r="AV1233" s="3" t="s">
        <v>15844</v>
      </c>
      <c r="AW1233" s="3" t="s">
        <v>15845</v>
      </c>
      <c r="AX1233" s="3" t="s">
        <v>15845</v>
      </c>
      <c r="AY1233" s="3" t="s">
        <v>15846</v>
      </c>
      <c r="AZ1233" s="3" t="s">
        <v>74</v>
      </c>
      <c r="BB1233" s="3" t="s">
        <v>15847</v>
      </c>
      <c r="BC1233" s="3" t="s">
        <v>15848</v>
      </c>
      <c r="BD1233" s="3" t="s">
        <v>15849</v>
      </c>
    </row>
    <row r="1234" spans="1:56" ht="42.75" customHeight="1" x14ac:dyDescent="0.25">
      <c r="A1234" s="7" t="s">
        <v>58</v>
      </c>
      <c r="B1234" s="2" t="s">
        <v>15850</v>
      </c>
      <c r="C1234" s="2" t="s">
        <v>15851</v>
      </c>
      <c r="D1234" s="2" t="s">
        <v>15852</v>
      </c>
      <c r="F1234" s="3" t="s">
        <v>58</v>
      </c>
      <c r="G1234" s="3" t="s">
        <v>59</v>
      </c>
      <c r="H1234" s="3" t="s">
        <v>58</v>
      </c>
      <c r="I1234" s="3" t="s">
        <v>58</v>
      </c>
      <c r="J1234" s="3" t="s">
        <v>60</v>
      </c>
      <c r="K1234" s="2" t="s">
        <v>15853</v>
      </c>
      <c r="L1234" s="2" t="s">
        <v>15854</v>
      </c>
      <c r="M1234" s="3" t="s">
        <v>695</v>
      </c>
      <c r="O1234" s="3" t="s">
        <v>64</v>
      </c>
      <c r="P1234" s="3" t="s">
        <v>83</v>
      </c>
      <c r="R1234" s="3" t="s">
        <v>67</v>
      </c>
      <c r="S1234" s="4">
        <v>10</v>
      </c>
      <c r="T1234" s="4">
        <v>10</v>
      </c>
      <c r="U1234" s="5" t="s">
        <v>15855</v>
      </c>
      <c r="V1234" s="5" t="s">
        <v>15855</v>
      </c>
      <c r="W1234" s="5" t="s">
        <v>7786</v>
      </c>
      <c r="X1234" s="5" t="s">
        <v>7786</v>
      </c>
      <c r="Y1234" s="4">
        <v>97</v>
      </c>
      <c r="Z1234" s="4">
        <v>86</v>
      </c>
      <c r="AA1234" s="4">
        <v>87</v>
      </c>
      <c r="AB1234" s="4">
        <v>1</v>
      </c>
      <c r="AC1234" s="4">
        <v>1</v>
      </c>
      <c r="AD1234" s="4">
        <v>4</v>
      </c>
      <c r="AE1234" s="4">
        <v>4</v>
      </c>
      <c r="AF1234" s="4">
        <v>1</v>
      </c>
      <c r="AG1234" s="4">
        <v>1</v>
      </c>
      <c r="AH1234" s="4">
        <v>1</v>
      </c>
      <c r="AI1234" s="4">
        <v>1</v>
      </c>
      <c r="AJ1234" s="4">
        <v>3</v>
      </c>
      <c r="AK1234" s="4">
        <v>3</v>
      </c>
      <c r="AL1234" s="4">
        <v>0</v>
      </c>
      <c r="AM1234" s="4">
        <v>0</v>
      </c>
      <c r="AN1234" s="4">
        <v>0</v>
      </c>
      <c r="AO1234" s="4">
        <v>0</v>
      </c>
      <c r="AP1234" s="3" t="s">
        <v>58</v>
      </c>
      <c r="AQ1234" s="3" t="s">
        <v>86</v>
      </c>
      <c r="AR1234" s="6" t="str">
        <f>HYPERLINK("http://catalog.hathitrust.org/Record/008161573","HathiTrust Record")</f>
        <v>HathiTrust Record</v>
      </c>
      <c r="AS1234" s="6" t="str">
        <f>HYPERLINK("https://creighton-primo.hosted.exlibrisgroup.com/primo-explore/search?tab=default_tab&amp;search_scope=EVERYTHING&amp;vid=01CRU&amp;lang=en_US&amp;offset=0&amp;query=any,contains,991002117009702656","Catalog Record")</f>
        <v>Catalog Record</v>
      </c>
      <c r="AT1234" s="6" t="str">
        <f>HYPERLINK("http://www.worldcat.org/oclc/27144033","WorldCat Record")</f>
        <v>WorldCat Record</v>
      </c>
      <c r="AU1234" s="3" t="s">
        <v>15856</v>
      </c>
      <c r="AV1234" s="3" t="s">
        <v>15857</v>
      </c>
      <c r="AW1234" s="3" t="s">
        <v>15858</v>
      </c>
      <c r="AX1234" s="3" t="s">
        <v>15858</v>
      </c>
      <c r="AY1234" s="3" t="s">
        <v>15859</v>
      </c>
      <c r="AZ1234" s="3" t="s">
        <v>74</v>
      </c>
      <c r="BB1234" s="3" t="s">
        <v>15860</v>
      </c>
      <c r="BC1234" s="3" t="s">
        <v>15861</v>
      </c>
      <c r="BD1234" s="3" t="s">
        <v>15862</v>
      </c>
    </row>
    <row r="1235" spans="1:56" ht="42.75" customHeight="1" x14ac:dyDescent="0.25">
      <c r="A1235" s="7" t="s">
        <v>58</v>
      </c>
      <c r="B1235" s="2" t="s">
        <v>15863</v>
      </c>
      <c r="C1235" s="2" t="s">
        <v>15864</v>
      </c>
      <c r="D1235" s="2" t="s">
        <v>15865</v>
      </c>
      <c r="F1235" s="3" t="s">
        <v>58</v>
      </c>
      <c r="G1235" s="3" t="s">
        <v>59</v>
      </c>
      <c r="H1235" s="3" t="s">
        <v>58</v>
      </c>
      <c r="I1235" s="3" t="s">
        <v>58</v>
      </c>
      <c r="J1235" s="3" t="s">
        <v>60</v>
      </c>
      <c r="K1235" s="2" t="s">
        <v>15866</v>
      </c>
      <c r="L1235" s="2" t="s">
        <v>15867</v>
      </c>
      <c r="M1235" s="3" t="s">
        <v>1181</v>
      </c>
      <c r="O1235" s="3" t="s">
        <v>64</v>
      </c>
      <c r="P1235" s="3" t="s">
        <v>208</v>
      </c>
      <c r="R1235" s="3" t="s">
        <v>67</v>
      </c>
      <c r="S1235" s="4">
        <v>5</v>
      </c>
      <c r="T1235" s="4">
        <v>5</v>
      </c>
      <c r="U1235" s="5" t="s">
        <v>15868</v>
      </c>
      <c r="V1235" s="5" t="s">
        <v>15868</v>
      </c>
      <c r="W1235" s="5" t="s">
        <v>15869</v>
      </c>
      <c r="X1235" s="5" t="s">
        <v>15869</v>
      </c>
      <c r="Y1235" s="4">
        <v>146</v>
      </c>
      <c r="Z1235" s="4">
        <v>104</v>
      </c>
      <c r="AA1235" s="4">
        <v>104</v>
      </c>
      <c r="AB1235" s="4">
        <v>1</v>
      </c>
      <c r="AC1235" s="4">
        <v>1</v>
      </c>
      <c r="AD1235" s="4">
        <v>2</v>
      </c>
      <c r="AE1235" s="4">
        <v>2</v>
      </c>
      <c r="AF1235" s="4">
        <v>0</v>
      </c>
      <c r="AG1235" s="4">
        <v>0</v>
      </c>
      <c r="AH1235" s="4">
        <v>0</v>
      </c>
      <c r="AI1235" s="4">
        <v>0</v>
      </c>
      <c r="AJ1235" s="4">
        <v>2</v>
      </c>
      <c r="AK1235" s="4">
        <v>2</v>
      </c>
      <c r="AL1235" s="4">
        <v>0</v>
      </c>
      <c r="AM1235" s="4">
        <v>0</v>
      </c>
      <c r="AN1235" s="4">
        <v>0</v>
      </c>
      <c r="AO1235" s="4">
        <v>0</v>
      </c>
      <c r="AP1235" s="3" t="s">
        <v>58</v>
      </c>
      <c r="AQ1235" s="3" t="s">
        <v>58</v>
      </c>
      <c r="AS1235" s="6" t="str">
        <f>HYPERLINK("https://creighton-primo.hosted.exlibrisgroup.com/primo-explore/search?tab=default_tab&amp;search_scope=EVERYTHING&amp;vid=01CRU&amp;lang=en_US&amp;offset=0&amp;query=any,contains,991004232759702656","Catalog Record")</f>
        <v>Catalog Record</v>
      </c>
      <c r="AT1235" s="6" t="str">
        <f>HYPERLINK("http://www.worldcat.org/oclc/51447387","WorldCat Record")</f>
        <v>WorldCat Record</v>
      </c>
      <c r="AU1235" s="3" t="s">
        <v>15870</v>
      </c>
      <c r="AV1235" s="3" t="s">
        <v>15871</v>
      </c>
      <c r="AW1235" s="3" t="s">
        <v>15872</v>
      </c>
      <c r="AX1235" s="3" t="s">
        <v>15872</v>
      </c>
      <c r="AY1235" s="3" t="s">
        <v>15873</v>
      </c>
      <c r="AZ1235" s="3" t="s">
        <v>74</v>
      </c>
      <c r="BB1235" s="3" t="s">
        <v>15874</v>
      </c>
      <c r="BC1235" s="3" t="s">
        <v>15875</v>
      </c>
      <c r="BD1235" s="3" t="s">
        <v>15876</v>
      </c>
    </row>
    <row r="1236" spans="1:56" ht="42.75" customHeight="1" x14ac:dyDescent="0.25">
      <c r="A1236" s="7" t="s">
        <v>58</v>
      </c>
      <c r="B1236" s="2" t="s">
        <v>15877</v>
      </c>
      <c r="C1236" s="2" t="s">
        <v>15878</v>
      </c>
      <c r="D1236" s="2" t="s">
        <v>15879</v>
      </c>
      <c r="F1236" s="3" t="s">
        <v>58</v>
      </c>
      <c r="G1236" s="3" t="s">
        <v>59</v>
      </c>
      <c r="H1236" s="3" t="s">
        <v>58</v>
      </c>
      <c r="I1236" s="3" t="s">
        <v>58</v>
      </c>
      <c r="J1236" s="3" t="s">
        <v>60</v>
      </c>
      <c r="L1236" s="2" t="s">
        <v>15880</v>
      </c>
      <c r="M1236" s="3" t="s">
        <v>82</v>
      </c>
      <c r="O1236" s="3" t="s">
        <v>64</v>
      </c>
      <c r="P1236" s="3" t="s">
        <v>1898</v>
      </c>
      <c r="Q1236" s="2" t="s">
        <v>15881</v>
      </c>
      <c r="R1236" s="3" t="s">
        <v>67</v>
      </c>
      <c r="S1236" s="4">
        <v>7</v>
      </c>
      <c r="T1236" s="4">
        <v>7</v>
      </c>
      <c r="U1236" s="5" t="s">
        <v>15882</v>
      </c>
      <c r="V1236" s="5" t="s">
        <v>15882</v>
      </c>
      <c r="W1236" s="5" t="s">
        <v>3515</v>
      </c>
      <c r="X1236" s="5" t="s">
        <v>3515</v>
      </c>
      <c r="Y1236" s="4">
        <v>203</v>
      </c>
      <c r="Z1236" s="4">
        <v>164</v>
      </c>
      <c r="AA1236" s="4">
        <v>171</v>
      </c>
      <c r="AB1236" s="4">
        <v>1</v>
      </c>
      <c r="AC1236" s="4">
        <v>1</v>
      </c>
      <c r="AD1236" s="4">
        <v>4</v>
      </c>
      <c r="AE1236" s="4">
        <v>4</v>
      </c>
      <c r="AF1236" s="4">
        <v>2</v>
      </c>
      <c r="AG1236" s="4">
        <v>2</v>
      </c>
      <c r="AH1236" s="4">
        <v>0</v>
      </c>
      <c r="AI1236" s="4">
        <v>0</v>
      </c>
      <c r="AJ1236" s="4">
        <v>4</v>
      </c>
      <c r="AK1236" s="4">
        <v>4</v>
      </c>
      <c r="AL1236" s="4">
        <v>0</v>
      </c>
      <c r="AM1236" s="4">
        <v>0</v>
      </c>
      <c r="AN1236" s="4">
        <v>0</v>
      </c>
      <c r="AO1236" s="4">
        <v>0</v>
      </c>
      <c r="AP1236" s="3" t="s">
        <v>58</v>
      </c>
      <c r="AQ1236" s="3" t="s">
        <v>86</v>
      </c>
      <c r="AR1236" s="6" t="str">
        <f>HYPERLINK("http://catalog.hathitrust.org/Record/000872405","HathiTrust Record")</f>
        <v>HathiTrust Record</v>
      </c>
      <c r="AS1236" s="6" t="str">
        <f>HYPERLINK("https://creighton-primo.hosted.exlibrisgroup.com/primo-explore/search?tab=default_tab&amp;search_scope=EVERYTHING&amp;vid=01CRU&amp;lang=en_US&amp;offset=0&amp;query=any,contains,991001042359702656","Catalog Record")</f>
        <v>Catalog Record</v>
      </c>
      <c r="AT1236" s="6" t="str">
        <f>HYPERLINK("http://www.worldcat.org/oclc/15591043","WorldCat Record")</f>
        <v>WorldCat Record</v>
      </c>
      <c r="AU1236" s="3" t="s">
        <v>15883</v>
      </c>
      <c r="AV1236" s="3" t="s">
        <v>15884</v>
      </c>
      <c r="AW1236" s="3" t="s">
        <v>15885</v>
      </c>
      <c r="AX1236" s="3" t="s">
        <v>15885</v>
      </c>
      <c r="AY1236" s="3" t="s">
        <v>15886</v>
      </c>
      <c r="AZ1236" s="3" t="s">
        <v>74</v>
      </c>
      <c r="BB1236" s="3" t="s">
        <v>15887</v>
      </c>
      <c r="BC1236" s="3" t="s">
        <v>15888</v>
      </c>
      <c r="BD1236" s="3" t="s">
        <v>15889</v>
      </c>
    </row>
    <row r="1237" spans="1:56" ht="42.75" customHeight="1" x14ac:dyDescent="0.25">
      <c r="A1237" s="7" t="s">
        <v>58</v>
      </c>
      <c r="B1237" s="2" t="s">
        <v>15890</v>
      </c>
      <c r="C1237" s="2" t="s">
        <v>15891</v>
      </c>
      <c r="D1237" s="2" t="s">
        <v>15892</v>
      </c>
      <c r="F1237" s="3" t="s">
        <v>58</v>
      </c>
      <c r="G1237" s="3" t="s">
        <v>59</v>
      </c>
      <c r="H1237" s="3" t="s">
        <v>58</v>
      </c>
      <c r="I1237" s="3" t="s">
        <v>58</v>
      </c>
      <c r="J1237" s="3" t="s">
        <v>60</v>
      </c>
      <c r="K1237" s="2" t="s">
        <v>15893</v>
      </c>
      <c r="L1237" s="2" t="s">
        <v>8143</v>
      </c>
      <c r="M1237" s="3" t="s">
        <v>996</v>
      </c>
      <c r="O1237" s="3" t="s">
        <v>64</v>
      </c>
      <c r="P1237" s="3" t="s">
        <v>115</v>
      </c>
      <c r="Q1237" s="2" t="s">
        <v>6131</v>
      </c>
      <c r="R1237" s="3" t="s">
        <v>67</v>
      </c>
      <c r="S1237" s="4">
        <v>7</v>
      </c>
      <c r="T1237" s="4">
        <v>7</v>
      </c>
      <c r="U1237" s="5" t="s">
        <v>15894</v>
      </c>
      <c r="V1237" s="5" t="s">
        <v>15894</v>
      </c>
      <c r="W1237" s="5" t="s">
        <v>15895</v>
      </c>
      <c r="X1237" s="5" t="s">
        <v>15895</v>
      </c>
      <c r="Y1237" s="4">
        <v>641</v>
      </c>
      <c r="Z1237" s="4">
        <v>564</v>
      </c>
      <c r="AA1237" s="4">
        <v>578</v>
      </c>
      <c r="AB1237" s="4">
        <v>5</v>
      </c>
      <c r="AC1237" s="4">
        <v>5</v>
      </c>
      <c r="AD1237" s="4">
        <v>25</v>
      </c>
      <c r="AE1237" s="4">
        <v>25</v>
      </c>
      <c r="AF1237" s="4">
        <v>11</v>
      </c>
      <c r="AG1237" s="4">
        <v>11</v>
      </c>
      <c r="AH1237" s="4">
        <v>5</v>
      </c>
      <c r="AI1237" s="4">
        <v>5</v>
      </c>
      <c r="AJ1237" s="4">
        <v>13</v>
      </c>
      <c r="AK1237" s="4">
        <v>13</v>
      </c>
      <c r="AL1237" s="4">
        <v>3</v>
      </c>
      <c r="AM1237" s="4">
        <v>3</v>
      </c>
      <c r="AN1237" s="4">
        <v>0</v>
      </c>
      <c r="AO1237" s="4">
        <v>0</v>
      </c>
      <c r="AP1237" s="3" t="s">
        <v>58</v>
      </c>
      <c r="AQ1237" s="3" t="s">
        <v>58</v>
      </c>
      <c r="AS1237" s="6" t="str">
        <f>HYPERLINK("https://creighton-primo.hosted.exlibrisgroup.com/primo-explore/search?tab=default_tab&amp;search_scope=EVERYTHING&amp;vid=01CRU&amp;lang=en_US&amp;offset=0&amp;query=any,contains,991003491349702656","Catalog Record")</f>
        <v>Catalog Record</v>
      </c>
      <c r="AT1237" s="6" t="str">
        <f>HYPERLINK("http://www.worldcat.org/oclc/43641165","WorldCat Record")</f>
        <v>WorldCat Record</v>
      </c>
      <c r="AU1237" s="3" t="s">
        <v>15896</v>
      </c>
      <c r="AV1237" s="3" t="s">
        <v>15897</v>
      </c>
      <c r="AW1237" s="3" t="s">
        <v>15898</v>
      </c>
      <c r="AX1237" s="3" t="s">
        <v>15898</v>
      </c>
      <c r="AY1237" s="3" t="s">
        <v>15899</v>
      </c>
      <c r="AZ1237" s="3" t="s">
        <v>74</v>
      </c>
      <c r="BB1237" s="3" t="s">
        <v>15900</v>
      </c>
      <c r="BC1237" s="3" t="s">
        <v>15901</v>
      </c>
      <c r="BD1237" s="3" t="s">
        <v>15902</v>
      </c>
    </row>
    <row r="1238" spans="1:56" ht="42.75" customHeight="1" x14ac:dyDescent="0.25">
      <c r="A1238" s="7" t="s">
        <v>58</v>
      </c>
      <c r="B1238" s="2" t="s">
        <v>15903</v>
      </c>
      <c r="C1238" s="2" t="s">
        <v>15904</v>
      </c>
      <c r="D1238" s="2" t="s">
        <v>15905</v>
      </c>
      <c r="F1238" s="3" t="s">
        <v>58</v>
      </c>
      <c r="G1238" s="3" t="s">
        <v>59</v>
      </c>
      <c r="H1238" s="3" t="s">
        <v>58</v>
      </c>
      <c r="I1238" s="3" t="s">
        <v>58</v>
      </c>
      <c r="J1238" s="3" t="s">
        <v>60</v>
      </c>
      <c r="L1238" s="2" t="s">
        <v>15906</v>
      </c>
      <c r="M1238" s="3" t="s">
        <v>1141</v>
      </c>
      <c r="N1238" s="2" t="s">
        <v>1736</v>
      </c>
      <c r="O1238" s="3" t="s">
        <v>64</v>
      </c>
      <c r="P1238" s="3" t="s">
        <v>145</v>
      </c>
      <c r="R1238" s="3" t="s">
        <v>67</v>
      </c>
      <c r="S1238" s="4">
        <v>4</v>
      </c>
      <c r="T1238" s="4">
        <v>4</v>
      </c>
      <c r="U1238" s="5" t="s">
        <v>15907</v>
      </c>
      <c r="V1238" s="5" t="s">
        <v>15907</v>
      </c>
      <c r="W1238" s="5" t="s">
        <v>15908</v>
      </c>
      <c r="X1238" s="5" t="s">
        <v>15908</v>
      </c>
      <c r="Y1238" s="4">
        <v>292</v>
      </c>
      <c r="Z1238" s="4">
        <v>238</v>
      </c>
      <c r="AA1238" s="4">
        <v>317</v>
      </c>
      <c r="AB1238" s="4">
        <v>3</v>
      </c>
      <c r="AC1238" s="4">
        <v>4</v>
      </c>
      <c r="AD1238" s="4">
        <v>10</v>
      </c>
      <c r="AE1238" s="4">
        <v>17</v>
      </c>
      <c r="AF1238" s="4">
        <v>2</v>
      </c>
      <c r="AG1238" s="4">
        <v>4</v>
      </c>
      <c r="AH1238" s="4">
        <v>3</v>
      </c>
      <c r="AI1238" s="4">
        <v>3</v>
      </c>
      <c r="AJ1238" s="4">
        <v>5</v>
      </c>
      <c r="AK1238" s="4">
        <v>9</v>
      </c>
      <c r="AL1238" s="4">
        <v>2</v>
      </c>
      <c r="AM1238" s="4">
        <v>3</v>
      </c>
      <c r="AN1238" s="4">
        <v>0</v>
      </c>
      <c r="AO1238" s="4">
        <v>0</v>
      </c>
      <c r="AP1238" s="3" t="s">
        <v>58</v>
      </c>
      <c r="AQ1238" s="3" t="s">
        <v>58</v>
      </c>
      <c r="AS1238" s="6" t="str">
        <f>HYPERLINK("https://creighton-primo.hosted.exlibrisgroup.com/primo-explore/search?tab=default_tab&amp;search_scope=EVERYTHING&amp;vid=01CRU&amp;lang=en_US&amp;offset=0&amp;query=any,contains,991004238339702656","Catalog Record")</f>
        <v>Catalog Record</v>
      </c>
      <c r="AT1238" s="6" t="str">
        <f>HYPERLINK("http://www.worldcat.org/oclc/50554162","WorldCat Record")</f>
        <v>WorldCat Record</v>
      </c>
      <c r="AU1238" s="3" t="s">
        <v>15909</v>
      </c>
      <c r="AV1238" s="3" t="s">
        <v>15910</v>
      </c>
      <c r="AW1238" s="3" t="s">
        <v>15911</v>
      </c>
      <c r="AX1238" s="3" t="s">
        <v>15911</v>
      </c>
      <c r="AY1238" s="3" t="s">
        <v>15912</v>
      </c>
      <c r="AZ1238" s="3" t="s">
        <v>74</v>
      </c>
      <c r="BB1238" s="3" t="s">
        <v>15913</v>
      </c>
      <c r="BC1238" s="3" t="s">
        <v>15914</v>
      </c>
      <c r="BD1238" s="3" t="s">
        <v>15915</v>
      </c>
    </row>
    <row r="1239" spans="1:56" ht="42.75" customHeight="1" x14ac:dyDescent="0.25">
      <c r="A1239" s="7" t="s">
        <v>58</v>
      </c>
      <c r="B1239" s="2" t="s">
        <v>15916</v>
      </c>
      <c r="C1239" s="2" t="s">
        <v>15917</v>
      </c>
      <c r="D1239" s="2" t="s">
        <v>15918</v>
      </c>
      <c r="F1239" s="3" t="s">
        <v>58</v>
      </c>
      <c r="G1239" s="3" t="s">
        <v>59</v>
      </c>
      <c r="H1239" s="3" t="s">
        <v>58</v>
      </c>
      <c r="I1239" s="3" t="s">
        <v>58</v>
      </c>
      <c r="J1239" s="3" t="s">
        <v>60</v>
      </c>
      <c r="L1239" s="2" t="s">
        <v>11201</v>
      </c>
      <c r="M1239" s="3" t="s">
        <v>344</v>
      </c>
      <c r="O1239" s="3" t="s">
        <v>64</v>
      </c>
      <c r="P1239" s="3" t="s">
        <v>115</v>
      </c>
      <c r="R1239" s="3" t="s">
        <v>67</v>
      </c>
      <c r="S1239" s="4">
        <v>5</v>
      </c>
      <c r="T1239" s="4">
        <v>5</v>
      </c>
      <c r="U1239" s="5" t="s">
        <v>15919</v>
      </c>
      <c r="V1239" s="5" t="s">
        <v>15919</v>
      </c>
      <c r="W1239" s="5" t="s">
        <v>4730</v>
      </c>
      <c r="X1239" s="5" t="s">
        <v>4730</v>
      </c>
      <c r="Y1239" s="4">
        <v>286</v>
      </c>
      <c r="Z1239" s="4">
        <v>226</v>
      </c>
      <c r="AA1239" s="4">
        <v>233</v>
      </c>
      <c r="AB1239" s="4">
        <v>2</v>
      </c>
      <c r="AC1239" s="4">
        <v>2</v>
      </c>
      <c r="AD1239" s="4">
        <v>8</v>
      </c>
      <c r="AE1239" s="4">
        <v>8</v>
      </c>
      <c r="AF1239" s="4">
        <v>2</v>
      </c>
      <c r="AG1239" s="4">
        <v>2</v>
      </c>
      <c r="AH1239" s="4">
        <v>1</v>
      </c>
      <c r="AI1239" s="4">
        <v>1</v>
      </c>
      <c r="AJ1239" s="4">
        <v>5</v>
      </c>
      <c r="AK1239" s="4">
        <v>5</v>
      </c>
      <c r="AL1239" s="4">
        <v>1</v>
      </c>
      <c r="AM1239" s="4">
        <v>1</v>
      </c>
      <c r="AN1239" s="4">
        <v>0</v>
      </c>
      <c r="AO1239" s="4">
        <v>0</v>
      </c>
      <c r="AP1239" s="3" t="s">
        <v>58</v>
      </c>
      <c r="AQ1239" s="3" t="s">
        <v>86</v>
      </c>
      <c r="AR1239" s="6" t="str">
        <f>HYPERLINK("http://catalog.hathitrust.org/Record/000735850","HathiTrust Record")</f>
        <v>HathiTrust Record</v>
      </c>
      <c r="AS1239" s="6" t="str">
        <f>HYPERLINK("https://creighton-primo.hosted.exlibrisgroup.com/primo-explore/search?tab=default_tab&amp;search_scope=EVERYTHING&amp;vid=01CRU&amp;lang=en_US&amp;offset=0&amp;query=any,contains,991004801209702656","Catalog Record")</f>
        <v>Catalog Record</v>
      </c>
      <c r="AT1239" s="6" t="str">
        <f>HYPERLINK("http://www.worldcat.org/oclc/5219064","WorldCat Record")</f>
        <v>WorldCat Record</v>
      </c>
      <c r="AU1239" s="3" t="s">
        <v>15920</v>
      </c>
      <c r="AV1239" s="3" t="s">
        <v>15921</v>
      </c>
      <c r="AW1239" s="3" t="s">
        <v>15922</v>
      </c>
      <c r="AX1239" s="3" t="s">
        <v>15922</v>
      </c>
      <c r="AY1239" s="3" t="s">
        <v>15923</v>
      </c>
      <c r="AZ1239" s="3" t="s">
        <v>74</v>
      </c>
      <c r="BB1239" s="3" t="s">
        <v>15924</v>
      </c>
      <c r="BC1239" s="3" t="s">
        <v>15925</v>
      </c>
      <c r="BD1239" s="3" t="s">
        <v>15926</v>
      </c>
    </row>
    <row r="1240" spans="1:56" ht="42.75" customHeight="1" x14ac:dyDescent="0.25">
      <c r="A1240" s="7" t="s">
        <v>58</v>
      </c>
      <c r="B1240" s="2" t="s">
        <v>15927</v>
      </c>
      <c r="C1240" s="2" t="s">
        <v>15928</v>
      </c>
      <c r="D1240" s="2" t="s">
        <v>15929</v>
      </c>
      <c r="F1240" s="3" t="s">
        <v>58</v>
      </c>
      <c r="G1240" s="3" t="s">
        <v>59</v>
      </c>
      <c r="H1240" s="3" t="s">
        <v>58</v>
      </c>
      <c r="I1240" s="3" t="s">
        <v>58</v>
      </c>
      <c r="J1240" s="3" t="s">
        <v>60</v>
      </c>
      <c r="L1240" s="2" t="s">
        <v>8623</v>
      </c>
      <c r="M1240" s="3" t="s">
        <v>344</v>
      </c>
      <c r="O1240" s="3" t="s">
        <v>64</v>
      </c>
      <c r="P1240" s="3" t="s">
        <v>65</v>
      </c>
      <c r="R1240" s="3" t="s">
        <v>67</v>
      </c>
      <c r="S1240" s="4">
        <v>8</v>
      </c>
      <c r="T1240" s="4">
        <v>8</v>
      </c>
      <c r="U1240" s="5" t="s">
        <v>15930</v>
      </c>
      <c r="V1240" s="5" t="s">
        <v>15930</v>
      </c>
      <c r="W1240" s="5" t="s">
        <v>15931</v>
      </c>
      <c r="X1240" s="5" t="s">
        <v>15931</v>
      </c>
      <c r="Y1240" s="4">
        <v>220</v>
      </c>
      <c r="Z1240" s="4">
        <v>178</v>
      </c>
      <c r="AA1240" s="4">
        <v>236</v>
      </c>
      <c r="AB1240" s="4">
        <v>2</v>
      </c>
      <c r="AC1240" s="4">
        <v>2</v>
      </c>
      <c r="AD1240" s="4">
        <v>8</v>
      </c>
      <c r="AE1240" s="4">
        <v>11</v>
      </c>
      <c r="AF1240" s="4">
        <v>3</v>
      </c>
      <c r="AG1240" s="4">
        <v>5</v>
      </c>
      <c r="AH1240" s="4">
        <v>1</v>
      </c>
      <c r="AI1240" s="4">
        <v>3</v>
      </c>
      <c r="AJ1240" s="4">
        <v>5</v>
      </c>
      <c r="AK1240" s="4">
        <v>5</v>
      </c>
      <c r="AL1240" s="4">
        <v>1</v>
      </c>
      <c r="AM1240" s="4">
        <v>1</v>
      </c>
      <c r="AN1240" s="4">
        <v>0</v>
      </c>
      <c r="AO1240" s="4">
        <v>0</v>
      </c>
      <c r="AP1240" s="3" t="s">
        <v>58</v>
      </c>
      <c r="AQ1240" s="3" t="s">
        <v>58</v>
      </c>
      <c r="AS1240" s="6" t="str">
        <f>HYPERLINK("https://creighton-primo.hosted.exlibrisgroup.com/primo-explore/search?tab=default_tab&amp;search_scope=EVERYTHING&amp;vid=01CRU&amp;lang=en_US&amp;offset=0&amp;query=any,contains,991004824939702656","Catalog Record")</f>
        <v>Catalog Record</v>
      </c>
      <c r="AT1240" s="6" t="str">
        <f>HYPERLINK("http://www.worldcat.org/oclc/5353116","WorldCat Record")</f>
        <v>WorldCat Record</v>
      </c>
      <c r="AU1240" s="3" t="s">
        <v>15932</v>
      </c>
      <c r="AV1240" s="3" t="s">
        <v>15933</v>
      </c>
      <c r="AW1240" s="3" t="s">
        <v>15934</v>
      </c>
      <c r="AX1240" s="3" t="s">
        <v>15934</v>
      </c>
      <c r="AY1240" s="3" t="s">
        <v>15935</v>
      </c>
      <c r="AZ1240" s="3" t="s">
        <v>74</v>
      </c>
      <c r="BB1240" s="3" t="s">
        <v>15936</v>
      </c>
      <c r="BC1240" s="3" t="s">
        <v>15937</v>
      </c>
      <c r="BD1240" s="3" t="s">
        <v>15938</v>
      </c>
    </row>
    <row r="1241" spans="1:56" ht="42.75" customHeight="1" x14ac:dyDescent="0.25">
      <c r="A1241" s="7" t="s">
        <v>58</v>
      </c>
      <c r="B1241" s="2" t="s">
        <v>15939</v>
      </c>
      <c r="C1241" s="2" t="s">
        <v>15940</v>
      </c>
      <c r="D1241" s="2" t="s">
        <v>15941</v>
      </c>
      <c r="F1241" s="3" t="s">
        <v>58</v>
      </c>
      <c r="G1241" s="3" t="s">
        <v>59</v>
      </c>
      <c r="H1241" s="3" t="s">
        <v>58</v>
      </c>
      <c r="I1241" s="3" t="s">
        <v>58</v>
      </c>
      <c r="J1241" s="3" t="s">
        <v>60</v>
      </c>
      <c r="L1241" s="2" t="s">
        <v>15942</v>
      </c>
      <c r="M1241" s="3" t="s">
        <v>63</v>
      </c>
      <c r="O1241" s="3" t="s">
        <v>64</v>
      </c>
      <c r="P1241" s="3" t="s">
        <v>115</v>
      </c>
      <c r="R1241" s="3" t="s">
        <v>67</v>
      </c>
      <c r="S1241" s="4">
        <v>8</v>
      </c>
      <c r="T1241" s="4">
        <v>8</v>
      </c>
      <c r="U1241" s="5" t="s">
        <v>10910</v>
      </c>
      <c r="V1241" s="5" t="s">
        <v>10910</v>
      </c>
      <c r="W1241" s="5" t="s">
        <v>3457</v>
      </c>
      <c r="X1241" s="5" t="s">
        <v>3457</v>
      </c>
      <c r="Y1241" s="4">
        <v>120</v>
      </c>
      <c r="Z1241" s="4">
        <v>103</v>
      </c>
      <c r="AA1241" s="4">
        <v>108</v>
      </c>
      <c r="AB1241" s="4">
        <v>1</v>
      </c>
      <c r="AC1241" s="4">
        <v>1</v>
      </c>
      <c r="AD1241" s="4">
        <v>3</v>
      </c>
      <c r="AE1241" s="4">
        <v>3</v>
      </c>
      <c r="AF1241" s="4">
        <v>0</v>
      </c>
      <c r="AG1241" s="4">
        <v>0</v>
      </c>
      <c r="AH1241" s="4">
        <v>2</v>
      </c>
      <c r="AI1241" s="4">
        <v>2</v>
      </c>
      <c r="AJ1241" s="4">
        <v>2</v>
      </c>
      <c r="AK1241" s="4">
        <v>2</v>
      </c>
      <c r="AL1241" s="4">
        <v>0</v>
      </c>
      <c r="AM1241" s="4">
        <v>0</v>
      </c>
      <c r="AN1241" s="4">
        <v>0</v>
      </c>
      <c r="AO1241" s="4">
        <v>0</v>
      </c>
      <c r="AP1241" s="3" t="s">
        <v>58</v>
      </c>
      <c r="AQ1241" s="3" t="s">
        <v>58</v>
      </c>
      <c r="AS1241" s="6" t="str">
        <f>HYPERLINK("https://creighton-primo.hosted.exlibrisgroup.com/primo-explore/search?tab=default_tab&amp;search_scope=EVERYTHING&amp;vid=01CRU&amp;lang=en_US&amp;offset=0&amp;query=any,contains,991000095689702656","Catalog Record")</f>
        <v>Catalog Record</v>
      </c>
      <c r="AT1241" s="6" t="str">
        <f>HYPERLINK("http://www.worldcat.org/oclc/8928609","WorldCat Record")</f>
        <v>WorldCat Record</v>
      </c>
      <c r="AU1241" s="3" t="s">
        <v>15943</v>
      </c>
      <c r="AV1241" s="3" t="s">
        <v>15944</v>
      </c>
      <c r="AW1241" s="3" t="s">
        <v>15945</v>
      </c>
      <c r="AX1241" s="3" t="s">
        <v>15945</v>
      </c>
      <c r="AY1241" s="3" t="s">
        <v>15946</v>
      </c>
      <c r="AZ1241" s="3" t="s">
        <v>74</v>
      </c>
      <c r="BB1241" s="3" t="s">
        <v>15947</v>
      </c>
      <c r="BC1241" s="3" t="s">
        <v>15948</v>
      </c>
      <c r="BD1241" s="3" t="s">
        <v>15949</v>
      </c>
    </row>
    <row r="1242" spans="1:56" ht="42.75" customHeight="1" x14ac:dyDescent="0.25">
      <c r="A1242" s="7" t="s">
        <v>58</v>
      </c>
      <c r="B1242" s="2" t="s">
        <v>15950</v>
      </c>
      <c r="C1242" s="2" t="s">
        <v>15951</v>
      </c>
      <c r="D1242" s="2" t="s">
        <v>15952</v>
      </c>
      <c r="F1242" s="3" t="s">
        <v>58</v>
      </c>
      <c r="G1242" s="3" t="s">
        <v>59</v>
      </c>
      <c r="H1242" s="3" t="s">
        <v>58</v>
      </c>
      <c r="I1242" s="3" t="s">
        <v>58</v>
      </c>
      <c r="J1242" s="3" t="s">
        <v>60</v>
      </c>
      <c r="K1242" s="2" t="s">
        <v>13809</v>
      </c>
      <c r="L1242" s="2" t="s">
        <v>15953</v>
      </c>
      <c r="M1242" s="3" t="s">
        <v>98</v>
      </c>
      <c r="N1242" s="2" t="s">
        <v>1613</v>
      </c>
      <c r="O1242" s="3" t="s">
        <v>64</v>
      </c>
      <c r="P1242" s="3" t="s">
        <v>145</v>
      </c>
      <c r="R1242" s="3" t="s">
        <v>67</v>
      </c>
      <c r="S1242" s="4">
        <v>12</v>
      </c>
      <c r="T1242" s="4">
        <v>12</v>
      </c>
      <c r="U1242" s="5" t="s">
        <v>8858</v>
      </c>
      <c r="V1242" s="5" t="s">
        <v>8858</v>
      </c>
      <c r="W1242" s="5" t="s">
        <v>15954</v>
      </c>
      <c r="X1242" s="5" t="s">
        <v>15954</v>
      </c>
      <c r="Y1242" s="4">
        <v>39</v>
      </c>
      <c r="Z1242" s="4">
        <v>39</v>
      </c>
      <c r="AA1242" s="4">
        <v>257</v>
      </c>
      <c r="AB1242" s="4">
        <v>1</v>
      </c>
      <c r="AC1242" s="4">
        <v>2</v>
      </c>
      <c r="AD1242" s="4">
        <v>1</v>
      </c>
      <c r="AE1242" s="4">
        <v>2</v>
      </c>
      <c r="AF1242" s="4">
        <v>1</v>
      </c>
      <c r="AG1242" s="4">
        <v>1</v>
      </c>
      <c r="AH1242" s="4">
        <v>0</v>
      </c>
      <c r="AI1242" s="4">
        <v>1</v>
      </c>
      <c r="AJ1242" s="4">
        <v>0</v>
      </c>
      <c r="AK1242" s="4">
        <v>0</v>
      </c>
      <c r="AL1242" s="4">
        <v>0</v>
      </c>
      <c r="AM1242" s="4">
        <v>0</v>
      </c>
      <c r="AN1242" s="4">
        <v>0</v>
      </c>
      <c r="AO1242" s="4">
        <v>0</v>
      </c>
      <c r="AP1242" s="3" t="s">
        <v>58</v>
      </c>
      <c r="AQ1242" s="3" t="s">
        <v>58</v>
      </c>
      <c r="AS1242" s="6" t="str">
        <f>HYPERLINK("https://creighton-primo.hosted.exlibrisgroup.com/primo-explore/search?tab=default_tab&amp;search_scope=EVERYTHING&amp;vid=01CRU&amp;lang=en_US&amp;offset=0&amp;query=any,contains,991001681529702656","Catalog Record")</f>
        <v>Catalog Record</v>
      </c>
      <c r="AT1242" s="6" t="str">
        <f>HYPERLINK("http://www.worldcat.org/oclc/21354558","WorldCat Record")</f>
        <v>WorldCat Record</v>
      </c>
      <c r="AU1242" s="3" t="s">
        <v>15955</v>
      </c>
      <c r="AV1242" s="3" t="s">
        <v>15956</v>
      </c>
      <c r="AW1242" s="3" t="s">
        <v>15957</v>
      </c>
      <c r="AX1242" s="3" t="s">
        <v>15957</v>
      </c>
      <c r="AY1242" s="3" t="s">
        <v>15958</v>
      </c>
      <c r="AZ1242" s="3" t="s">
        <v>74</v>
      </c>
      <c r="BB1242" s="3" t="s">
        <v>15959</v>
      </c>
      <c r="BC1242" s="3" t="s">
        <v>15960</v>
      </c>
      <c r="BD1242" s="3" t="s">
        <v>15961</v>
      </c>
    </row>
    <row r="1243" spans="1:56" ht="42.75" customHeight="1" x14ac:dyDescent="0.25">
      <c r="A1243" s="7" t="s">
        <v>58</v>
      </c>
      <c r="B1243" s="2" t="s">
        <v>15962</v>
      </c>
      <c r="C1243" s="2" t="s">
        <v>15963</v>
      </c>
      <c r="D1243" s="2" t="s">
        <v>15964</v>
      </c>
      <c r="F1243" s="3" t="s">
        <v>58</v>
      </c>
      <c r="G1243" s="3" t="s">
        <v>59</v>
      </c>
      <c r="H1243" s="3" t="s">
        <v>58</v>
      </c>
      <c r="I1243" s="3" t="s">
        <v>58</v>
      </c>
      <c r="J1243" s="3" t="s">
        <v>60</v>
      </c>
      <c r="K1243" s="2" t="s">
        <v>15965</v>
      </c>
      <c r="L1243" s="2" t="s">
        <v>15966</v>
      </c>
      <c r="M1243" s="3" t="s">
        <v>4218</v>
      </c>
      <c r="O1243" s="3" t="s">
        <v>64</v>
      </c>
      <c r="P1243" s="3" t="s">
        <v>65</v>
      </c>
      <c r="R1243" s="3" t="s">
        <v>67</v>
      </c>
      <c r="S1243" s="4">
        <v>2</v>
      </c>
      <c r="T1243" s="4">
        <v>2</v>
      </c>
      <c r="U1243" s="5" t="s">
        <v>2697</v>
      </c>
      <c r="V1243" s="5" t="s">
        <v>2697</v>
      </c>
      <c r="W1243" s="5" t="s">
        <v>165</v>
      </c>
      <c r="X1243" s="5" t="s">
        <v>165</v>
      </c>
      <c r="Y1243" s="4">
        <v>215</v>
      </c>
      <c r="Z1243" s="4">
        <v>149</v>
      </c>
      <c r="AA1243" s="4">
        <v>182</v>
      </c>
      <c r="AB1243" s="4">
        <v>2</v>
      </c>
      <c r="AC1243" s="4">
        <v>2</v>
      </c>
      <c r="AD1243" s="4">
        <v>11</v>
      </c>
      <c r="AE1243" s="4">
        <v>11</v>
      </c>
      <c r="AF1243" s="4">
        <v>3</v>
      </c>
      <c r="AG1243" s="4">
        <v>3</v>
      </c>
      <c r="AH1243" s="4">
        <v>2</v>
      </c>
      <c r="AI1243" s="4">
        <v>2</v>
      </c>
      <c r="AJ1243" s="4">
        <v>8</v>
      </c>
      <c r="AK1243" s="4">
        <v>8</v>
      </c>
      <c r="AL1243" s="4">
        <v>1</v>
      </c>
      <c r="AM1243" s="4">
        <v>1</v>
      </c>
      <c r="AN1243" s="4">
        <v>0</v>
      </c>
      <c r="AO1243" s="4">
        <v>0</v>
      </c>
      <c r="AP1243" s="3" t="s">
        <v>58</v>
      </c>
      <c r="AQ1243" s="3" t="s">
        <v>86</v>
      </c>
      <c r="AR1243" s="6" t="str">
        <f>HYPERLINK("http://catalog.hathitrust.org/Record/001565225","HathiTrust Record")</f>
        <v>HathiTrust Record</v>
      </c>
      <c r="AS1243" s="6" t="str">
        <f>HYPERLINK("https://creighton-primo.hosted.exlibrisgroup.com/primo-explore/search?tab=default_tab&amp;search_scope=EVERYTHING&amp;vid=01CRU&amp;lang=en_US&amp;offset=0&amp;query=any,contains,991003614169702656","Catalog Record")</f>
        <v>Catalog Record</v>
      </c>
      <c r="AT1243" s="6" t="str">
        <f>HYPERLINK("http://www.worldcat.org/oclc/1196791","WorldCat Record")</f>
        <v>WorldCat Record</v>
      </c>
      <c r="AU1243" s="3" t="s">
        <v>15967</v>
      </c>
      <c r="AV1243" s="3" t="s">
        <v>15968</v>
      </c>
      <c r="AW1243" s="3" t="s">
        <v>15969</v>
      </c>
      <c r="AX1243" s="3" t="s">
        <v>15969</v>
      </c>
      <c r="AY1243" s="3" t="s">
        <v>15970</v>
      </c>
      <c r="AZ1243" s="3" t="s">
        <v>74</v>
      </c>
      <c r="BC1243" s="3" t="s">
        <v>15971</v>
      </c>
      <c r="BD1243" s="3" t="s">
        <v>15972</v>
      </c>
    </row>
    <row r="1244" spans="1:56" ht="42.75" customHeight="1" x14ac:dyDescent="0.25">
      <c r="A1244" s="7" t="s">
        <v>58</v>
      </c>
      <c r="B1244" s="2" t="s">
        <v>15973</v>
      </c>
      <c r="C1244" s="2" t="s">
        <v>15974</v>
      </c>
      <c r="D1244" s="2" t="s">
        <v>15975</v>
      </c>
      <c r="F1244" s="3" t="s">
        <v>58</v>
      </c>
      <c r="G1244" s="3" t="s">
        <v>59</v>
      </c>
      <c r="H1244" s="3" t="s">
        <v>58</v>
      </c>
      <c r="I1244" s="3" t="s">
        <v>58</v>
      </c>
      <c r="J1244" s="3" t="s">
        <v>60</v>
      </c>
      <c r="K1244" s="2" t="s">
        <v>15976</v>
      </c>
      <c r="L1244" s="2" t="s">
        <v>15977</v>
      </c>
      <c r="M1244" s="3" t="s">
        <v>805</v>
      </c>
      <c r="O1244" s="3" t="s">
        <v>64</v>
      </c>
      <c r="P1244" s="3" t="s">
        <v>3163</v>
      </c>
      <c r="R1244" s="3" t="s">
        <v>67</v>
      </c>
      <c r="S1244" s="4">
        <v>5</v>
      </c>
      <c r="T1244" s="4">
        <v>5</v>
      </c>
      <c r="U1244" s="5" t="s">
        <v>15978</v>
      </c>
      <c r="V1244" s="5" t="s">
        <v>15978</v>
      </c>
      <c r="W1244" s="5" t="s">
        <v>13409</v>
      </c>
      <c r="X1244" s="5" t="s">
        <v>13409</v>
      </c>
      <c r="Y1244" s="4">
        <v>376</v>
      </c>
      <c r="Z1244" s="4">
        <v>353</v>
      </c>
      <c r="AA1244" s="4">
        <v>907</v>
      </c>
      <c r="AB1244" s="4">
        <v>2</v>
      </c>
      <c r="AC1244" s="4">
        <v>8</v>
      </c>
      <c r="AD1244" s="4">
        <v>2</v>
      </c>
      <c r="AE1244" s="4">
        <v>5</v>
      </c>
      <c r="AF1244" s="4">
        <v>2</v>
      </c>
      <c r="AG1244" s="4">
        <v>3</v>
      </c>
      <c r="AH1244" s="4">
        <v>0</v>
      </c>
      <c r="AI1244" s="4">
        <v>0</v>
      </c>
      <c r="AJ1244" s="4">
        <v>1</v>
      </c>
      <c r="AK1244" s="4">
        <v>2</v>
      </c>
      <c r="AL1244" s="4">
        <v>0</v>
      </c>
      <c r="AM1244" s="4">
        <v>1</v>
      </c>
      <c r="AN1244" s="4">
        <v>0</v>
      </c>
      <c r="AO1244" s="4">
        <v>0</v>
      </c>
      <c r="AP1244" s="3" t="s">
        <v>58</v>
      </c>
      <c r="AQ1244" s="3" t="s">
        <v>58</v>
      </c>
      <c r="AS1244" s="6" t="str">
        <f>HYPERLINK("https://creighton-primo.hosted.exlibrisgroup.com/primo-explore/search?tab=default_tab&amp;search_scope=EVERYTHING&amp;vid=01CRU&amp;lang=en_US&amp;offset=0&amp;query=any,contains,991002623589702656","Catalog Record")</f>
        <v>Catalog Record</v>
      </c>
      <c r="AT1244" s="6" t="str">
        <f>HYPERLINK("http://www.worldcat.org/oclc/34372385","WorldCat Record")</f>
        <v>WorldCat Record</v>
      </c>
      <c r="AU1244" s="3" t="s">
        <v>15979</v>
      </c>
      <c r="AV1244" s="3" t="s">
        <v>15980</v>
      </c>
      <c r="AW1244" s="3" t="s">
        <v>15981</v>
      </c>
      <c r="AX1244" s="3" t="s">
        <v>15981</v>
      </c>
      <c r="AY1244" s="3" t="s">
        <v>15982</v>
      </c>
      <c r="AZ1244" s="3" t="s">
        <v>74</v>
      </c>
      <c r="BB1244" s="3" t="s">
        <v>15983</v>
      </c>
      <c r="BC1244" s="3" t="s">
        <v>15984</v>
      </c>
      <c r="BD1244" s="3" t="s">
        <v>15985</v>
      </c>
    </row>
    <row r="1245" spans="1:56" ht="42.75" customHeight="1" x14ac:dyDescent="0.25">
      <c r="A1245" s="7" t="s">
        <v>58</v>
      </c>
      <c r="B1245" s="2" t="s">
        <v>15986</v>
      </c>
      <c r="C1245" s="2" t="s">
        <v>15987</v>
      </c>
      <c r="D1245" s="2" t="s">
        <v>15988</v>
      </c>
      <c r="F1245" s="3" t="s">
        <v>58</v>
      </c>
      <c r="G1245" s="3" t="s">
        <v>59</v>
      </c>
      <c r="H1245" s="3" t="s">
        <v>58</v>
      </c>
      <c r="I1245" s="3" t="s">
        <v>58</v>
      </c>
      <c r="J1245" s="3" t="s">
        <v>60</v>
      </c>
      <c r="K1245" s="2" t="s">
        <v>13496</v>
      </c>
      <c r="L1245" s="2" t="s">
        <v>15989</v>
      </c>
      <c r="M1245" s="3" t="s">
        <v>480</v>
      </c>
      <c r="O1245" s="3" t="s">
        <v>64</v>
      </c>
      <c r="P1245" s="3" t="s">
        <v>208</v>
      </c>
      <c r="R1245" s="3" t="s">
        <v>67</v>
      </c>
      <c r="S1245" s="4">
        <v>19</v>
      </c>
      <c r="T1245" s="4">
        <v>19</v>
      </c>
      <c r="U1245" s="5" t="s">
        <v>15990</v>
      </c>
      <c r="V1245" s="5" t="s">
        <v>15990</v>
      </c>
      <c r="W1245" s="5" t="s">
        <v>15991</v>
      </c>
      <c r="X1245" s="5" t="s">
        <v>15991</v>
      </c>
      <c r="Y1245" s="4">
        <v>974</v>
      </c>
      <c r="Z1245" s="4">
        <v>910</v>
      </c>
      <c r="AA1245" s="4">
        <v>986</v>
      </c>
      <c r="AB1245" s="4">
        <v>5</v>
      </c>
      <c r="AC1245" s="4">
        <v>6</v>
      </c>
      <c r="AD1245" s="4">
        <v>35</v>
      </c>
      <c r="AE1245" s="4">
        <v>36</v>
      </c>
      <c r="AF1245" s="4">
        <v>14</v>
      </c>
      <c r="AG1245" s="4">
        <v>14</v>
      </c>
      <c r="AH1245" s="4">
        <v>8</v>
      </c>
      <c r="AI1245" s="4">
        <v>8</v>
      </c>
      <c r="AJ1245" s="4">
        <v>20</v>
      </c>
      <c r="AK1245" s="4">
        <v>20</v>
      </c>
      <c r="AL1245" s="4">
        <v>4</v>
      </c>
      <c r="AM1245" s="4">
        <v>5</v>
      </c>
      <c r="AN1245" s="4">
        <v>0</v>
      </c>
      <c r="AO1245" s="4">
        <v>0</v>
      </c>
      <c r="AP1245" s="3" t="s">
        <v>58</v>
      </c>
      <c r="AQ1245" s="3" t="s">
        <v>86</v>
      </c>
      <c r="AR1245" s="6" t="str">
        <f>HYPERLINK("http://catalog.hathitrust.org/Record/001816215","HathiTrust Record")</f>
        <v>HathiTrust Record</v>
      </c>
      <c r="AS1245" s="6" t="str">
        <f>HYPERLINK("https://creighton-primo.hosted.exlibrisgroup.com/primo-explore/search?tab=default_tab&amp;search_scope=EVERYTHING&amp;vid=01CRU&amp;lang=en_US&amp;offset=0&amp;query=any,contains,991001473609702656","Catalog Record")</f>
        <v>Catalog Record</v>
      </c>
      <c r="AT1245" s="6" t="str">
        <f>HYPERLINK("http://www.worldcat.org/oclc/19555073","WorldCat Record")</f>
        <v>WorldCat Record</v>
      </c>
      <c r="AU1245" s="3" t="s">
        <v>15992</v>
      </c>
      <c r="AV1245" s="3" t="s">
        <v>15993</v>
      </c>
      <c r="AW1245" s="3" t="s">
        <v>15994</v>
      </c>
      <c r="AX1245" s="3" t="s">
        <v>15994</v>
      </c>
      <c r="AY1245" s="3" t="s">
        <v>15995</v>
      </c>
      <c r="AZ1245" s="3" t="s">
        <v>74</v>
      </c>
      <c r="BB1245" s="3" t="s">
        <v>15996</v>
      </c>
      <c r="BC1245" s="3" t="s">
        <v>15997</v>
      </c>
      <c r="BD1245" s="3" t="s">
        <v>15998</v>
      </c>
    </row>
    <row r="1246" spans="1:56" ht="42.75" customHeight="1" x14ac:dyDescent="0.25">
      <c r="A1246" s="7" t="s">
        <v>58</v>
      </c>
      <c r="B1246" s="2" t="s">
        <v>15999</v>
      </c>
      <c r="C1246" s="2" t="s">
        <v>16000</v>
      </c>
      <c r="D1246" s="2" t="s">
        <v>16001</v>
      </c>
      <c r="F1246" s="3" t="s">
        <v>58</v>
      </c>
      <c r="G1246" s="3" t="s">
        <v>59</v>
      </c>
      <c r="H1246" s="3" t="s">
        <v>58</v>
      </c>
      <c r="I1246" s="3" t="s">
        <v>58</v>
      </c>
      <c r="J1246" s="3" t="s">
        <v>60</v>
      </c>
      <c r="K1246" s="2" t="s">
        <v>16002</v>
      </c>
      <c r="L1246" s="2" t="s">
        <v>16003</v>
      </c>
      <c r="M1246" s="3" t="s">
        <v>371</v>
      </c>
      <c r="N1246" s="2" t="s">
        <v>1736</v>
      </c>
      <c r="O1246" s="3" t="s">
        <v>64</v>
      </c>
      <c r="P1246" s="3" t="s">
        <v>208</v>
      </c>
      <c r="R1246" s="3" t="s">
        <v>67</v>
      </c>
      <c r="S1246" s="4">
        <v>1</v>
      </c>
      <c r="T1246" s="4">
        <v>1</v>
      </c>
      <c r="U1246" s="5" t="s">
        <v>1116</v>
      </c>
      <c r="V1246" s="5" t="s">
        <v>1116</v>
      </c>
      <c r="W1246" s="5" t="s">
        <v>1116</v>
      </c>
      <c r="X1246" s="5" t="s">
        <v>1116</v>
      </c>
      <c r="Y1246" s="4">
        <v>497</v>
      </c>
      <c r="Z1246" s="4">
        <v>474</v>
      </c>
      <c r="AA1246" s="4">
        <v>479</v>
      </c>
      <c r="AB1246" s="4">
        <v>2</v>
      </c>
      <c r="AC1246" s="4">
        <v>2</v>
      </c>
      <c r="AD1246" s="4">
        <v>5</v>
      </c>
      <c r="AE1246" s="4">
        <v>5</v>
      </c>
      <c r="AF1246" s="4">
        <v>4</v>
      </c>
      <c r="AG1246" s="4">
        <v>4</v>
      </c>
      <c r="AH1246" s="4">
        <v>0</v>
      </c>
      <c r="AI1246" s="4">
        <v>0</v>
      </c>
      <c r="AJ1246" s="4">
        <v>3</v>
      </c>
      <c r="AK1246" s="4">
        <v>3</v>
      </c>
      <c r="AL1246" s="4">
        <v>0</v>
      </c>
      <c r="AM1246" s="4">
        <v>0</v>
      </c>
      <c r="AN1246" s="4">
        <v>0</v>
      </c>
      <c r="AO1246" s="4">
        <v>0</v>
      </c>
      <c r="AP1246" s="3" t="s">
        <v>58</v>
      </c>
      <c r="AQ1246" s="3" t="s">
        <v>58</v>
      </c>
      <c r="AS1246" s="6" t="str">
        <f>HYPERLINK("https://creighton-primo.hosted.exlibrisgroup.com/primo-explore/search?tab=default_tab&amp;search_scope=EVERYTHING&amp;vid=01CRU&amp;lang=en_US&amp;offset=0&amp;query=any,contains,991003933079702656","Catalog Record")</f>
        <v>Catalog Record</v>
      </c>
      <c r="AT1246" s="6" t="str">
        <f>HYPERLINK("http://www.worldcat.org/oclc/11970071","WorldCat Record")</f>
        <v>WorldCat Record</v>
      </c>
      <c r="AU1246" s="3" t="s">
        <v>16004</v>
      </c>
      <c r="AV1246" s="3" t="s">
        <v>16005</v>
      </c>
      <c r="AW1246" s="3" t="s">
        <v>16006</v>
      </c>
      <c r="AX1246" s="3" t="s">
        <v>16006</v>
      </c>
      <c r="AY1246" s="3" t="s">
        <v>16007</v>
      </c>
      <c r="AZ1246" s="3" t="s">
        <v>74</v>
      </c>
      <c r="BB1246" s="3" t="s">
        <v>16008</v>
      </c>
      <c r="BC1246" s="3" t="s">
        <v>16009</v>
      </c>
      <c r="BD1246" s="3" t="s">
        <v>16010</v>
      </c>
    </row>
    <row r="1247" spans="1:56" ht="42.75" customHeight="1" x14ac:dyDescent="0.25">
      <c r="A1247" s="7" t="s">
        <v>58</v>
      </c>
      <c r="B1247" s="2" t="s">
        <v>16011</v>
      </c>
      <c r="C1247" s="2" t="s">
        <v>16012</v>
      </c>
      <c r="D1247" s="2" t="s">
        <v>16013</v>
      </c>
      <c r="F1247" s="3" t="s">
        <v>58</v>
      </c>
      <c r="G1247" s="3" t="s">
        <v>59</v>
      </c>
      <c r="H1247" s="3" t="s">
        <v>58</v>
      </c>
      <c r="I1247" s="3" t="s">
        <v>58</v>
      </c>
      <c r="J1247" s="3" t="s">
        <v>60</v>
      </c>
      <c r="L1247" s="2" t="s">
        <v>12324</v>
      </c>
      <c r="M1247" s="3" t="s">
        <v>2227</v>
      </c>
      <c r="O1247" s="3" t="s">
        <v>64</v>
      </c>
      <c r="P1247" s="3" t="s">
        <v>115</v>
      </c>
      <c r="Q1247" s="2" t="s">
        <v>7640</v>
      </c>
      <c r="R1247" s="3" t="s">
        <v>67</v>
      </c>
      <c r="S1247" s="4">
        <v>4</v>
      </c>
      <c r="T1247" s="4">
        <v>4</v>
      </c>
      <c r="U1247" s="5" t="s">
        <v>16014</v>
      </c>
      <c r="V1247" s="5" t="s">
        <v>16014</v>
      </c>
      <c r="W1247" s="5" t="s">
        <v>16015</v>
      </c>
      <c r="X1247" s="5" t="s">
        <v>16015</v>
      </c>
      <c r="Y1247" s="4">
        <v>596</v>
      </c>
      <c r="Z1247" s="4">
        <v>456</v>
      </c>
      <c r="AA1247" s="4">
        <v>704</v>
      </c>
      <c r="AB1247" s="4">
        <v>3</v>
      </c>
      <c r="AC1247" s="4">
        <v>4</v>
      </c>
      <c r="AD1247" s="4">
        <v>18</v>
      </c>
      <c r="AE1247" s="4">
        <v>26</v>
      </c>
      <c r="AF1247" s="4">
        <v>3</v>
      </c>
      <c r="AG1247" s="4">
        <v>8</v>
      </c>
      <c r="AH1247" s="4">
        <v>6</v>
      </c>
      <c r="AI1247" s="4">
        <v>6</v>
      </c>
      <c r="AJ1247" s="4">
        <v>9</v>
      </c>
      <c r="AK1247" s="4">
        <v>15</v>
      </c>
      <c r="AL1247" s="4">
        <v>2</v>
      </c>
      <c r="AM1247" s="4">
        <v>3</v>
      </c>
      <c r="AN1247" s="4">
        <v>0</v>
      </c>
      <c r="AO1247" s="4">
        <v>0</v>
      </c>
      <c r="AP1247" s="3" t="s">
        <v>58</v>
      </c>
      <c r="AQ1247" s="3" t="s">
        <v>58</v>
      </c>
      <c r="AS1247" s="6" t="str">
        <f>HYPERLINK("https://creighton-primo.hosted.exlibrisgroup.com/primo-explore/search?tab=default_tab&amp;search_scope=EVERYTHING&amp;vid=01CRU&amp;lang=en_US&amp;offset=0&amp;query=any,contains,991000507059702656","Catalog Record")</f>
        <v>Catalog Record</v>
      </c>
      <c r="AT1247" s="6" t="str">
        <f>HYPERLINK("http://www.worldcat.org/oclc/11211922","WorldCat Record")</f>
        <v>WorldCat Record</v>
      </c>
      <c r="AU1247" s="3" t="s">
        <v>16016</v>
      </c>
      <c r="AV1247" s="3" t="s">
        <v>16017</v>
      </c>
      <c r="AW1247" s="3" t="s">
        <v>16018</v>
      </c>
      <c r="AX1247" s="3" t="s">
        <v>16018</v>
      </c>
      <c r="AY1247" s="3" t="s">
        <v>16019</v>
      </c>
      <c r="AZ1247" s="3" t="s">
        <v>74</v>
      </c>
      <c r="BB1247" s="3" t="s">
        <v>16020</v>
      </c>
      <c r="BC1247" s="3" t="s">
        <v>16021</v>
      </c>
      <c r="BD1247" s="3" t="s">
        <v>16022</v>
      </c>
    </row>
    <row r="1248" spans="1:56" ht="42.75" customHeight="1" x14ac:dyDescent="0.25">
      <c r="A1248" s="7" t="s">
        <v>58</v>
      </c>
      <c r="B1248" s="2" t="s">
        <v>16023</v>
      </c>
      <c r="C1248" s="2" t="s">
        <v>16024</v>
      </c>
      <c r="D1248" s="2" t="s">
        <v>16025</v>
      </c>
      <c r="F1248" s="3" t="s">
        <v>58</v>
      </c>
      <c r="G1248" s="3" t="s">
        <v>59</v>
      </c>
      <c r="H1248" s="3" t="s">
        <v>58</v>
      </c>
      <c r="I1248" s="3" t="s">
        <v>58</v>
      </c>
      <c r="J1248" s="3" t="s">
        <v>60</v>
      </c>
      <c r="K1248" s="2" t="s">
        <v>16026</v>
      </c>
      <c r="L1248" s="2" t="s">
        <v>16027</v>
      </c>
      <c r="M1248" s="3" t="s">
        <v>1404</v>
      </c>
      <c r="N1248" s="2" t="s">
        <v>16028</v>
      </c>
      <c r="O1248" s="3" t="s">
        <v>64</v>
      </c>
      <c r="P1248" s="3" t="s">
        <v>115</v>
      </c>
      <c r="R1248" s="3" t="s">
        <v>67</v>
      </c>
      <c r="S1248" s="4">
        <v>1</v>
      </c>
      <c r="T1248" s="4">
        <v>1</v>
      </c>
      <c r="U1248" s="5" t="s">
        <v>16029</v>
      </c>
      <c r="V1248" s="5" t="s">
        <v>16029</v>
      </c>
      <c r="W1248" s="5" t="s">
        <v>16029</v>
      </c>
      <c r="X1248" s="5" t="s">
        <v>16029</v>
      </c>
      <c r="Y1248" s="4">
        <v>56</v>
      </c>
      <c r="Z1248" s="4">
        <v>46</v>
      </c>
      <c r="AA1248" s="4">
        <v>273</v>
      </c>
      <c r="AB1248" s="4">
        <v>1</v>
      </c>
      <c r="AC1248" s="4">
        <v>4</v>
      </c>
      <c r="AD1248" s="4">
        <v>0</v>
      </c>
      <c r="AE1248" s="4">
        <v>12</v>
      </c>
      <c r="AF1248" s="4">
        <v>0</v>
      </c>
      <c r="AG1248" s="4">
        <v>3</v>
      </c>
      <c r="AH1248" s="4">
        <v>0</v>
      </c>
      <c r="AI1248" s="4">
        <v>4</v>
      </c>
      <c r="AJ1248" s="4">
        <v>0</v>
      </c>
      <c r="AK1248" s="4">
        <v>4</v>
      </c>
      <c r="AL1248" s="4">
        <v>0</v>
      </c>
      <c r="AM1248" s="4">
        <v>3</v>
      </c>
      <c r="AN1248" s="4">
        <v>0</v>
      </c>
      <c r="AO1248" s="4">
        <v>0</v>
      </c>
      <c r="AP1248" s="3" t="s">
        <v>58</v>
      </c>
      <c r="AQ1248" s="3" t="s">
        <v>58</v>
      </c>
      <c r="AS1248" s="6" t="str">
        <f>HYPERLINK("https://creighton-primo.hosted.exlibrisgroup.com/primo-explore/search?tab=default_tab&amp;search_scope=EVERYTHING&amp;vid=01CRU&amp;lang=en_US&amp;offset=0&amp;query=any,contains,991005293589702656","Catalog Record")</f>
        <v>Catalog Record</v>
      </c>
      <c r="AT1248" s="6" t="str">
        <f>HYPERLINK("http://www.worldcat.org/oclc/176882422","WorldCat Record")</f>
        <v>WorldCat Record</v>
      </c>
      <c r="AU1248" s="3" t="s">
        <v>16030</v>
      </c>
      <c r="AV1248" s="3" t="s">
        <v>16031</v>
      </c>
      <c r="AW1248" s="3" t="s">
        <v>16032</v>
      </c>
      <c r="AX1248" s="3" t="s">
        <v>16032</v>
      </c>
      <c r="AY1248" s="3" t="s">
        <v>16033</v>
      </c>
      <c r="AZ1248" s="3" t="s">
        <v>74</v>
      </c>
      <c r="BB1248" s="3" t="s">
        <v>16034</v>
      </c>
      <c r="BC1248" s="3" t="s">
        <v>16035</v>
      </c>
      <c r="BD1248" s="3" t="s">
        <v>16036</v>
      </c>
    </row>
    <row r="1249" spans="1:56" ht="42.75" customHeight="1" x14ac:dyDescent="0.25">
      <c r="A1249" s="7" t="s">
        <v>58</v>
      </c>
      <c r="B1249" s="2" t="s">
        <v>16037</v>
      </c>
      <c r="C1249" s="2" t="s">
        <v>16038</v>
      </c>
      <c r="D1249" s="2" t="s">
        <v>16039</v>
      </c>
      <c r="F1249" s="3" t="s">
        <v>58</v>
      </c>
      <c r="G1249" s="3" t="s">
        <v>59</v>
      </c>
      <c r="H1249" s="3" t="s">
        <v>58</v>
      </c>
      <c r="I1249" s="3" t="s">
        <v>58</v>
      </c>
      <c r="J1249" s="3" t="s">
        <v>60</v>
      </c>
      <c r="K1249" s="2" t="s">
        <v>16040</v>
      </c>
      <c r="L1249" s="2" t="s">
        <v>16041</v>
      </c>
      <c r="M1249" s="3" t="s">
        <v>942</v>
      </c>
      <c r="N1249" s="2" t="s">
        <v>1844</v>
      </c>
      <c r="O1249" s="3" t="s">
        <v>64</v>
      </c>
      <c r="P1249" s="3" t="s">
        <v>115</v>
      </c>
      <c r="Q1249" s="2" t="s">
        <v>16042</v>
      </c>
      <c r="R1249" s="3" t="s">
        <v>67</v>
      </c>
      <c r="S1249" s="4">
        <v>2</v>
      </c>
      <c r="T1249" s="4">
        <v>2</v>
      </c>
      <c r="U1249" s="5" t="s">
        <v>16043</v>
      </c>
      <c r="V1249" s="5" t="s">
        <v>16043</v>
      </c>
      <c r="W1249" s="5" t="s">
        <v>16044</v>
      </c>
      <c r="X1249" s="5" t="s">
        <v>16044</v>
      </c>
      <c r="Y1249" s="4">
        <v>404</v>
      </c>
      <c r="Z1249" s="4">
        <v>327</v>
      </c>
      <c r="AA1249" s="4">
        <v>1249</v>
      </c>
      <c r="AB1249" s="4">
        <v>2</v>
      </c>
      <c r="AC1249" s="4">
        <v>11</v>
      </c>
      <c r="AD1249" s="4">
        <v>9</v>
      </c>
      <c r="AE1249" s="4">
        <v>41</v>
      </c>
      <c r="AF1249" s="4">
        <v>4</v>
      </c>
      <c r="AG1249" s="4">
        <v>13</v>
      </c>
      <c r="AH1249" s="4">
        <v>0</v>
      </c>
      <c r="AI1249" s="4">
        <v>5</v>
      </c>
      <c r="AJ1249" s="4">
        <v>6</v>
      </c>
      <c r="AK1249" s="4">
        <v>22</v>
      </c>
      <c r="AL1249" s="4">
        <v>1</v>
      </c>
      <c r="AM1249" s="4">
        <v>10</v>
      </c>
      <c r="AN1249" s="4">
        <v>0</v>
      </c>
      <c r="AO1249" s="4">
        <v>1</v>
      </c>
      <c r="AP1249" s="3" t="s">
        <v>58</v>
      </c>
      <c r="AQ1249" s="3" t="s">
        <v>58</v>
      </c>
      <c r="AS1249" s="6" t="str">
        <f>HYPERLINK("https://creighton-primo.hosted.exlibrisgroup.com/primo-explore/search?tab=default_tab&amp;search_scope=EVERYTHING&amp;vid=01CRU&amp;lang=en_US&amp;offset=0&amp;query=any,contains,991003926849702656","Catalog Record")</f>
        <v>Catalog Record</v>
      </c>
      <c r="AT1249" s="6" t="str">
        <f>HYPERLINK("http://www.worldcat.org/oclc/41266301","WorldCat Record")</f>
        <v>WorldCat Record</v>
      </c>
      <c r="AU1249" s="3" t="s">
        <v>16045</v>
      </c>
      <c r="AV1249" s="3" t="s">
        <v>16046</v>
      </c>
      <c r="AW1249" s="3" t="s">
        <v>16047</v>
      </c>
      <c r="AX1249" s="3" t="s">
        <v>16047</v>
      </c>
      <c r="AY1249" s="3" t="s">
        <v>16048</v>
      </c>
      <c r="AZ1249" s="3" t="s">
        <v>74</v>
      </c>
      <c r="BB1249" s="3" t="s">
        <v>16049</v>
      </c>
      <c r="BC1249" s="3" t="s">
        <v>16050</v>
      </c>
      <c r="BD1249" s="3" t="s">
        <v>16051</v>
      </c>
    </row>
    <row r="1250" spans="1:56" ht="42.75" customHeight="1" x14ac:dyDescent="0.25">
      <c r="A1250" s="7" t="s">
        <v>58</v>
      </c>
      <c r="B1250" s="2" t="s">
        <v>16052</v>
      </c>
      <c r="C1250" s="2" t="s">
        <v>16053</v>
      </c>
      <c r="D1250" s="2" t="s">
        <v>16054</v>
      </c>
      <c r="F1250" s="3" t="s">
        <v>58</v>
      </c>
      <c r="G1250" s="3" t="s">
        <v>59</v>
      </c>
      <c r="H1250" s="3" t="s">
        <v>58</v>
      </c>
      <c r="I1250" s="3" t="s">
        <v>58</v>
      </c>
      <c r="J1250" s="3" t="s">
        <v>60</v>
      </c>
      <c r="K1250" s="2" t="s">
        <v>11430</v>
      </c>
      <c r="L1250" s="2" t="s">
        <v>16055</v>
      </c>
      <c r="M1250" s="3" t="s">
        <v>695</v>
      </c>
      <c r="O1250" s="3" t="s">
        <v>64</v>
      </c>
      <c r="P1250" s="3" t="s">
        <v>83</v>
      </c>
      <c r="R1250" s="3" t="s">
        <v>67</v>
      </c>
      <c r="S1250" s="4">
        <v>20</v>
      </c>
      <c r="T1250" s="4">
        <v>20</v>
      </c>
      <c r="U1250" s="5" t="s">
        <v>7012</v>
      </c>
      <c r="V1250" s="5" t="s">
        <v>7012</v>
      </c>
      <c r="W1250" s="5" t="s">
        <v>11972</v>
      </c>
      <c r="X1250" s="5" t="s">
        <v>11972</v>
      </c>
      <c r="Y1250" s="4">
        <v>102</v>
      </c>
      <c r="Z1250" s="4">
        <v>91</v>
      </c>
      <c r="AA1250" s="4">
        <v>93</v>
      </c>
      <c r="AB1250" s="4">
        <v>2</v>
      </c>
      <c r="AC1250" s="4">
        <v>2</v>
      </c>
      <c r="AD1250" s="4">
        <v>5</v>
      </c>
      <c r="AE1250" s="4">
        <v>5</v>
      </c>
      <c r="AF1250" s="4">
        <v>2</v>
      </c>
      <c r="AG1250" s="4">
        <v>2</v>
      </c>
      <c r="AH1250" s="4">
        <v>0</v>
      </c>
      <c r="AI1250" s="4">
        <v>0</v>
      </c>
      <c r="AJ1250" s="4">
        <v>4</v>
      </c>
      <c r="AK1250" s="4">
        <v>4</v>
      </c>
      <c r="AL1250" s="4">
        <v>1</v>
      </c>
      <c r="AM1250" s="4">
        <v>1</v>
      </c>
      <c r="AN1250" s="4">
        <v>0</v>
      </c>
      <c r="AO1250" s="4">
        <v>0</v>
      </c>
      <c r="AP1250" s="3" t="s">
        <v>58</v>
      </c>
      <c r="AQ1250" s="3" t="s">
        <v>86</v>
      </c>
      <c r="AR1250" s="6" t="str">
        <f>HYPERLINK("http://catalog.hathitrust.org/Record/004031912","HathiTrust Record")</f>
        <v>HathiTrust Record</v>
      </c>
      <c r="AS1250" s="6" t="str">
        <f>HYPERLINK("https://creighton-primo.hosted.exlibrisgroup.com/primo-explore/search?tab=default_tab&amp;search_scope=EVERYTHING&amp;vid=01CRU&amp;lang=en_US&amp;offset=0&amp;query=any,contains,991002208239702656","Catalog Record")</f>
        <v>Catalog Record</v>
      </c>
      <c r="AT1250" s="6" t="str">
        <f>HYPERLINK("http://www.worldcat.org/oclc/28411770","WorldCat Record")</f>
        <v>WorldCat Record</v>
      </c>
      <c r="AU1250" s="3" t="s">
        <v>16056</v>
      </c>
      <c r="AV1250" s="3" t="s">
        <v>16057</v>
      </c>
      <c r="AW1250" s="3" t="s">
        <v>16058</v>
      </c>
      <c r="AX1250" s="3" t="s">
        <v>16058</v>
      </c>
      <c r="AY1250" s="3" t="s">
        <v>16059</v>
      </c>
      <c r="AZ1250" s="3" t="s">
        <v>74</v>
      </c>
      <c r="BB1250" s="3" t="s">
        <v>16060</v>
      </c>
      <c r="BC1250" s="3" t="s">
        <v>16061</v>
      </c>
      <c r="BD1250" s="3" t="s">
        <v>16062</v>
      </c>
    </row>
    <row r="1251" spans="1:56" ht="42.75" customHeight="1" x14ac:dyDescent="0.25">
      <c r="A1251" s="7" t="s">
        <v>58</v>
      </c>
      <c r="B1251" s="2" t="s">
        <v>16063</v>
      </c>
      <c r="C1251" s="2" t="s">
        <v>16064</v>
      </c>
      <c r="D1251" s="2" t="s">
        <v>16065</v>
      </c>
      <c r="F1251" s="3" t="s">
        <v>58</v>
      </c>
      <c r="G1251" s="3" t="s">
        <v>59</v>
      </c>
      <c r="H1251" s="3" t="s">
        <v>58</v>
      </c>
      <c r="I1251" s="3" t="s">
        <v>58</v>
      </c>
      <c r="J1251" s="3" t="s">
        <v>60</v>
      </c>
      <c r="K1251" s="2" t="s">
        <v>11343</v>
      </c>
      <c r="L1251" s="2" t="s">
        <v>16066</v>
      </c>
      <c r="M1251" s="3" t="s">
        <v>480</v>
      </c>
      <c r="O1251" s="3" t="s">
        <v>64</v>
      </c>
      <c r="P1251" s="3" t="s">
        <v>115</v>
      </c>
      <c r="R1251" s="3" t="s">
        <v>67</v>
      </c>
      <c r="S1251" s="4">
        <v>9</v>
      </c>
      <c r="T1251" s="4">
        <v>9</v>
      </c>
      <c r="U1251" s="5" t="s">
        <v>7012</v>
      </c>
      <c r="V1251" s="5" t="s">
        <v>7012</v>
      </c>
      <c r="W1251" s="5" t="s">
        <v>15931</v>
      </c>
      <c r="X1251" s="5" t="s">
        <v>15931</v>
      </c>
      <c r="Y1251" s="4">
        <v>218</v>
      </c>
      <c r="Z1251" s="4">
        <v>172</v>
      </c>
      <c r="AA1251" s="4">
        <v>174</v>
      </c>
      <c r="AB1251" s="4">
        <v>2</v>
      </c>
      <c r="AC1251" s="4">
        <v>2</v>
      </c>
      <c r="AD1251" s="4">
        <v>5</v>
      </c>
      <c r="AE1251" s="4">
        <v>5</v>
      </c>
      <c r="AF1251" s="4">
        <v>1</v>
      </c>
      <c r="AG1251" s="4">
        <v>1</v>
      </c>
      <c r="AH1251" s="4">
        <v>2</v>
      </c>
      <c r="AI1251" s="4">
        <v>2</v>
      </c>
      <c r="AJ1251" s="4">
        <v>3</v>
      </c>
      <c r="AK1251" s="4">
        <v>3</v>
      </c>
      <c r="AL1251" s="4">
        <v>1</v>
      </c>
      <c r="AM1251" s="4">
        <v>1</v>
      </c>
      <c r="AN1251" s="4">
        <v>0</v>
      </c>
      <c r="AO1251" s="4">
        <v>0</v>
      </c>
      <c r="AP1251" s="3" t="s">
        <v>58</v>
      </c>
      <c r="AQ1251" s="3" t="s">
        <v>86</v>
      </c>
      <c r="AR1251" s="6" t="str">
        <f>HYPERLINK("http://catalog.hathitrust.org/Record/001298885","HathiTrust Record")</f>
        <v>HathiTrust Record</v>
      </c>
      <c r="AS1251" s="6" t="str">
        <f>HYPERLINK("https://creighton-primo.hosted.exlibrisgroup.com/primo-explore/search?tab=default_tab&amp;search_scope=EVERYTHING&amp;vid=01CRU&amp;lang=en_US&amp;offset=0&amp;query=any,contains,991001092999702656","Catalog Record")</f>
        <v>Catalog Record</v>
      </c>
      <c r="AT1251" s="6" t="str">
        <f>HYPERLINK("http://www.worldcat.org/oclc/16226606","WorldCat Record")</f>
        <v>WorldCat Record</v>
      </c>
      <c r="AU1251" s="3" t="s">
        <v>16067</v>
      </c>
      <c r="AV1251" s="3" t="s">
        <v>16068</v>
      </c>
      <c r="AW1251" s="3" t="s">
        <v>16069</v>
      </c>
      <c r="AX1251" s="3" t="s">
        <v>16069</v>
      </c>
      <c r="AY1251" s="3" t="s">
        <v>16070</v>
      </c>
      <c r="AZ1251" s="3" t="s">
        <v>74</v>
      </c>
      <c r="BB1251" s="3" t="s">
        <v>16071</v>
      </c>
      <c r="BC1251" s="3" t="s">
        <v>16072</v>
      </c>
      <c r="BD1251" s="3" t="s">
        <v>16073</v>
      </c>
    </row>
    <row r="1252" spans="1:56" ht="42.75" customHeight="1" x14ac:dyDescent="0.25">
      <c r="A1252" s="7" t="s">
        <v>58</v>
      </c>
      <c r="B1252" s="2" t="s">
        <v>16074</v>
      </c>
      <c r="C1252" s="2" t="s">
        <v>16075</v>
      </c>
      <c r="D1252" s="2" t="s">
        <v>16076</v>
      </c>
      <c r="F1252" s="3" t="s">
        <v>58</v>
      </c>
      <c r="G1252" s="3" t="s">
        <v>59</v>
      </c>
      <c r="H1252" s="3" t="s">
        <v>58</v>
      </c>
      <c r="I1252" s="3" t="s">
        <v>58</v>
      </c>
      <c r="J1252" s="3" t="s">
        <v>60</v>
      </c>
      <c r="L1252" s="2" t="s">
        <v>5596</v>
      </c>
      <c r="M1252" s="3" t="s">
        <v>1506</v>
      </c>
      <c r="N1252" s="2" t="s">
        <v>1736</v>
      </c>
      <c r="O1252" s="3" t="s">
        <v>64</v>
      </c>
      <c r="P1252" s="3" t="s">
        <v>145</v>
      </c>
      <c r="R1252" s="3" t="s">
        <v>67</v>
      </c>
      <c r="S1252" s="4">
        <v>1</v>
      </c>
      <c r="T1252" s="4">
        <v>1</v>
      </c>
      <c r="U1252" s="5" t="s">
        <v>2253</v>
      </c>
      <c r="V1252" s="5" t="s">
        <v>2253</v>
      </c>
      <c r="W1252" s="5" t="s">
        <v>2253</v>
      </c>
      <c r="X1252" s="5" t="s">
        <v>2253</v>
      </c>
      <c r="Y1252" s="4">
        <v>347</v>
      </c>
      <c r="Z1252" s="4">
        <v>290</v>
      </c>
      <c r="AA1252" s="4">
        <v>304</v>
      </c>
      <c r="AB1252" s="4">
        <v>3</v>
      </c>
      <c r="AC1252" s="4">
        <v>3</v>
      </c>
      <c r="AD1252" s="4">
        <v>16</v>
      </c>
      <c r="AE1252" s="4">
        <v>16</v>
      </c>
      <c r="AF1252" s="4">
        <v>7</v>
      </c>
      <c r="AG1252" s="4">
        <v>7</v>
      </c>
      <c r="AH1252" s="4">
        <v>3</v>
      </c>
      <c r="AI1252" s="4">
        <v>3</v>
      </c>
      <c r="AJ1252" s="4">
        <v>10</v>
      </c>
      <c r="AK1252" s="4">
        <v>10</v>
      </c>
      <c r="AL1252" s="4">
        <v>2</v>
      </c>
      <c r="AM1252" s="4">
        <v>2</v>
      </c>
      <c r="AN1252" s="4">
        <v>0</v>
      </c>
      <c r="AO1252" s="4">
        <v>0</v>
      </c>
      <c r="AP1252" s="3" t="s">
        <v>58</v>
      </c>
      <c r="AQ1252" s="3" t="s">
        <v>58</v>
      </c>
      <c r="AS1252" s="6" t="str">
        <f>HYPERLINK("https://creighton-primo.hosted.exlibrisgroup.com/primo-explore/search?tab=default_tab&amp;search_scope=EVERYTHING&amp;vid=01CRU&amp;lang=en_US&amp;offset=0&amp;query=any,contains,991000130609702656","Catalog Record")</f>
        <v>Catalog Record</v>
      </c>
      <c r="AT1252" s="6" t="str">
        <f>HYPERLINK("http://www.worldcat.org/oclc/306801848","WorldCat Record")</f>
        <v>WorldCat Record</v>
      </c>
      <c r="AU1252" s="3" t="s">
        <v>16077</v>
      </c>
      <c r="AV1252" s="3" t="s">
        <v>16078</v>
      </c>
      <c r="AW1252" s="3" t="s">
        <v>16079</v>
      </c>
      <c r="AX1252" s="3" t="s">
        <v>16079</v>
      </c>
      <c r="AY1252" s="3" t="s">
        <v>16080</v>
      </c>
      <c r="AZ1252" s="3" t="s">
        <v>74</v>
      </c>
      <c r="BB1252" s="3" t="s">
        <v>16081</v>
      </c>
      <c r="BC1252" s="3" t="s">
        <v>16082</v>
      </c>
      <c r="BD1252" s="3" t="s">
        <v>16083</v>
      </c>
    </row>
    <row r="1253" spans="1:56" ht="42.75" customHeight="1" x14ac:dyDescent="0.25">
      <c r="A1253" s="7" t="s">
        <v>58</v>
      </c>
      <c r="B1253" s="2" t="s">
        <v>16084</v>
      </c>
      <c r="C1253" s="2" t="s">
        <v>16085</v>
      </c>
      <c r="D1253" s="2" t="s">
        <v>16086</v>
      </c>
      <c r="F1253" s="3" t="s">
        <v>58</v>
      </c>
      <c r="G1253" s="3" t="s">
        <v>59</v>
      </c>
      <c r="H1253" s="3" t="s">
        <v>58</v>
      </c>
      <c r="I1253" s="3" t="s">
        <v>58</v>
      </c>
      <c r="J1253" s="3" t="s">
        <v>60</v>
      </c>
      <c r="K1253" s="2" t="s">
        <v>16087</v>
      </c>
      <c r="L1253" s="2" t="s">
        <v>16088</v>
      </c>
      <c r="M1253" s="3" t="s">
        <v>996</v>
      </c>
      <c r="N1253" s="2" t="s">
        <v>1736</v>
      </c>
      <c r="O1253" s="3" t="s">
        <v>64</v>
      </c>
      <c r="P1253" s="3" t="s">
        <v>99</v>
      </c>
      <c r="R1253" s="3" t="s">
        <v>67</v>
      </c>
      <c r="S1253" s="4">
        <v>2</v>
      </c>
      <c r="T1253" s="4">
        <v>2</v>
      </c>
      <c r="U1253" s="5" t="s">
        <v>16089</v>
      </c>
      <c r="V1253" s="5" t="s">
        <v>16089</v>
      </c>
      <c r="W1253" s="5" t="s">
        <v>16090</v>
      </c>
      <c r="X1253" s="5" t="s">
        <v>16090</v>
      </c>
      <c r="Y1253" s="4">
        <v>64</v>
      </c>
      <c r="Z1253" s="4">
        <v>59</v>
      </c>
      <c r="AA1253" s="4">
        <v>60</v>
      </c>
      <c r="AB1253" s="4">
        <v>5</v>
      </c>
      <c r="AC1253" s="4">
        <v>5</v>
      </c>
      <c r="AD1253" s="4">
        <v>1</v>
      </c>
      <c r="AE1253" s="4">
        <v>1</v>
      </c>
      <c r="AF1253" s="4">
        <v>0</v>
      </c>
      <c r="AG1253" s="4">
        <v>0</v>
      </c>
      <c r="AH1253" s="4">
        <v>0</v>
      </c>
      <c r="AI1253" s="4">
        <v>0</v>
      </c>
      <c r="AJ1253" s="4">
        <v>0</v>
      </c>
      <c r="AK1253" s="4">
        <v>0</v>
      </c>
      <c r="AL1253" s="4">
        <v>1</v>
      </c>
      <c r="AM1253" s="4">
        <v>1</v>
      </c>
      <c r="AN1253" s="4">
        <v>0</v>
      </c>
      <c r="AO1253" s="4">
        <v>0</v>
      </c>
      <c r="AP1253" s="3" t="s">
        <v>58</v>
      </c>
      <c r="AQ1253" s="3" t="s">
        <v>58</v>
      </c>
      <c r="AS1253" s="6" t="str">
        <f>HYPERLINK("https://creighton-primo.hosted.exlibrisgroup.com/primo-explore/search?tab=default_tab&amp;search_scope=EVERYTHING&amp;vid=01CRU&amp;lang=en_US&amp;offset=0&amp;query=any,contains,991003280229702656","Catalog Record")</f>
        <v>Catalog Record</v>
      </c>
      <c r="AT1253" s="6" t="str">
        <f>HYPERLINK("http://www.worldcat.org/oclc/44655593","WorldCat Record")</f>
        <v>WorldCat Record</v>
      </c>
      <c r="AU1253" s="3" t="s">
        <v>16091</v>
      </c>
      <c r="AV1253" s="3" t="s">
        <v>16092</v>
      </c>
      <c r="AW1253" s="3" t="s">
        <v>16093</v>
      </c>
      <c r="AX1253" s="3" t="s">
        <v>16093</v>
      </c>
      <c r="AY1253" s="3" t="s">
        <v>16094</v>
      </c>
      <c r="AZ1253" s="3" t="s">
        <v>74</v>
      </c>
      <c r="BB1253" s="3" t="s">
        <v>16095</v>
      </c>
      <c r="BC1253" s="3" t="s">
        <v>16096</v>
      </c>
      <c r="BD1253" s="3" t="s">
        <v>16097</v>
      </c>
    </row>
    <row r="1254" spans="1:56" ht="42.75" customHeight="1" x14ac:dyDescent="0.25">
      <c r="A1254" s="7" t="s">
        <v>58</v>
      </c>
      <c r="B1254" s="2" t="s">
        <v>16098</v>
      </c>
      <c r="C1254" s="2" t="s">
        <v>16099</v>
      </c>
      <c r="D1254" s="2" t="s">
        <v>16100</v>
      </c>
      <c r="F1254" s="3" t="s">
        <v>58</v>
      </c>
      <c r="G1254" s="3" t="s">
        <v>59</v>
      </c>
      <c r="H1254" s="3" t="s">
        <v>58</v>
      </c>
      <c r="I1254" s="3" t="s">
        <v>58</v>
      </c>
      <c r="J1254" s="3" t="s">
        <v>60</v>
      </c>
      <c r="L1254" s="2" t="s">
        <v>16101</v>
      </c>
      <c r="M1254" s="3" t="s">
        <v>192</v>
      </c>
      <c r="O1254" s="3" t="s">
        <v>64</v>
      </c>
      <c r="P1254" s="3" t="s">
        <v>359</v>
      </c>
      <c r="R1254" s="3" t="s">
        <v>67</v>
      </c>
      <c r="S1254" s="4">
        <v>3</v>
      </c>
      <c r="T1254" s="4">
        <v>3</v>
      </c>
      <c r="U1254" s="5" t="s">
        <v>15978</v>
      </c>
      <c r="V1254" s="5" t="s">
        <v>15978</v>
      </c>
      <c r="W1254" s="5" t="s">
        <v>11507</v>
      </c>
      <c r="X1254" s="5" t="s">
        <v>11507</v>
      </c>
      <c r="Y1254" s="4">
        <v>1197</v>
      </c>
      <c r="Z1254" s="4">
        <v>1106</v>
      </c>
      <c r="AA1254" s="4">
        <v>1110</v>
      </c>
      <c r="AB1254" s="4">
        <v>11</v>
      </c>
      <c r="AC1254" s="4">
        <v>11</v>
      </c>
      <c r="AD1254" s="4">
        <v>41</v>
      </c>
      <c r="AE1254" s="4">
        <v>41</v>
      </c>
      <c r="AF1254" s="4">
        <v>19</v>
      </c>
      <c r="AG1254" s="4">
        <v>19</v>
      </c>
      <c r="AH1254" s="4">
        <v>7</v>
      </c>
      <c r="AI1254" s="4">
        <v>7</v>
      </c>
      <c r="AJ1254" s="4">
        <v>15</v>
      </c>
      <c r="AK1254" s="4">
        <v>15</v>
      </c>
      <c r="AL1254" s="4">
        <v>9</v>
      </c>
      <c r="AM1254" s="4">
        <v>9</v>
      </c>
      <c r="AN1254" s="4">
        <v>1</v>
      </c>
      <c r="AO1254" s="4">
        <v>1</v>
      </c>
      <c r="AP1254" s="3" t="s">
        <v>58</v>
      </c>
      <c r="AQ1254" s="3" t="s">
        <v>58</v>
      </c>
      <c r="AS1254" s="6" t="str">
        <f>HYPERLINK("https://creighton-primo.hosted.exlibrisgroup.com/primo-explore/search?tab=default_tab&amp;search_scope=EVERYTHING&amp;vid=01CRU&amp;lang=en_US&amp;offset=0&amp;query=any,contains,991004936439702656","Catalog Record")</f>
        <v>Catalog Record</v>
      </c>
      <c r="AT1254" s="6" t="str">
        <f>HYPERLINK("http://www.worldcat.org/oclc/58431789","WorldCat Record")</f>
        <v>WorldCat Record</v>
      </c>
      <c r="AU1254" s="3" t="s">
        <v>16102</v>
      </c>
      <c r="AV1254" s="3" t="s">
        <v>16103</v>
      </c>
      <c r="AW1254" s="3" t="s">
        <v>16104</v>
      </c>
      <c r="AX1254" s="3" t="s">
        <v>16104</v>
      </c>
      <c r="AY1254" s="3" t="s">
        <v>16105</v>
      </c>
      <c r="AZ1254" s="3" t="s">
        <v>74</v>
      </c>
      <c r="BB1254" s="3" t="s">
        <v>16106</v>
      </c>
      <c r="BC1254" s="3" t="s">
        <v>16107</v>
      </c>
      <c r="BD1254" s="3" t="s">
        <v>16108</v>
      </c>
    </row>
    <row r="1255" spans="1:56" ht="42.75" customHeight="1" x14ac:dyDescent="0.25">
      <c r="A1255" s="7" t="s">
        <v>58</v>
      </c>
      <c r="B1255" s="2" t="s">
        <v>16109</v>
      </c>
      <c r="C1255" s="2" t="s">
        <v>16110</v>
      </c>
      <c r="D1255" s="2" t="s">
        <v>16111</v>
      </c>
      <c r="F1255" s="3" t="s">
        <v>58</v>
      </c>
      <c r="G1255" s="3" t="s">
        <v>59</v>
      </c>
      <c r="H1255" s="3" t="s">
        <v>58</v>
      </c>
      <c r="I1255" s="3" t="s">
        <v>58</v>
      </c>
      <c r="J1255" s="3" t="s">
        <v>60</v>
      </c>
      <c r="K1255" s="2" t="s">
        <v>16112</v>
      </c>
      <c r="L1255" s="2" t="s">
        <v>16113</v>
      </c>
      <c r="M1255" s="3" t="s">
        <v>1035</v>
      </c>
      <c r="O1255" s="3" t="s">
        <v>64</v>
      </c>
      <c r="P1255" s="3" t="s">
        <v>83</v>
      </c>
      <c r="R1255" s="3" t="s">
        <v>67</v>
      </c>
      <c r="S1255" s="4">
        <v>3</v>
      </c>
      <c r="T1255" s="4">
        <v>3</v>
      </c>
      <c r="U1255" s="5" t="s">
        <v>7404</v>
      </c>
      <c r="V1255" s="5" t="s">
        <v>7404</v>
      </c>
      <c r="W1255" s="5" t="s">
        <v>16114</v>
      </c>
      <c r="X1255" s="5" t="s">
        <v>16114</v>
      </c>
      <c r="Y1255" s="4">
        <v>97</v>
      </c>
      <c r="Z1255" s="4">
        <v>83</v>
      </c>
      <c r="AA1255" s="4">
        <v>94</v>
      </c>
      <c r="AB1255" s="4">
        <v>2</v>
      </c>
      <c r="AC1255" s="4">
        <v>2</v>
      </c>
      <c r="AD1255" s="4">
        <v>2</v>
      </c>
      <c r="AE1255" s="4">
        <v>2</v>
      </c>
      <c r="AF1255" s="4">
        <v>0</v>
      </c>
      <c r="AG1255" s="4">
        <v>0</v>
      </c>
      <c r="AH1255" s="4">
        <v>0</v>
      </c>
      <c r="AI1255" s="4">
        <v>0</v>
      </c>
      <c r="AJ1255" s="4">
        <v>2</v>
      </c>
      <c r="AK1255" s="4">
        <v>2</v>
      </c>
      <c r="AL1255" s="4">
        <v>0</v>
      </c>
      <c r="AM1255" s="4">
        <v>0</v>
      </c>
      <c r="AN1255" s="4">
        <v>0</v>
      </c>
      <c r="AO1255" s="4">
        <v>0</v>
      </c>
      <c r="AP1255" s="3" t="s">
        <v>58</v>
      </c>
      <c r="AQ1255" s="3" t="s">
        <v>58</v>
      </c>
      <c r="AS1255" s="6" t="str">
        <f>HYPERLINK("https://creighton-primo.hosted.exlibrisgroup.com/primo-explore/search?tab=default_tab&amp;search_scope=EVERYTHING&amp;vid=01CRU&amp;lang=en_US&amp;offset=0&amp;query=any,contains,991003932809702656","Catalog Record")</f>
        <v>Catalog Record</v>
      </c>
      <c r="AT1255" s="6" t="str">
        <f>HYPERLINK("http://www.worldcat.org/oclc/45413570","WorldCat Record")</f>
        <v>WorldCat Record</v>
      </c>
      <c r="AU1255" s="3" t="s">
        <v>16115</v>
      </c>
      <c r="AV1255" s="3" t="s">
        <v>16116</v>
      </c>
      <c r="AW1255" s="3" t="s">
        <v>16117</v>
      </c>
      <c r="AX1255" s="3" t="s">
        <v>16117</v>
      </c>
      <c r="AY1255" s="3" t="s">
        <v>16118</v>
      </c>
      <c r="AZ1255" s="3" t="s">
        <v>74</v>
      </c>
      <c r="BB1255" s="3" t="s">
        <v>16119</v>
      </c>
      <c r="BC1255" s="3" t="s">
        <v>16120</v>
      </c>
      <c r="BD1255" s="3" t="s">
        <v>16121</v>
      </c>
    </row>
    <row r="1256" spans="1:56" ht="42.75" customHeight="1" x14ac:dyDescent="0.25">
      <c r="A1256" s="7" t="s">
        <v>58</v>
      </c>
      <c r="B1256" s="2" t="s">
        <v>16122</v>
      </c>
      <c r="C1256" s="2" t="s">
        <v>16123</v>
      </c>
      <c r="D1256" s="2" t="s">
        <v>16124</v>
      </c>
      <c r="F1256" s="3" t="s">
        <v>58</v>
      </c>
      <c r="G1256" s="3" t="s">
        <v>59</v>
      </c>
      <c r="H1256" s="3" t="s">
        <v>58</v>
      </c>
      <c r="I1256" s="3" t="s">
        <v>58</v>
      </c>
      <c r="J1256" s="3" t="s">
        <v>60</v>
      </c>
      <c r="L1256" s="2" t="s">
        <v>16125</v>
      </c>
      <c r="M1256" s="3" t="s">
        <v>737</v>
      </c>
      <c r="O1256" s="3" t="s">
        <v>64</v>
      </c>
      <c r="P1256" s="3" t="s">
        <v>224</v>
      </c>
      <c r="R1256" s="3" t="s">
        <v>67</v>
      </c>
      <c r="S1256" s="4">
        <v>2</v>
      </c>
      <c r="T1256" s="4">
        <v>2</v>
      </c>
      <c r="U1256" s="5" t="s">
        <v>12614</v>
      </c>
      <c r="V1256" s="5" t="s">
        <v>12614</v>
      </c>
      <c r="W1256" s="5" t="s">
        <v>13535</v>
      </c>
      <c r="X1256" s="5" t="s">
        <v>13535</v>
      </c>
      <c r="Y1256" s="4">
        <v>58</v>
      </c>
      <c r="Z1256" s="4">
        <v>43</v>
      </c>
      <c r="AA1256" s="4">
        <v>48</v>
      </c>
      <c r="AB1256" s="4">
        <v>1</v>
      </c>
      <c r="AC1256" s="4">
        <v>1</v>
      </c>
      <c r="AD1256" s="4">
        <v>1</v>
      </c>
      <c r="AE1256" s="4">
        <v>1</v>
      </c>
      <c r="AF1256" s="4">
        <v>1</v>
      </c>
      <c r="AG1256" s="4">
        <v>1</v>
      </c>
      <c r="AH1256" s="4">
        <v>0</v>
      </c>
      <c r="AI1256" s="4">
        <v>0</v>
      </c>
      <c r="AJ1256" s="4">
        <v>0</v>
      </c>
      <c r="AK1256" s="4">
        <v>0</v>
      </c>
      <c r="AL1256" s="4">
        <v>0</v>
      </c>
      <c r="AM1256" s="4">
        <v>0</v>
      </c>
      <c r="AN1256" s="4">
        <v>0</v>
      </c>
      <c r="AO1256" s="4">
        <v>0</v>
      </c>
      <c r="AP1256" s="3" t="s">
        <v>58</v>
      </c>
      <c r="AQ1256" s="3" t="s">
        <v>58</v>
      </c>
      <c r="AS1256" s="6" t="str">
        <f>HYPERLINK("https://creighton-primo.hosted.exlibrisgroup.com/primo-explore/search?tab=default_tab&amp;search_scope=EVERYTHING&amp;vid=01CRU&amp;lang=en_US&amp;offset=0&amp;query=any,contains,991003933829702656","Catalog Record")</f>
        <v>Catalog Record</v>
      </c>
      <c r="AT1256" s="6" t="str">
        <f>HYPERLINK("http://www.worldcat.org/oclc/29951824","WorldCat Record")</f>
        <v>WorldCat Record</v>
      </c>
      <c r="AU1256" s="3" t="s">
        <v>16126</v>
      </c>
      <c r="AV1256" s="3" t="s">
        <v>16127</v>
      </c>
      <c r="AW1256" s="3" t="s">
        <v>16128</v>
      </c>
      <c r="AX1256" s="3" t="s">
        <v>16128</v>
      </c>
      <c r="AY1256" s="3" t="s">
        <v>16129</v>
      </c>
      <c r="AZ1256" s="3" t="s">
        <v>74</v>
      </c>
      <c r="BB1256" s="3" t="s">
        <v>16130</v>
      </c>
      <c r="BC1256" s="3" t="s">
        <v>16131</v>
      </c>
      <c r="BD1256" s="3" t="s">
        <v>16132</v>
      </c>
    </row>
    <row r="1257" spans="1:56" ht="42.75" customHeight="1" x14ac:dyDescent="0.25">
      <c r="A1257" s="7" t="s">
        <v>58</v>
      </c>
      <c r="B1257" s="2" t="s">
        <v>16133</v>
      </c>
      <c r="C1257" s="2" t="s">
        <v>16134</v>
      </c>
      <c r="D1257" s="2" t="s">
        <v>16135</v>
      </c>
      <c r="F1257" s="3" t="s">
        <v>58</v>
      </c>
      <c r="G1257" s="3" t="s">
        <v>59</v>
      </c>
      <c r="H1257" s="3" t="s">
        <v>58</v>
      </c>
      <c r="I1257" s="3" t="s">
        <v>58</v>
      </c>
      <c r="J1257" s="3" t="s">
        <v>60</v>
      </c>
      <c r="L1257" s="2" t="s">
        <v>16136</v>
      </c>
      <c r="M1257" s="3" t="s">
        <v>534</v>
      </c>
      <c r="O1257" s="3" t="s">
        <v>64</v>
      </c>
      <c r="P1257" s="3" t="s">
        <v>115</v>
      </c>
      <c r="Q1257" s="2" t="s">
        <v>16042</v>
      </c>
      <c r="R1257" s="3" t="s">
        <v>67</v>
      </c>
      <c r="S1257" s="4">
        <v>37</v>
      </c>
      <c r="T1257" s="4">
        <v>37</v>
      </c>
      <c r="U1257" s="5" t="s">
        <v>16137</v>
      </c>
      <c r="V1257" s="5" t="s">
        <v>16137</v>
      </c>
      <c r="W1257" s="5" t="s">
        <v>16138</v>
      </c>
      <c r="X1257" s="5" t="s">
        <v>16138</v>
      </c>
      <c r="Y1257" s="4">
        <v>736</v>
      </c>
      <c r="Z1257" s="4">
        <v>659</v>
      </c>
      <c r="AA1257" s="4">
        <v>674</v>
      </c>
      <c r="AB1257" s="4">
        <v>3</v>
      </c>
      <c r="AC1257" s="4">
        <v>3</v>
      </c>
      <c r="AD1257" s="4">
        <v>35</v>
      </c>
      <c r="AE1257" s="4">
        <v>35</v>
      </c>
      <c r="AF1257" s="4">
        <v>14</v>
      </c>
      <c r="AG1257" s="4">
        <v>14</v>
      </c>
      <c r="AH1257" s="4">
        <v>8</v>
      </c>
      <c r="AI1257" s="4">
        <v>8</v>
      </c>
      <c r="AJ1257" s="4">
        <v>20</v>
      </c>
      <c r="AK1257" s="4">
        <v>20</v>
      </c>
      <c r="AL1257" s="4">
        <v>2</v>
      </c>
      <c r="AM1257" s="4">
        <v>2</v>
      </c>
      <c r="AN1257" s="4">
        <v>1</v>
      </c>
      <c r="AO1257" s="4">
        <v>1</v>
      </c>
      <c r="AP1257" s="3" t="s">
        <v>58</v>
      </c>
      <c r="AQ1257" s="3" t="s">
        <v>58</v>
      </c>
      <c r="AS1257" s="6" t="str">
        <f>HYPERLINK("https://creighton-primo.hosted.exlibrisgroup.com/primo-explore/search?tab=default_tab&amp;search_scope=EVERYTHING&amp;vid=01CRU&amp;lang=en_US&amp;offset=0&amp;query=any,contains,991001542159702656","Catalog Record")</f>
        <v>Catalog Record</v>
      </c>
      <c r="AT1257" s="6" t="str">
        <f>HYPERLINK("http://www.worldcat.org/oclc/20132241","WorldCat Record")</f>
        <v>WorldCat Record</v>
      </c>
      <c r="AU1257" s="3" t="s">
        <v>16139</v>
      </c>
      <c r="AV1257" s="3" t="s">
        <v>16140</v>
      </c>
      <c r="AW1257" s="3" t="s">
        <v>16141</v>
      </c>
      <c r="AX1257" s="3" t="s">
        <v>16141</v>
      </c>
      <c r="AY1257" s="3" t="s">
        <v>16142</v>
      </c>
      <c r="AZ1257" s="3" t="s">
        <v>74</v>
      </c>
      <c r="BB1257" s="3" t="s">
        <v>16143</v>
      </c>
      <c r="BC1257" s="3" t="s">
        <v>16144</v>
      </c>
      <c r="BD1257" s="3" t="s">
        <v>16145</v>
      </c>
    </row>
    <row r="1258" spans="1:56" ht="42.75" customHeight="1" x14ac:dyDescent="0.25">
      <c r="A1258" s="7" t="s">
        <v>58</v>
      </c>
      <c r="B1258" s="2" t="s">
        <v>16146</v>
      </c>
      <c r="C1258" s="2" t="s">
        <v>16147</v>
      </c>
      <c r="D1258" s="2" t="s">
        <v>16148</v>
      </c>
      <c r="F1258" s="3" t="s">
        <v>58</v>
      </c>
      <c r="G1258" s="3" t="s">
        <v>59</v>
      </c>
      <c r="H1258" s="3" t="s">
        <v>58</v>
      </c>
      <c r="I1258" s="3" t="s">
        <v>58</v>
      </c>
      <c r="J1258" s="3" t="s">
        <v>60</v>
      </c>
      <c r="L1258" s="2" t="s">
        <v>4933</v>
      </c>
      <c r="M1258" s="3" t="s">
        <v>2770</v>
      </c>
      <c r="O1258" s="3" t="s">
        <v>64</v>
      </c>
      <c r="P1258" s="3" t="s">
        <v>2609</v>
      </c>
      <c r="R1258" s="3" t="s">
        <v>67</v>
      </c>
      <c r="S1258" s="4">
        <v>42</v>
      </c>
      <c r="T1258" s="4">
        <v>42</v>
      </c>
      <c r="U1258" s="5" t="s">
        <v>16149</v>
      </c>
      <c r="V1258" s="5" t="s">
        <v>16149</v>
      </c>
      <c r="W1258" s="5" t="s">
        <v>374</v>
      </c>
      <c r="X1258" s="5" t="s">
        <v>374</v>
      </c>
      <c r="Y1258" s="4">
        <v>364</v>
      </c>
      <c r="Z1258" s="4">
        <v>304</v>
      </c>
      <c r="AA1258" s="4">
        <v>701</v>
      </c>
      <c r="AB1258" s="4">
        <v>3</v>
      </c>
      <c r="AC1258" s="4">
        <v>5</v>
      </c>
      <c r="AD1258" s="4">
        <v>12</v>
      </c>
      <c r="AE1258" s="4">
        <v>23</v>
      </c>
      <c r="AF1258" s="4">
        <v>4</v>
      </c>
      <c r="AG1258" s="4">
        <v>10</v>
      </c>
      <c r="AH1258" s="4">
        <v>2</v>
      </c>
      <c r="AI1258" s="4">
        <v>3</v>
      </c>
      <c r="AJ1258" s="4">
        <v>7</v>
      </c>
      <c r="AK1258" s="4">
        <v>14</v>
      </c>
      <c r="AL1258" s="4">
        <v>2</v>
      </c>
      <c r="AM1258" s="4">
        <v>3</v>
      </c>
      <c r="AN1258" s="4">
        <v>0</v>
      </c>
      <c r="AO1258" s="4">
        <v>0</v>
      </c>
      <c r="AP1258" s="3" t="s">
        <v>58</v>
      </c>
      <c r="AQ1258" s="3" t="s">
        <v>86</v>
      </c>
      <c r="AR1258" s="6" t="str">
        <f>HYPERLINK("http://catalog.hathitrust.org/Record/000173314","HathiTrust Record")</f>
        <v>HathiTrust Record</v>
      </c>
      <c r="AS1258" s="6" t="str">
        <f>HYPERLINK("https://creighton-primo.hosted.exlibrisgroup.com/primo-explore/search?tab=default_tab&amp;search_scope=EVERYTHING&amp;vid=01CRU&amp;lang=en_US&amp;offset=0&amp;query=any,contains,991004245239702656","Catalog Record")</f>
        <v>Catalog Record</v>
      </c>
      <c r="AT1258" s="6" t="str">
        <f>HYPERLINK("http://www.worldcat.org/oclc/2798189","WorldCat Record")</f>
        <v>WorldCat Record</v>
      </c>
      <c r="AU1258" s="3" t="s">
        <v>16150</v>
      </c>
      <c r="AV1258" s="3" t="s">
        <v>16151</v>
      </c>
      <c r="AW1258" s="3" t="s">
        <v>16152</v>
      </c>
      <c r="AX1258" s="3" t="s">
        <v>16152</v>
      </c>
      <c r="AY1258" s="3" t="s">
        <v>16153</v>
      </c>
      <c r="AZ1258" s="3" t="s">
        <v>74</v>
      </c>
      <c r="BB1258" s="3" t="s">
        <v>16154</v>
      </c>
      <c r="BC1258" s="3" t="s">
        <v>16155</v>
      </c>
      <c r="BD1258" s="3" t="s">
        <v>16156</v>
      </c>
    </row>
    <row r="1259" spans="1:56" ht="42.75" customHeight="1" x14ac:dyDescent="0.25">
      <c r="A1259" s="7" t="s">
        <v>58</v>
      </c>
      <c r="B1259" s="2" t="s">
        <v>16157</v>
      </c>
      <c r="C1259" s="2" t="s">
        <v>16158</v>
      </c>
      <c r="D1259" s="2" t="s">
        <v>16159</v>
      </c>
      <c r="F1259" s="3" t="s">
        <v>58</v>
      </c>
      <c r="G1259" s="3" t="s">
        <v>59</v>
      </c>
      <c r="H1259" s="3" t="s">
        <v>58</v>
      </c>
      <c r="I1259" s="3" t="s">
        <v>58</v>
      </c>
      <c r="J1259" s="3" t="s">
        <v>60</v>
      </c>
      <c r="L1259" s="2" t="s">
        <v>358</v>
      </c>
      <c r="M1259" s="3" t="s">
        <v>238</v>
      </c>
      <c r="O1259" s="3" t="s">
        <v>64</v>
      </c>
      <c r="P1259" s="3" t="s">
        <v>359</v>
      </c>
      <c r="R1259" s="3" t="s">
        <v>67</v>
      </c>
      <c r="S1259" s="4">
        <v>17</v>
      </c>
      <c r="T1259" s="4">
        <v>17</v>
      </c>
      <c r="U1259" s="5" t="s">
        <v>16160</v>
      </c>
      <c r="V1259" s="5" t="s">
        <v>16160</v>
      </c>
      <c r="W1259" s="5" t="s">
        <v>10100</v>
      </c>
      <c r="X1259" s="5" t="s">
        <v>10100</v>
      </c>
      <c r="Y1259" s="4">
        <v>279</v>
      </c>
      <c r="Z1259" s="4">
        <v>246</v>
      </c>
      <c r="AA1259" s="4">
        <v>306</v>
      </c>
      <c r="AB1259" s="4">
        <v>4</v>
      </c>
      <c r="AC1259" s="4">
        <v>4</v>
      </c>
      <c r="AD1259" s="4">
        <v>9</v>
      </c>
      <c r="AE1259" s="4">
        <v>12</v>
      </c>
      <c r="AF1259" s="4">
        <v>2</v>
      </c>
      <c r="AG1259" s="4">
        <v>4</v>
      </c>
      <c r="AH1259" s="4">
        <v>2</v>
      </c>
      <c r="AI1259" s="4">
        <v>2</v>
      </c>
      <c r="AJ1259" s="4">
        <v>6</v>
      </c>
      <c r="AK1259" s="4">
        <v>8</v>
      </c>
      <c r="AL1259" s="4">
        <v>2</v>
      </c>
      <c r="AM1259" s="4">
        <v>2</v>
      </c>
      <c r="AN1259" s="4">
        <v>0</v>
      </c>
      <c r="AO1259" s="4">
        <v>0</v>
      </c>
      <c r="AP1259" s="3" t="s">
        <v>58</v>
      </c>
      <c r="AQ1259" s="3" t="s">
        <v>86</v>
      </c>
      <c r="AR1259" s="6" t="str">
        <f>HYPERLINK("http://catalog.hathitrust.org/Record/000255842","HathiTrust Record")</f>
        <v>HathiTrust Record</v>
      </c>
      <c r="AS1259" s="6" t="str">
        <f>HYPERLINK("https://creighton-primo.hosted.exlibrisgroup.com/primo-explore/search?tab=default_tab&amp;search_scope=EVERYTHING&amp;vid=01CRU&amp;lang=en_US&amp;offset=0&amp;query=any,contains,991005265379702656","Catalog Record")</f>
        <v>Catalog Record</v>
      </c>
      <c r="AT1259" s="6" t="str">
        <f>HYPERLINK("http://www.worldcat.org/oclc/4493822","WorldCat Record")</f>
        <v>WorldCat Record</v>
      </c>
      <c r="AU1259" s="3" t="s">
        <v>16161</v>
      </c>
      <c r="AV1259" s="3" t="s">
        <v>16162</v>
      </c>
      <c r="AW1259" s="3" t="s">
        <v>16163</v>
      </c>
      <c r="AX1259" s="3" t="s">
        <v>16163</v>
      </c>
      <c r="AY1259" s="3" t="s">
        <v>16164</v>
      </c>
      <c r="AZ1259" s="3" t="s">
        <v>74</v>
      </c>
      <c r="BB1259" s="3" t="s">
        <v>16165</v>
      </c>
      <c r="BC1259" s="3" t="s">
        <v>16166</v>
      </c>
      <c r="BD1259" s="3" t="s">
        <v>16167</v>
      </c>
    </row>
    <row r="1260" spans="1:56" ht="42.75" customHeight="1" x14ac:dyDescent="0.25">
      <c r="A1260" s="7" t="s">
        <v>58</v>
      </c>
      <c r="B1260" s="2" t="s">
        <v>16168</v>
      </c>
      <c r="C1260" s="2" t="s">
        <v>16169</v>
      </c>
      <c r="D1260" s="2" t="s">
        <v>16170</v>
      </c>
      <c r="F1260" s="3" t="s">
        <v>58</v>
      </c>
      <c r="G1260" s="3" t="s">
        <v>59</v>
      </c>
      <c r="H1260" s="3" t="s">
        <v>58</v>
      </c>
      <c r="I1260" s="3" t="s">
        <v>58</v>
      </c>
      <c r="J1260" s="3" t="s">
        <v>60</v>
      </c>
      <c r="L1260" s="2" t="s">
        <v>16171</v>
      </c>
      <c r="M1260" s="3" t="s">
        <v>2770</v>
      </c>
      <c r="O1260" s="3" t="s">
        <v>64</v>
      </c>
      <c r="P1260" s="3" t="s">
        <v>359</v>
      </c>
      <c r="R1260" s="3" t="s">
        <v>67</v>
      </c>
      <c r="S1260" s="4">
        <v>23</v>
      </c>
      <c r="T1260" s="4">
        <v>23</v>
      </c>
      <c r="U1260" s="5" t="s">
        <v>16172</v>
      </c>
      <c r="V1260" s="5" t="s">
        <v>16172</v>
      </c>
      <c r="W1260" s="5" t="s">
        <v>16173</v>
      </c>
      <c r="X1260" s="5" t="s">
        <v>16173</v>
      </c>
      <c r="Y1260" s="4">
        <v>214</v>
      </c>
      <c r="Z1260" s="4">
        <v>190</v>
      </c>
      <c r="AA1260" s="4">
        <v>262</v>
      </c>
      <c r="AB1260" s="4">
        <v>3</v>
      </c>
      <c r="AC1260" s="4">
        <v>3</v>
      </c>
      <c r="AD1260" s="4">
        <v>7</v>
      </c>
      <c r="AE1260" s="4">
        <v>9</v>
      </c>
      <c r="AF1260" s="4">
        <v>2</v>
      </c>
      <c r="AG1260" s="4">
        <v>3</v>
      </c>
      <c r="AH1260" s="4">
        <v>2</v>
      </c>
      <c r="AI1260" s="4">
        <v>3</v>
      </c>
      <c r="AJ1260" s="4">
        <v>2</v>
      </c>
      <c r="AK1260" s="4">
        <v>3</v>
      </c>
      <c r="AL1260" s="4">
        <v>2</v>
      </c>
      <c r="AM1260" s="4">
        <v>2</v>
      </c>
      <c r="AN1260" s="4">
        <v>0</v>
      </c>
      <c r="AO1260" s="4">
        <v>0</v>
      </c>
      <c r="AP1260" s="3" t="s">
        <v>58</v>
      </c>
      <c r="AQ1260" s="3" t="s">
        <v>58</v>
      </c>
      <c r="AS1260" s="6" t="str">
        <f>HYPERLINK("https://creighton-primo.hosted.exlibrisgroup.com/primo-explore/search?tab=default_tab&amp;search_scope=EVERYTHING&amp;vid=01CRU&amp;lang=en_US&amp;offset=0&amp;query=any,contains,991004352239702656","Catalog Record")</f>
        <v>Catalog Record</v>
      </c>
      <c r="AT1260" s="6" t="str">
        <f>HYPERLINK("http://www.worldcat.org/oclc/3121002","WorldCat Record")</f>
        <v>WorldCat Record</v>
      </c>
      <c r="AU1260" s="3" t="s">
        <v>16174</v>
      </c>
      <c r="AV1260" s="3" t="s">
        <v>16175</v>
      </c>
      <c r="AW1260" s="3" t="s">
        <v>16176</v>
      </c>
      <c r="AX1260" s="3" t="s">
        <v>16176</v>
      </c>
      <c r="AY1260" s="3" t="s">
        <v>16177</v>
      </c>
      <c r="AZ1260" s="3" t="s">
        <v>74</v>
      </c>
      <c r="BB1260" s="3" t="s">
        <v>16178</v>
      </c>
      <c r="BC1260" s="3" t="s">
        <v>16179</v>
      </c>
      <c r="BD1260" s="3" t="s">
        <v>16180</v>
      </c>
    </row>
    <row r="1261" spans="1:56" ht="42.75" customHeight="1" x14ac:dyDescent="0.25">
      <c r="A1261" s="7" t="s">
        <v>58</v>
      </c>
      <c r="B1261" s="2" t="s">
        <v>16181</v>
      </c>
      <c r="C1261" s="2" t="s">
        <v>16182</v>
      </c>
      <c r="D1261" s="2" t="s">
        <v>16183</v>
      </c>
      <c r="F1261" s="3" t="s">
        <v>58</v>
      </c>
      <c r="G1261" s="3" t="s">
        <v>59</v>
      </c>
      <c r="H1261" s="3" t="s">
        <v>58</v>
      </c>
      <c r="I1261" s="3" t="s">
        <v>58</v>
      </c>
      <c r="J1261" s="3" t="s">
        <v>60</v>
      </c>
      <c r="K1261" s="2" t="s">
        <v>16184</v>
      </c>
      <c r="L1261" s="2" t="s">
        <v>16185</v>
      </c>
      <c r="M1261" s="3" t="s">
        <v>2770</v>
      </c>
      <c r="O1261" s="3" t="s">
        <v>64</v>
      </c>
      <c r="P1261" s="3" t="s">
        <v>115</v>
      </c>
      <c r="R1261" s="3" t="s">
        <v>67</v>
      </c>
      <c r="S1261" s="4">
        <v>35</v>
      </c>
      <c r="T1261" s="4">
        <v>35</v>
      </c>
      <c r="U1261" s="5" t="s">
        <v>7012</v>
      </c>
      <c r="V1261" s="5" t="s">
        <v>7012</v>
      </c>
      <c r="W1261" s="5" t="s">
        <v>429</v>
      </c>
      <c r="X1261" s="5" t="s">
        <v>429</v>
      </c>
      <c r="Y1261" s="4">
        <v>164</v>
      </c>
      <c r="Z1261" s="4">
        <v>136</v>
      </c>
      <c r="AA1261" s="4">
        <v>143</v>
      </c>
      <c r="AB1261" s="4">
        <v>3</v>
      </c>
      <c r="AC1261" s="4">
        <v>3</v>
      </c>
      <c r="AD1261" s="4">
        <v>7</v>
      </c>
      <c r="AE1261" s="4">
        <v>7</v>
      </c>
      <c r="AF1261" s="4">
        <v>2</v>
      </c>
      <c r="AG1261" s="4">
        <v>2</v>
      </c>
      <c r="AH1261" s="4">
        <v>1</v>
      </c>
      <c r="AI1261" s="4">
        <v>1</v>
      </c>
      <c r="AJ1261" s="4">
        <v>3</v>
      </c>
      <c r="AK1261" s="4">
        <v>3</v>
      </c>
      <c r="AL1261" s="4">
        <v>2</v>
      </c>
      <c r="AM1261" s="4">
        <v>2</v>
      </c>
      <c r="AN1261" s="4">
        <v>0</v>
      </c>
      <c r="AO1261" s="4">
        <v>0</v>
      </c>
      <c r="AP1261" s="3" t="s">
        <v>58</v>
      </c>
      <c r="AQ1261" s="3" t="s">
        <v>86</v>
      </c>
      <c r="AR1261" s="6" t="str">
        <f>HYPERLINK("http://catalog.hathitrust.org/Record/010657310","HathiTrust Record")</f>
        <v>HathiTrust Record</v>
      </c>
      <c r="AS1261" s="6" t="str">
        <f>HYPERLINK("https://creighton-primo.hosted.exlibrisgroup.com/primo-explore/search?tab=default_tab&amp;search_scope=EVERYTHING&amp;vid=01CRU&amp;lang=en_US&amp;offset=0&amp;query=any,contains,991004177289702656","Catalog Record")</f>
        <v>Catalog Record</v>
      </c>
      <c r="AT1261" s="6" t="str">
        <f>HYPERLINK("http://www.worldcat.org/oclc/2597426","WorldCat Record")</f>
        <v>WorldCat Record</v>
      </c>
      <c r="AU1261" s="3" t="s">
        <v>16186</v>
      </c>
      <c r="AV1261" s="3" t="s">
        <v>16187</v>
      </c>
      <c r="AW1261" s="3" t="s">
        <v>16188</v>
      </c>
      <c r="AX1261" s="3" t="s">
        <v>16188</v>
      </c>
      <c r="AY1261" s="3" t="s">
        <v>16189</v>
      </c>
      <c r="AZ1261" s="3" t="s">
        <v>74</v>
      </c>
      <c r="BB1261" s="3" t="s">
        <v>16190</v>
      </c>
      <c r="BC1261" s="3" t="s">
        <v>16191</v>
      </c>
      <c r="BD1261" s="3" t="s">
        <v>16192</v>
      </c>
    </row>
    <row r="1262" spans="1:56" ht="42.75" customHeight="1" x14ac:dyDescent="0.25">
      <c r="A1262" s="7" t="s">
        <v>58</v>
      </c>
      <c r="B1262" s="2" t="s">
        <v>16193</v>
      </c>
      <c r="C1262" s="2" t="s">
        <v>16194</v>
      </c>
      <c r="D1262" s="2" t="s">
        <v>16195</v>
      </c>
      <c r="F1262" s="3" t="s">
        <v>58</v>
      </c>
      <c r="G1262" s="3" t="s">
        <v>59</v>
      </c>
      <c r="H1262" s="3" t="s">
        <v>58</v>
      </c>
      <c r="I1262" s="3" t="s">
        <v>58</v>
      </c>
      <c r="J1262" s="3" t="s">
        <v>60</v>
      </c>
      <c r="K1262" s="2" t="s">
        <v>16196</v>
      </c>
      <c r="L1262" s="2" t="s">
        <v>16197</v>
      </c>
      <c r="M1262" s="3" t="s">
        <v>2227</v>
      </c>
      <c r="O1262" s="3" t="s">
        <v>64</v>
      </c>
      <c r="P1262" s="3" t="s">
        <v>115</v>
      </c>
      <c r="R1262" s="3" t="s">
        <v>67</v>
      </c>
      <c r="S1262" s="4">
        <v>17</v>
      </c>
      <c r="T1262" s="4">
        <v>17</v>
      </c>
      <c r="U1262" s="5" t="s">
        <v>16198</v>
      </c>
      <c r="V1262" s="5" t="s">
        <v>16198</v>
      </c>
      <c r="W1262" s="5" t="s">
        <v>1978</v>
      </c>
      <c r="X1262" s="5" t="s">
        <v>1978</v>
      </c>
      <c r="Y1262" s="4">
        <v>469</v>
      </c>
      <c r="Z1262" s="4">
        <v>403</v>
      </c>
      <c r="AA1262" s="4">
        <v>423</v>
      </c>
      <c r="AB1262" s="4">
        <v>4</v>
      </c>
      <c r="AC1262" s="4">
        <v>4</v>
      </c>
      <c r="AD1262" s="4">
        <v>22</v>
      </c>
      <c r="AE1262" s="4">
        <v>22</v>
      </c>
      <c r="AF1262" s="4">
        <v>8</v>
      </c>
      <c r="AG1262" s="4">
        <v>8</v>
      </c>
      <c r="AH1262" s="4">
        <v>6</v>
      </c>
      <c r="AI1262" s="4">
        <v>6</v>
      </c>
      <c r="AJ1262" s="4">
        <v>11</v>
      </c>
      <c r="AK1262" s="4">
        <v>11</v>
      </c>
      <c r="AL1262" s="4">
        <v>2</v>
      </c>
      <c r="AM1262" s="4">
        <v>2</v>
      </c>
      <c r="AN1262" s="4">
        <v>0</v>
      </c>
      <c r="AO1262" s="4">
        <v>0</v>
      </c>
      <c r="AP1262" s="3" t="s">
        <v>58</v>
      </c>
      <c r="AQ1262" s="3" t="s">
        <v>86</v>
      </c>
      <c r="AR1262" s="6" t="str">
        <f>HYPERLINK("http://catalog.hathitrust.org/Record/000417471","HathiTrust Record")</f>
        <v>HathiTrust Record</v>
      </c>
      <c r="AS1262" s="6" t="str">
        <f>HYPERLINK("https://creighton-primo.hosted.exlibrisgroup.com/primo-explore/search?tab=default_tab&amp;search_scope=EVERYTHING&amp;vid=01CRU&amp;lang=en_US&amp;offset=0&amp;query=any,contains,991000575399702656","Catalog Record")</f>
        <v>Catalog Record</v>
      </c>
      <c r="AT1262" s="6" t="str">
        <f>HYPERLINK("http://www.worldcat.org/oclc/11677498","WorldCat Record")</f>
        <v>WorldCat Record</v>
      </c>
      <c r="AU1262" s="3" t="s">
        <v>16199</v>
      </c>
      <c r="AV1262" s="3" t="s">
        <v>16200</v>
      </c>
      <c r="AW1262" s="3" t="s">
        <v>16201</v>
      </c>
      <c r="AX1262" s="3" t="s">
        <v>16201</v>
      </c>
      <c r="AY1262" s="3" t="s">
        <v>16202</v>
      </c>
      <c r="AZ1262" s="3" t="s">
        <v>74</v>
      </c>
      <c r="BB1262" s="3" t="s">
        <v>16203</v>
      </c>
      <c r="BC1262" s="3" t="s">
        <v>16204</v>
      </c>
      <c r="BD1262" s="3" t="s">
        <v>16205</v>
      </c>
    </row>
    <row r="1263" spans="1:56" ht="42.75" customHeight="1" x14ac:dyDescent="0.25">
      <c r="A1263" s="7" t="s">
        <v>58</v>
      </c>
      <c r="B1263" s="2" t="s">
        <v>16206</v>
      </c>
      <c r="C1263" s="2" t="s">
        <v>16207</v>
      </c>
      <c r="D1263" s="2" t="s">
        <v>16208</v>
      </c>
      <c r="F1263" s="3" t="s">
        <v>58</v>
      </c>
      <c r="G1263" s="3" t="s">
        <v>59</v>
      </c>
      <c r="H1263" s="3" t="s">
        <v>58</v>
      </c>
      <c r="I1263" s="3" t="s">
        <v>58</v>
      </c>
      <c r="J1263" s="3" t="s">
        <v>60</v>
      </c>
      <c r="K1263" s="2" t="s">
        <v>16209</v>
      </c>
      <c r="L1263" s="2" t="s">
        <v>16210</v>
      </c>
      <c r="M1263" s="3" t="s">
        <v>8834</v>
      </c>
      <c r="O1263" s="3" t="s">
        <v>64</v>
      </c>
      <c r="P1263" s="3" t="s">
        <v>115</v>
      </c>
      <c r="Q1263" s="2" t="s">
        <v>16211</v>
      </c>
      <c r="R1263" s="3" t="s">
        <v>67</v>
      </c>
      <c r="S1263" s="4">
        <v>23</v>
      </c>
      <c r="T1263" s="4">
        <v>23</v>
      </c>
      <c r="U1263" s="5" t="s">
        <v>16212</v>
      </c>
      <c r="V1263" s="5" t="s">
        <v>16212</v>
      </c>
      <c r="W1263" s="5" t="s">
        <v>13895</v>
      </c>
      <c r="X1263" s="5" t="s">
        <v>13895</v>
      </c>
      <c r="Y1263" s="4">
        <v>506</v>
      </c>
      <c r="Z1263" s="4">
        <v>459</v>
      </c>
      <c r="AA1263" s="4">
        <v>474</v>
      </c>
      <c r="AB1263" s="4">
        <v>4</v>
      </c>
      <c r="AC1263" s="4">
        <v>5</v>
      </c>
      <c r="AD1263" s="4">
        <v>28</v>
      </c>
      <c r="AE1263" s="4">
        <v>28</v>
      </c>
      <c r="AF1263" s="4">
        <v>9</v>
      </c>
      <c r="AG1263" s="4">
        <v>9</v>
      </c>
      <c r="AH1263" s="4">
        <v>7</v>
      </c>
      <c r="AI1263" s="4">
        <v>7</v>
      </c>
      <c r="AJ1263" s="4">
        <v>17</v>
      </c>
      <c r="AK1263" s="4">
        <v>17</v>
      </c>
      <c r="AL1263" s="4">
        <v>4</v>
      </c>
      <c r="AM1263" s="4">
        <v>4</v>
      </c>
      <c r="AN1263" s="4">
        <v>0</v>
      </c>
      <c r="AO1263" s="4">
        <v>0</v>
      </c>
      <c r="AP1263" s="3" t="s">
        <v>58</v>
      </c>
      <c r="AQ1263" s="3" t="s">
        <v>86</v>
      </c>
      <c r="AR1263" s="6" t="str">
        <f>HYPERLINK("http://catalog.hathitrust.org/Record/001565248","HathiTrust Record")</f>
        <v>HathiTrust Record</v>
      </c>
      <c r="AS1263" s="6" t="str">
        <f>HYPERLINK("https://creighton-primo.hosted.exlibrisgroup.com/primo-explore/search?tab=default_tab&amp;search_scope=EVERYTHING&amp;vid=01CRU&amp;lang=en_US&amp;offset=0&amp;query=any,contains,991003428619702656","Catalog Record")</f>
        <v>Catalog Record</v>
      </c>
      <c r="AT1263" s="6" t="str">
        <f>HYPERLINK("http://www.worldcat.org/oclc/965067","WorldCat Record")</f>
        <v>WorldCat Record</v>
      </c>
      <c r="AU1263" s="3" t="s">
        <v>16213</v>
      </c>
      <c r="AV1263" s="3" t="s">
        <v>16214</v>
      </c>
      <c r="AW1263" s="3" t="s">
        <v>16215</v>
      </c>
      <c r="AX1263" s="3" t="s">
        <v>16215</v>
      </c>
      <c r="AY1263" s="3" t="s">
        <v>16216</v>
      </c>
      <c r="AZ1263" s="3" t="s">
        <v>74</v>
      </c>
      <c r="BC1263" s="3" t="s">
        <v>16217</v>
      </c>
      <c r="BD1263" s="3" t="s">
        <v>16218</v>
      </c>
    </row>
    <row r="1264" spans="1:56" ht="42.75" customHeight="1" x14ac:dyDescent="0.25">
      <c r="A1264" s="7" t="s">
        <v>58</v>
      </c>
      <c r="B1264" s="2" t="s">
        <v>16219</v>
      </c>
      <c r="C1264" s="2" t="s">
        <v>16220</v>
      </c>
      <c r="D1264" s="2" t="s">
        <v>16221</v>
      </c>
      <c r="E1264" s="3" t="s">
        <v>16222</v>
      </c>
      <c r="F1264" s="3" t="s">
        <v>58</v>
      </c>
      <c r="G1264" s="3" t="s">
        <v>59</v>
      </c>
      <c r="H1264" s="3" t="s">
        <v>58</v>
      </c>
      <c r="I1264" s="3" t="s">
        <v>58</v>
      </c>
      <c r="J1264" s="3" t="s">
        <v>60</v>
      </c>
      <c r="L1264" s="2" t="s">
        <v>10881</v>
      </c>
      <c r="M1264" s="3" t="s">
        <v>63</v>
      </c>
      <c r="O1264" s="3" t="s">
        <v>64</v>
      </c>
      <c r="P1264" s="3" t="s">
        <v>115</v>
      </c>
      <c r="Q1264" s="2" t="s">
        <v>16223</v>
      </c>
      <c r="R1264" s="3" t="s">
        <v>67</v>
      </c>
      <c r="S1264" s="4">
        <v>7</v>
      </c>
      <c r="T1264" s="4">
        <v>7</v>
      </c>
      <c r="U1264" s="5" t="s">
        <v>16224</v>
      </c>
      <c r="V1264" s="5" t="s">
        <v>16224</v>
      </c>
      <c r="W1264" s="5" t="s">
        <v>2542</v>
      </c>
      <c r="X1264" s="5" t="s">
        <v>2542</v>
      </c>
      <c r="Y1264" s="4">
        <v>125</v>
      </c>
      <c r="Z1264" s="4">
        <v>101</v>
      </c>
      <c r="AA1264" s="4">
        <v>108</v>
      </c>
      <c r="AB1264" s="4">
        <v>1</v>
      </c>
      <c r="AC1264" s="4">
        <v>1</v>
      </c>
      <c r="AD1264" s="4">
        <v>4</v>
      </c>
      <c r="AE1264" s="4">
        <v>4</v>
      </c>
      <c r="AF1264" s="4">
        <v>2</v>
      </c>
      <c r="AG1264" s="4">
        <v>2</v>
      </c>
      <c r="AH1264" s="4">
        <v>0</v>
      </c>
      <c r="AI1264" s="4">
        <v>0</v>
      </c>
      <c r="AJ1264" s="4">
        <v>2</v>
      </c>
      <c r="AK1264" s="4">
        <v>2</v>
      </c>
      <c r="AL1264" s="4">
        <v>0</v>
      </c>
      <c r="AM1264" s="4">
        <v>0</v>
      </c>
      <c r="AN1264" s="4">
        <v>0</v>
      </c>
      <c r="AO1264" s="4">
        <v>0</v>
      </c>
      <c r="AP1264" s="3" t="s">
        <v>58</v>
      </c>
      <c r="AQ1264" s="3" t="s">
        <v>86</v>
      </c>
      <c r="AR1264" s="6" t="str">
        <f>HYPERLINK("http://catalog.hathitrust.org/Record/000334252","HathiTrust Record")</f>
        <v>HathiTrust Record</v>
      </c>
      <c r="AS1264" s="6" t="str">
        <f>HYPERLINK("https://creighton-primo.hosted.exlibrisgroup.com/primo-explore/search?tab=default_tab&amp;search_scope=EVERYTHING&amp;vid=01CRU&amp;lang=en_US&amp;offset=0&amp;query=any,contains,991000096029702656","Catalog Record")</f>
        <v>Catalog Record</v>
      </c>
      <c r="AT1264" s="6" t="str">
        <f>HYPERLINK("http://www.worldcat.org/oclc/8928853","WorldCat Record")</f>
        <v>WorldCat Record</v>
      </c>
      <c r="AU1264" s="3" t="s">
        <v>16225</v>
      </c>
      <c r="AV1264" s="3" t="s">
        <v>16226</v>
      </c>
      <c r="AW1264" s="3" t="s">
        <v>16227</v>
      </c>
      <c r="AX1264" s="3" t="s">
        <v>16227</v>
      </c>
      <c r="AY1264" s="3" t="s">
        <v>16228</v>
      </c>
      <c r="AZ1264" s="3" t="s">
        <v>74</v>
      </c>
      <c r="BB1264" s="3" t="s">
        <v>16229</v>
      </c>
      <c r="BC1264" s="3" t="s">
        <v>16230</v>
      </c>
      <c r="BD1264" s="3" t="s">
        <v>16231</v>
      </c>
    </row>
    <row r="1265" spans="1:56" ht="42.75" customHeight="1" x14ac:dyDescent="0.25">
      <c r="A1265" s="7" t="s">
        <v>58</v>
      </c>
      <c r="B1265" s="2" t="s">
        <v>16232</v>
      </c>
      <c r="C1265" s="2" t="s">
        <v>16233</v>
      </c>
      <c r="D1265" s="2" t="s">
        <v>16234</v>
      </c>
      <c r="E1265" s="3" t="s">
        <v>16235</v>
      </c>
      <c r="F1265" s="3" t="s">
        <v>58</v>
      </c>
      <c r="G1265" s="3" t="s">
        <v>59</v>
      </c>
      <c r="H1265" s="3" t="s">
        <v>58</v>
      </c>
      <c r="I1265" s="3" t="s">
        <v>58</v>
      </c>
      <c r="J1265" s="3" t="s">
        <v>60</v>
      </c>
      <c r="L1265" s="2" t="s">
        <v>10881</v>
      </c>
      <c r="M1265" s="3" t="s">
        <v>63</v>
      </c>
      <c r="O1265" s="3" t="s">
        <v>64</v>
      </c>
      <c r="P1265" s="3" t="s">
        <v>115</v>
      </c>
      <c r="Q1265" s="2" t="s">
        <v>16236</v>
      </c>
      <c r="R1265" s="3" t="s">
        <v>67</v>
      </c>
      <c r="S1265" s="4">
        <v>9</v>
      </c>
      <c r="T1265" s="4">
        <v>9</v>
      </c>
      <c r="U1265" s="5" t="s">
        <v>6826</v>
      </c>
      <c r="V1265" s="5" t="s">
        <v>6826</v>
      </c>
      <c r="W1265" s="5" t="s">
        <v>2542</v>
      </c>
      <c r="X1265" s="5" t="s">
        <v>2542</v>
      </c>
      <c r="Y1265" s="4">
        <v>102</v>
      </c>
      <c r="Z1265" s="4">
        <v>81</v>
      </c>
      <c r="AA1265" s="4">
        <v>81</v>
      </c>
      <c r="AB1265" s="4">
        <v>1</v>
      </c>
      <c r="AC1265" s="4">
        <v>1</v>
      </c>
      <c r="AD1265" s="4">
        <v>2</v>
      </c>
      <c r="AE1265" s="4">
        <v>2</v>
      </c>
      <c r="AF1265" s="4">
        <v>0</v>
      </c>
      <c r="AG1265" s="4">
        <v>0</v>
      </c>
      <c r="AH1265" s="4">
        <v>0</v>
      </c>
      <c r="AI1265" s="4">
        <v>0</v>
      </c>
      <c r="AJ1265" s="4">
        <v>2</v>
      </c>
      <c r="AK1265" s="4">
        <v>2</v>
      </c>
      <c r="AL1265" s="4">
        <v>0</v>
      </c>
      <c r="AM1265" s="4">
        <v>0</v>
      </c>
      <c r="AN1265" s="4">
        <v>0</v>
      </c>
      <c r="AO1265" s="4">
        <v>0</v>
      </c>
      <c r="AP1265" s="3" t="s">
        <v>58</v>
      </c>
      <c r="AQ1265" s="3" t="s">
        <v>58</v>
      </c>
      <c r="AS1265" s="6" t="str">
        <f>HYPERLINK("https://creighton-primo.hosted.exlibrisgroup.com/primo-explore/search?tab=default_tab&amp;search_scope=EVERYTHING&amp;vid=01CRU&amp;lang=en_US&amp;offset=0&amp;query=any,contains,991000113079702656","Catalog Record")</f>
        <v>Catalog Record</v>
      </c>
      <c r="AT1265" s="6" t="str">
        <f>HYPERLINK("http://www.worldcat.org/oclc/9018430","WorldCat Record")</f>
        <v>WorldCat Record</v>
      </c>
      <c r="AU1265" s="3" t="s">
        <v>16237</v>
      </c>
      <c r="AV1265" s="3" t="s">
        <v>16238</v>
      </c>
      <c r="AW1265" s="3" t="s">
        <v>16239</v>
      </c>
      <c r="AX1265" s="3" t="s">
        <v>16239</v>
      </c>
      <c r="AY1265" s="3" t="s">
        <v>16240</v>
      </c>
      <c r="AZ1265" s="3" t="s">
        <v>74</v>
      </c>
      <c r="BB1265" s="3" t="s">
        <v>16241</v>
      </c>
      <c r="BC1265" s="3" t="s">
        <v>16242</v>
      </c>
      <c r="BD1265" s="3" t="s">
        <v>16243</v>
      </c>
    </row>
    <row r="1266" spans="1:56" ht="42.75" customHeight="1" x14ac:dyDescent="0.25">
      <c r="A1266" s="7" t="s">
        <v>58</v>
      </c>
      <c r="B1266" s="2" t="s">
        <v>16244</v>
      </c>
      <c r="C1266" s="2" t="s">
        <v>16245</v>
      </c>
      <c r="D1266" s="2" t="s">
        <v>16246</v>
      </c>
      <c r="F1266" s="3" t="s">
        <v>58</v>
      </c>
      <c r="G1266" s="3" t="s">
        <v>59</v>
      </c>
      <c r="H1266" s="3" t="s">
        <v>58</v>
      </c>
      <c r="I1266" s="3" t="s">
        <v>58</v>
      </c>
      <c r="J1266" s="3" t="s">
        <v>60</v>
      </c>
      <c r="L1266" s="2" t="s">
        <v>16247</v>
      </c>
      <c r="M1266" s="3" t="s">
        <v>163</v>
      </c>
      <c r="O1266" s="3" t="s">
        <v>64</v>
      </c>
      <c r="P1266" s="3" t="s">
        <v>115</v>
      </c>
      <c r="R1266" s="3" t="s">
        <v>67</v>
      </c>
      <c r="S1266" s="4">
        <v>8</v>
      </c>
      <c r="T1266" s="4">
        <v>8</v>
      </c>
      <c r="U1266" s="5" t="s">
        <v>16248</v>
      </c>
      <c r="V1266" s="5" t="s">
        <v>16248</v>
      </c>
      <c r="W1266" s="5" t="s">
        <v>16249</v>
      </c>
      <c r="X1266" s="5" t="s">
        <v>16249</v>
      </c>
      <c r="Y1266" s="4">
        <v>600</v>
      </c>
      <c r="Z1266" s="4">
        <v>499</v>
      </c>
      <c r="AA1266" s="4">
        <v>507</v>
      </c>
      <c r="AB1266" s="4">
        <v>6</v>
      </c>
      <c r="AC1266" s="4">
        <v>6</v>
      </c>
      <c r="AD1266" s="4">
        <v>15</v>
      </c>
      <c r="AE1266" s="4">
        <v>15</v>
      </c>
      <c r="AF1266" s="4">
        <v>3</v>
      </c>
      <c r="AG1266" s="4">
        <v>3</v>
      </c>
      <c r="AH1266" s="4">
        <v>2</v>
      </c>
      <c r="AI1266" s="4">
        <v>2</v>
      </c>
      <c r="AJ1266" s="4">
        <v>7</v>
      </c>
      <c r="AK1266" s="4">
        <v>7</v>
      </c>
      <c r="AL1266" s="4">
        <v>5</v>
      </c>
      <c r="AM1266" s="4">
        <v>5</v>
      </c>
      <c r="AN1266" s="4">
        <v>0</v>
      </c>
      <c r="AO1266" s="4">
        <v>0</v>
      </c>
      <c r="AP1266" s="3" t="s">
        <v>58</v>
      </c>
      <c r="AQ1266" s="3" t="s">
        <v>86</v>
      </c>
      <c r="AR1266" s="6" t="str">
        <f>HYPERLINK("http://catalog.hathitrust.org/Record/001565228","HathiTrust Record")</f>
        <v>HathiTrust Record</v>
      </c>
      <c r="AS1266" s="6" t="str">
        <f>HYPERLINK("https://creighton-primo.hosted.exlibrisgroup.com/primo-explore/search?tab=default_tab&amp;search_scope=EVERYTHING&amp;vid=01CRU&amp;lang=en_US&amp;offset=0&amp;query=any,contains,991001287489702656","Catalog Record")</f>
        <v>Catalog Record</v>
      </c>
      <c r="AT1266" s="6" t="str">
        <f>HYPERLINK("http://www.worldcat.org/oclc/216901","WorldCat Record")</f>
        <v>WorldCat Record</v>
      </c>
      <c r="AU1266" s="3" t="s">
        <v>16250</v>
      </c>
      <c r="AV1266" s="3" t="s">
        <v>16251</v>
      </c>
      <c r="AW1266" s="3" t="s">
        <v>16252</v>
      </c>
      <c r="AX1266" s="3" t="s">
        <v>16252</v>
      </c>
      <c r="AY1266" s="3" t="s">
        <v>16253</v>
      </c>
      <c r="AZ1266" s="3" t="s">
        <v>74</v>
      </c>
      <c r="BB1266" s="3" t="s">
        <v>16254</v>
      </c>
      <c r="BC1266" s="3" t="s">
        <v>16255</v>
      </c>
      <c r="BD1266" s="3" t="s">
        <v>16256</v>
      </c>
    </row>
    <row r="1267" spans="1:56" ht="42.75" customHeight="1" x14ac:dyDescent="0.25">
      <c r="A1267" s="7" t="s">
        <v>58</v>
      </c>
      <c r="B1267" s="2" t="s">
        <v>16257</v>
      </c>
      <c r="C1267" s="2" t="s">
        <v>16258</v>
      </c>
      <c r="D1267" s="2" t="s">
        <v>16259</v>
      </c>
      <c r="F1267" s="3" t="s">
        <v>58</v>
      </c>
      <c r="G1267" s="3" t="s">
        <v>59</v>
      </c>
      <c r="H1267" s="3" t="s">
        <v>58</v>
      </c>
      <c r="I1267" s="3" t="s">
        <v>58</v>
      </c>
      <c r="J1267" s="3" t="s">
        <v>60</v>
      </c>
      <c r="K1267" s="2" t="s">
        <v>16260</v>
      </c>
      <c r="L1267" s="2" t="s">
        <v>16261</v>
      </c>
      <c r="M1267" s="3" t="s">
        <v>329</v>
      </c>
      <c r="O1267" s="3" t="s">
        <v>64</v>
      </c>
      <c r="P1267" s="3" t="s">
        <v>99</v>
      </c>
      <c r="R1267" s="3" t="s">
        <v>67</v>
      </c>
      <c r="S1267" s="4">
        <v>8</v>
      </c>
      <c r="T1267" s="4">
        <v>8</v>
      </c>
      <c r="U1267" s="5" t="s">
        <v>16262</v>
      </c>
      <c r="V1267" s="5" t="s">
        <v>16262</v>
      </c>
      <c r="W1267" s="5" t="s">
        <v>16263</v>
      </c>
      <c r="X1267" s="5" t="s">
        <v>16263</v>
      </c>
      <c r="Y1267" s="4">
        <v>625</v>
      </c>
      <c r="Z1267" s="4">
        <v>574</v>
      </c>
      <c r="AA1267" s="4">
        <v>579</v>
      </c>
      <c r="AB1267" s="4">
        <v>7</v>
      </c>
      <c r="AC1267" s="4">
        <v>7</v>
      </c>
      <c r="AD1267" s="4">
        <v>24</v>
      </c>
      <c r="AE1267" s="4">
        <v>24</v>
      </c>
      <c r="AF1267" s="4">
        <v>5</v>
      </c>
      <c r="AG1267" s="4">
        <v>5</v>
      </c>
      <c r="AH1267" s="4">
        <v>4</v>
      </c>
      <c r="AI1267" s="4">
        <v>4</v>
      </c>
      <c r="AJ1267" s="4">
        <v>14</v>
      </c>
      <c r="AK1267" s="4">
        <v>14</v>
      </c>
      <c r="AL1267" s="4">
        <v>4</v>
      </c>
      <c r="AM1267" s="4">
        <v>4</v>
      </c>
      <c r="AN1267" s="4">
        <v>0</v>
      </c>
      <c r="AO1267" s="4">
        <v>0</v>
      </c>
      <c r="AP1267" s="3" t="s">
        <v>58</v>
      </c>
      <c r="AQ1267" s="3" t="s">
        <v>86</v>
      </c>
      <c r="AR1267" s="6" t="str">
        <f>HYPERLINK("http://catalog.hathitrust.org/Record/001565230","HathiTrust Record")</f>
        <v>HathiTrust Record</v>
      </c>
      <c r="AS1267" s="6" t="str">
        <f>HYPERLINK("https://creighton-primo.hosted.exlibrisgroup.com/primo-explore/search?tab=default_tab&amp;search_scope=EVERYTHING&amp;vid=01CRU&amp;lang=en_US&amp;offset=0&amp;query=any,contains,991005265389702656","Catalog Record")</f>
        <v>Catalog Record</v>
      </c>
      <c r="AT1267" s="6" t="str">
        <f>HYPERLINK("http://www.worldcat.org/oclc/337400","WorldCat Record")</f>
        <v>WorldCat Record</v>
      </c>
      <c r="AU1267" s="3" t="s">
        <v>16264</v>
      </c>
      <c r="AV1267" s="3" t="s">
        <v>16265</v>
      </c>
      <c r="AW1267" s="3" t="s">
        <v>16266</v>
      </c>
      <c r="AX1267" s="3" t="s">
        <v>16266</v>
      </c>
      <c r="AY1267" s="3" t="s">
        <v>16267</v>
      </c>
      <c r="AZ1267" s="3" t="s">
        <v>74</v>
      </c>
      <c r="BC1267" s="3" t="s">
        <v>16268</v>
      </c>
      <c r="BD1267" s="3" t="s">
        <v>16269</v>
      </c>
    </row>
    <row r="1268" spans="1:56" ht="42.75" customHeight="1" x14ac:dyDescent="0.25">
      <c r="A1268" s="7" t="s">
        <v>58</v>
      </c>
      <c r="B1268" s="2" t="s">
        <v>16270</v>
      </c>
      <c r="C1268" s="2" t="s">
        <v>16271</v>
      </c>
      <c r="D1268" s="2" t="s">
        <v>16272</v>
      </c>
      <c r="F1268" s="3" t="s">
        <v>58</v>
      </c>
      <c r="G1268" s="3" t="s">
        <v>59</v>
      </c>
      <c r="H1268" s="3" t="s">
        <v>58</v>
      </c>
      <c r="I1268" s="3" t="s">
        <v>58</v>
      </c>
      <c r="J1268" s="3" t="s">
        <v>60</v>
      </c>
      <c r="K1268" s="2" t="s">
        <v>16273</v>
      </c>
      <c r="L1268" s="2" t="s">
        <v>16274</v>
      </c>
      <c r="M1268" s="3" t="s">
        <v>586</v>
      </c>
      <c r="O1268" s="3" t="s">
        <v>64</v>
      </c>
      <c r="P1268" s="3" t="s">
        <v>115</v>
      </c>
      <c r="R1268" s="3" t="s">
        <v>67</v>
      </c>
      <c r="S1268" s="4">
        <v>57</v>
      </c>
      <c r="T1268" s="4">
        <v>57</v>
      </c>
      <c r="U1268" s="5" t="s">
        <v>16275</v>
      </c>
      <c r="V1268" s="5" t="s">
        <v>16275</v>
      </c>
      <c r="W1268" s="5" t="s">
        <v>4552</v>
      </c>
      <c r="X1268" s="5" t="s">
        <v>4552</v>
      </c>
      <c r="Y1268" s="4">
        <v>638</v>
      </c>
      <c r="Z1268" s="4">
        <v>564</v>
      </c>
      <c r="AA1268" s="4">
        <v>582</v>
      </c>
      <c r="AB1268" s="4">
        <v>4</v>
      </c>
      <c r="AC1268" s="4">
        <v>4</v>
      </c>
      <c r="AD1268" s="4">
        <v>17</v>
      </c>
      <c r="AE1268" s="4">
        <v>17</v>
      </c>
      <c r="AF1268" s="4">
        <v>5</v>
      </c>
      <c r="AG1268" s="4">
        <v>5</v>
      </c>
      <c r="AH1268" s="4">
        <v>3</v>
      </c>
      <c r="AI1268" s="4">
        <v>3</v>
      </c>
      <c r="AJ1268" s="4">
        <v>10</v>
      </c>
      <c r="AK1268" s="4">
        <v>10</v>
      </c>
      <c r="AL1268" s="4">
        <v>3</v>
      </c>
      <c r="AM1268" s="4">
        <v>3</v>
      </c>
      <c r="AN1268" s="4">
        <v>0</v>
      </c>
      <c r="AO1268" s="4">
        <v>0</v>
      </c>
      <c r="AP1268" s="3" t="s">
        <v>58</v>
      </c>
      <c r="AQ1268" s="3" t="s">
        <v>86</v>
      </c>
      <c r="AR1268" s="6" t="str">
        <f>HYPERLINK("http://catalog.hathitrust.org/Record/002468047","HathiTrust Record")</f>
        <v>HathiTrust Record</v>
      </c>
      <c r="AS1268" s="6" t="str">
        <f>HYPERLINK("https://creighton-primo.hosted.exlibrisgroup.com/primo-explore/search?tab=default_tab&amp;search_scope=EVERYTHING&amp;vid=01CRU&amp;lang=en_US&amp;offset=0&amp;query=any,contains,991001812299702656","Catalog Record")</f>
        <v>Catalog Record</v>
      </c>
      <c r="AT1268" s="6" t="str">
        <f>HYPERLINK("http://www.worldcat.org/oclc/22764423","WorldCat Record")</f>
        <v>WorldCat Record</v>
      </c>
      <c r="AU1268" s="3" t="s">
        <v>16276</v>
      </c>
      <c r="AV1268" s="3" t="s">
        <v>16277</v>
      </c>
      <c r="AW1268" s="3" t="s">
        <v>16278</v>
      </c>
      <c r="AX1268" s="3" t="s">
        <v>16278</v>
      </c>
      <c r="AY1268" s="3" t="s">
        <v>16279</v>
      </c>
      <c r="AZ1268" s="3" t="s">
        <v>74</v>
      </c>
      <c r="BB1268" s="3" t="s">
        <v>16280</v>
      </c>
      <c r="BC1268" s="3" t="s">
        <v>16281</v>
      </c>
      <c r="BD1268" s="3" t="s">
        <v>16282</v>
      </c>
    </row>
    <row r="1269" spans="1:56" ht="42.75" customHeight="1" x14ac:dyDescent="0.25">
      <c r="A1269" s="7" t="s">
        <v>58</v>
      </c>
      <c r="B1269" s="2" t="s">
        <v>16283</v>
      </c>
      <c r="C1269" s="2" t="s">
        <v>16284</v>
      </c>
      <c r="D1269" s="2" t="s">
        <v>16285</v>
      </c>
      <c r="F1269" s="3" t="s">
        <v>58</v>
      </c>
      <c r="G1269" s="3" t="s">
        <v>59</v>
      </c>
      <c r="H1269" s="3" t="s">
        <v>58</v>
      </c>
      <c r="I1269" s="3" t="s">
        <v>58</v>
      </c>
      <c r="J1269" s="3" t="s">
        <v>60</v>
      </c>
      <c r="K1269" s="2" t="s">
        <v>16286</v>
      </c>
      <c r="L1269" s="2" t="s">
        <v>5903</v>
      </c>
      <c r="M1269" s="3" t="s">
        <v>344</v>
      </c>
      <c r="O1269" s="3" t="s">
        <v>64</v>
      </c>
      <c r="P1269" s="3" t="s">
        <v>359</v>
      </c>
      <c r="R1269" s="3" t="s">
        <v>67</v>
      </c>
      <c r="S1269" s="4">
        <v>5</v>
      </c>
      <c r="T1269" s="4">
        <v>5</v>
      </c>
      <c r="U1269" s="5" t="s">
        <v>16287</v>
      </c>
      <c r="V1269" s="5" t="s">
        <v>16287</v>
      </c>
      <c r="W1269" s="5" t="s">
        <v>16288</v>
      </c>
      <c r="X1269" s="5" t="s">
        <v>16288</v>
      </c>
      <c r="Y1269" s="4">
        <v>242</v>
      </c>
      <c r="Z1269" s="4">
        <v>188</v>
      </c>
      <c r="AA1269" s="4">
        <v>214</v>
      </c>
      <c r="AB1269" s="4">
        <v>2</v>
      </c>
      <c r="AC1269" s="4">
        <v>2</v>
      </c>
      <c r="AD1269" s="4">
        <v>10</v>
      </c>
      <c r="AE1269" s="4">
        <v>10</v>
      </c>
      <c r="AF1269" s="4">
        <v>3</v>
      </c>
      <c r="AG1269" s="4">
        <v>3</v>
      </c>
      <c r="AH1269" s="4">
        <v>3</v>
      </c>
      <c r="AI1269" s="4">
        <v>3</v>
      </c>
      <c r="AJ1269" s="4">
        <v>8</v>
      </c>
      <c r="AK1269" s="4">
        <v>8</v>
      </c>
      <c r="AL1269" s="4">
        <v>1</v>
      </c>
      <c r="AM1269" s="4">
        <v>1</v>
      </c>
      <c r="AN1269" s="4">
        <v>0</v>
      </c>
      <c r="AO1269" s="4">
        <v>0</v>
      </c>
      <c r="AP1269" s="3" t="s">
        <v>58</v>
      </c>
      <c r="AQ1269" s="3" t="s">
        <v>86</v>
      </c>
      <c r="AR1269" s="6" t="str">
        <f>HYPERLINK("http://catalog.hathitrust.org/Record/000030549","HathiTrust Record")</f>
        <v>HathiTrust Record</v>
      </c>
      <c r="AS1269" s="6" t="str">
        <f>HYPERLINK("https://creighton-primo.hosted.exlibrisgroup.com/primo-explore/search?tab=default_tab&amp;search_scope=EVERYTHING&amp;vid=01CRU&amp;lang=en_US&amp;offset=0&amp;query=any,contains,991005152519702656","Catalog Record")</f>
        <v>Catalog Record</v>
      </c>
      <c r="AT1269" s="6" t="str">
        <f>HYPERLINK("http://www.worldcat.org/oclc/5219646","WorldCat Record")</f>
        <v>WorldCat Record</v>
      </c>
      <c r="AU1269" s="3" t="s">
        <v>16289</v>
      </c>
      <c r="AV1269" s="3" t="s">
        <v>16290</v>
      </c>
      <c r="AW1269" s="3" t="s">
        <v>16291</v>
      </c>
      <c r="AX1269" s="3" t="s">
        <v>16291</v>
      </c>
      <c r="AY1269" s="3" t="s">
        <v>16292</v>
      </c>
      <c r="AZ1269" s="3" t="s">
        <v>74</v>
      </c>
      <c r="BB1269" s="3" t="s">
        <v>16293</v>
      </c>
      <c r="BC1269" s="3" t="s">
        <v>16294</v>
      </c>
      <c r="BD1269" s="3" t="s">
        <v>16295</v>
      </c>
    </row>
    <row r="1270" spans="1:56" ht="42.75" customHeight="1" x14ac:dyDescent="0.25">
      <c r="A1270" s="7" t="s">
        <v>58</v>
      </c>
      <c r="B1270" s="2" t="s">
        <v>16296</v>
      </c>
      <c r="C1270" s="2" t="s">
        <v>16297</v>
      </c>
      <c r="D1270" s="2" t="s">
        <v>16298</v>
      </c>
      <c r="F1270" s="3" t="s">
        <v>58</v>
      </c>
      <c r="G1270" s="3" t="s">
        <v>59</v>
      </c>
      <c r="H1270" s="3" t="s">
        <v>58</v>
      </c>
      <c r="I1270" s="3" t="s">
        <v>58</v>
      </c>
      <c r="J1270" s="3" t="s">
        <v>60</v>
      </c>
      <c r="K1270" s="2" t="s">
        <v>16299</v>
      </c>
      <c r="L1270" s="2" t="s">
        <v>11601</v>
      </c>
      <c r="M1270" s="3" t="s">
        <v>2227</v>
      </c>
      <c r="O1270" s="3" t="s">
        <v>64</v>
      </c>
      <c r="P1270" s="3" t="s">
        <v>115</v>
      </c>
      <c r="Q1270" s="2" t="s">
        <v>6278</v>
      </c>
      <c r="R1270" s="3" t="s">
        <v>67</v>
      </c>
      <c r="S1270" s="4">
        <v>21</v>
      </c>
      <c r="T1270" s="4">
        <v>21</v>
      </c>
      <c r="U1270" s="5" t="s">
        <v>12588</v>
      </c>
      <c r="V1270" s="5" t="s">
        <v>12588</v>
      </c>
      <c r="W1270" s="5" t="s">
        <v>4459</v>
      </c>
      <c r="X1270" s="5" t="s">
        <v>4459</v>
      </c>
      <c r="Y1270" s="4">
        <v>691</v>
      </c>
      <c r="Z1270" s="4">
        <v>619</v>
      </c>
      <c r="AA1270" s="4">
        <v>639</v>
      </c>
      <c r="AB1270" s="4">
        <v>9</v>
      </c>
      <c r="AC1270" s="4">
        <v>9</v>
      </c>
      <c r="AD1270" s="4">
        <v>35</v>
      </c>
      <c r="AE1270" s="4">
        <v>35</v>
      </c>
      <c r="AF1270" s="4">
        <v>11</v>
      </c>
      <c r="AG1270" s="4">
        <v>11</v>
      </c>
      <c r="AH1270" s="4">
        <v>7</v>
      </c>
      <c r="AI1270" s="4">
        <v>7</v>
      </c>
      <c r="AJ1270" s="4">
        <v>18</v>
      </c>
      <c r="AK1270" s="4">
        <v>18</v>
      </c>
      <c r="AL1270" s="4">
        <v>7</v>
      </c>
      <c r="AM1270" s="4">
        <v>7</v>
      </c>
      <c r="AN1270" s="4">
        <v>0</v>
      </c>
      <c r="AO1270" s="4">
        <v>0</v>
      </c>
      <c r="AP1270" s="3" t="s">
        <v>58</v>
      </c>
      <c r="AQ1270" s="3" t="s">
        <v>86</v>
      </c>
      <c r="AR1270" s="6" t="str">
        <f>HYPERLINK("http://catalog.hathitrust.org/Record/000417953","HathiTrust Record")</f>
        <v>HathiTrust Record</v>
      </c>
      <c r="AS1270" s="6" t="str">
        <f>HYPERLINK("https://creighton-primo.hosted.exlibrisgroup.com/primo-explore/search?tab=default_tab&amp;search_scope=EVERYTHING&amp;vid=01CRU&amp;lang=en_US&amp;offset=0&amp;query=any,contains,991000579439702656","Catalog Record")</f>
        <v>Catalog Record</v>
      </c>
      <c r="AT1270" s="6" t="str">
        <f>HYPERLINK("http://www.worldcat.org/oclc/11727011","WorldCat Record")</f>
        <v>WorldCat Record</v>
      </c>
      <c r="AU1270" s="3" t="s">
        <v>16300</v>
      </c>
      <c r="AV1270" s="3" t="s">
        <v>16301</v>
      </c>
      <c r="AW1270" s="3" t="s">
        <v>16302</v>
      </c>
      <c r="AX1270" s="3" t="s">
        <v>16302</v>
      </c>
      <c r="AY1270" s="3" t="s">
        <v>16303</v>
      </c>
      <c r="AZ1270" s="3" t="s">
        <v>74</v>
      </c>
      <c r="BB1270" s="3" t="s">
        <v>16304</v>
      </c>
      <c r="BC1270" s="3" t="s">
        <v>16305</v>
      </c>
      <c r="BD1270" s="3" t="s">
        <v>16306</v>
      </c>
    </row>
    <row r="1271" spans="1:56" ht="42.75" customHeight="1" x14ac:dyDescent="0.25">
      <c r="A1271" s="7" t="s">
        <v>58</v>
      </c>
      <c r="B1271" s="2" t="s">
        <v>16307</v>
      </c>
      <c r="C1271" s="2" t="s">
        <v>16308</v>
      </c>
      <c r="D1271" s="2" t="s">
        <v>16309</v>
      </c>
      <c r="F1271" s="3" t="s">
        <v>58</v>
      </c>
      <c r="G1271" s="3" t="s">
        <v>59</v>
      </c>
      <c r="H1271" s="3" t="s">
        <v>86</v>
      </c>
      <c r="I1271" s="3" t="s">
        <v>58</v>
      </c>
      <c r="J1271" s="3" t="s">
        <v>60</v>
      </c>
      <c r="K1271" s="2" t="s">
        <v>16310</v>
      </c>
      <c r="L1271" s="2" t="s">
        <v>16311</v>
      </c>
      <c r="M1271" s="3" t="s">
        <v>4296</v>
      </c>
      <c r="O1271" s="3" t="s">
        <v>64</v>
      </c>
      <c r="P1271" s="3" t="s">
        <v>115</v>
      </c>
      <c r="R1271" s="3" t="s">
        <v>67</v>
      </c>
      <c r="S1271" s="4">
        <v>6</v>
      </c>
      <c r="T1271" s="4">
        <v>6</v>
      </c>
      <c r="U1271" s="5" t="s">
        <v>7012</v>
      </c>
      <c r="V1271" s="5" t="s">
        <v>7012</v>
      </c>
      <c r="W1271" s="5" t="s">
        <v>16312</v>
      </c>
      <c r="X1271" s="5" t="s">
        <v>16312</v>
      </c>
      <c r="Y1271" s="4">
        <v>356</v>
      </c>
      <c r="Z1271" s="4">
        <v>294</v>
      </c>
      <c r="AA1271" s="4">
        <v>301</v>
      </c>
      <c r="AB1271" s="4">
        <v>4</v>
      </c>
      <c r="AC1271" s="4">
        <v>4</v>
      </c>
      <c r="AD1271" s="4">
        <v>10</v>
      </c>
      <c r="AE1271" s="4">
        <v>10</v>
      </c>
      <c r="AF1271" s="4">
        <v>5</v>
      </c>
      <c r="AG1271" s="4">
        <v>5</v>
      </c>
      <c r="AH1271" s="4">
        <v>1</v>
      </c>
      <c r="AI1271" s="4">
        <v>1</v>
      </c>
      <c r="AJ1271" s="4">
        <v>3</v>
      </c>
      <c r="AK1271" s="4">
        <v>3</v>
      </c>
      <c r="AL1271" s="4">
        <v>2</v>
      </c>
      <c r="AM1271" s="4">
        <v>2</v>
      </c>
      <c r="AN1271" s="4">
        <v>0</v>
      </c>
      <c r="AO1271" s="4">
        <v>0</v>
      </c>
      <c r="AP1271" s="3" t="s">
        <v>58</v>
      </c>
      <c r="AQ1271" s="3" t="s">
        <v>86</v>
      </c>
      <c r="AR1271" s="6" t="str">
        <f>HYPERLINK("http://catalog.hathitrust.org/Record/000015117","HathiTrust Record")</f>
        <v>HathiTrust Record</v>
      </c>
      <c r="AS1271" s="6" t="str">
        <f>HYPERLINK("https://creighton-primo.hosted.exlibrisgroup.com/primo-explore/search?tab=default_tab&amp;search_scope=EVERYTHING&amp;vid=01CRU&amp;lang=en_US&amp;offset=0&amp;query=any,contains,991001806549702656","Catalog Record")</f>
        <v>Catalog Record</v>
      </c>
      <c r="AT1271" s="6" t="str">
        <f>HYPERLINK("http://www.worldcat.org/oclc/940651","WorldCat Record")</f>
        <v>WorldCat Record</v>
      </c>
      <c r="AU1271" s="3" t="s">
        <v>16313</v>
      </c>
      <c r="AV1271" s="3" t="s">
        <v>16314</v>
      </c>
      <c r="AW1271" s="3" t="s">
        <v>16315</v>
      </c>
      <c r="AX1271" s="3" t="s">
        <v>16315</v>
      </c>
      <c r="AY1271" s="3" t="s">
        <v>16316</v>
      </c>
      <c r="AZ1271" s="3" t="s">
        <v>74</v>
      </c>
      <c r="BB1271" s="3" t="s">
        <v>16317</v>
      </c>
      <c r="BC1271" s="3" t="s">
        <v>16318</v>
      </c>
      <c r="BD1271" s="3" t="s">
        <v>16319</v>
      </c>
    </row>
    <row r="1272" spans="1:56" ht="42.75" customHeight="1" x14ac:dyDescent="0.25">
      <c r="A1272" s="7" t="s">
        <v>58</v>
      </c>
      <c r="B1272" s="2" t="s">
        <v>16320</v>
      </c>
      <c r="C1272" s="2" t="s">
        <v>16321</v>
      </c>
      <c r="D1272" s="2" t="s">
        <v>16322</v>
      </c>
      <c r="F1272" s="3" t="s">
        <v>58</v>
      </c>
      <c r="G1272" s="3" t="s">
        <v>59</v>
      </c>
      <c r="H1272" s="3" t="s">
        <v>58</v>
      </c>
      <c r="I1272" s="3" t="s">
        <v>58</v>
      </c>
      <c r="J1272" s="3" t="s">
        <v>60</v>
      </c>
      <c r="K1272" s="2" t="s">
        <v>16323</v>
      </c>
      <c r="L1272" s="2" t="s">
        <v>16324</v>
      </c>
      <c r="M1272" s="3" t="s">
        <v>3124</v>
      </c>
      <c r="O1272" s="3" t="s">
        <v>64</v>
      </c>
      <c r="P1272" s="3" t="s">
        <v>115</v>
      </c>
      <c r="R1272" s="3" t="s">
        <v>67</v>
      </c>
      <c r="S1272" s="4">
        <v>3</v>
      </c>
      <c r="T1272" s="4">
        <v>3</v>
      </c>
      <c r="U1272" s="5" t="s">
        <v>15930</v>
      </c>
      <c r="V1272" s="5" t="s">
        <v>15930</v>
      </c>
      <c r="W1272" s="5" t="s">
        <v>2542</v>
      </c>
      <c r="X1272" s="5" t="s">
        <v>2542</v>
      </c>
      <c r="Y1272" s="4">
        <v>541</v>
      </c>
      <c r="Z1272" s="4">
        <v>453</v>
      </c>
      <c r="AA1272" s="4">
        <v>461</v>
      </c>
      <c r="AB1272" s="4">
        <v>7</v>
      </c>
      <c r="AC1272" s="4">
        <v>7</v>
      </c>
      <c r="AD1272" s="4">
        <v>12</v>
      </c>
      <c r="AE1272" s="4">
        <v>12</v>
      </c>
      <c r="AF1272" s="4">
        <v>1</v>
      </c>
      <c r="AG1272" s="4">
        <v>1</v>
      </c>
      <c r="AH1272" s="4">
        <v>1</v>
      </c>
      <c r="AI1272" s="4">
        <v>1</v>
      </c>
      <c r="AJ1272" s="4">
        <v>5</v>
      </c>
      <c r="AK1272" s="4">
        <v>5</v>
      </c>
      <c r="AL1272" s="4">
        <v>5</v>
      </c>
      <c r="AM1272" s="4">
        <v>5</v>
      </c>
      <c r="AN1272" s="4">
        <v>1</v>
      </c>
      <c r="AO1272" s="4">
        <v>1</v>
      </c>
      <c r="AP1272" s="3" t="s">
        <v>58</v>
      </c>
      <c r="AQ1272" s="3" t="s">
        <v>86</v>
      </c>
      <c r="AR1272" s="6" t="str">
        <f>HYPERLINK("http://catalog.hathitrust.org/Record/001565233","HathiTrust Record")</f>
        <v>HathiTrust Record</v>
      </c>
      <c r="AS1272" s="6" t="str">
        <f>HYPERLINK("https://creighton-primo.hosted.exlibrisgroup.com/primo-explore/search?tab=default_tab&amp;search_scope=EVERYTHING&amp;vid=01CRU&amp;lang=en_US&amp;offset=0&amp;query=any,contains,991000605599702656","Catalog Record")</f>
        <v>Catalog Record</v>
      </c>
      <c r="AT1272" s="6" t="str">
        <f>HYPERLINK("http://www.worldcat.org/oclc/98964","WorldCat Record")</f>
        <v>WorldCat Record</v>
      </c>
      <c r="AU1272" s="3" t="s">
        <v>16325</v>
      </c>
      <c r="AV1272" s="3" t="s">
        <v>16326</v>
      </c>
      <c r="AW1272" s="3" t="s">
        <v>16327</v>
      </c>
      <c r="AX1272" s="3" t="s">
        <v>16327</v>
      </c>
      <c r="AY1272" s="3" t="s">
        <v>16328</v>
      </c>
      <c r="AZ1272" s="3" t="s">
        <v>74</v>
      </c>
      <c r="BC1272" s="3" t="s">
        <v>16329</v>
      </c>
      <c r="BD1272" s="3" t="s">
        <v>16330</v>
      </c>
    </row>
    <row r="1273" spans="1:56" ht="42.75" customHeight="1" x14ac:dyDescent="0.25">
      <c r="A1273" s="7" t="s">
        <v>58</v>
      </c>
      <c r="B1273" s="2" t="s">
        <v>16331</v>
      </c>
      <c r="C1273" s="2" t="s">
        <v>16332</v>
      </c>
      <c r="D1273" s="2" t="s">
        <v>16333</v>
      </c>
      <c r="F1273" s="3" t="s">
        <v>58</v>
      </c>
      <c r="G1273" s="3" t="s">
        <v>59</v>
      </c>
      <c r="H1273" s="3" t="s">
        <v>58</v>
      </c>
      <c r="I1273" s="3" t="s">
        <v>58</v>
      </c>
      <c r="J1273" s="3" t="s">
        <v>60</v>
      </c>
      <c r="L1273" s="2" t="s">
        <v>16334</v>
      </c>
      <c r="M1273" s="3" t="s">
        <v>1574</v>
      </c>
      <c r="O1273" s="3" t="s">
        <v>64</v>
      </c>
      <c r="P1273" s="3" t="s">
        <v>115</v>
      </c>
      <c r="R1273" s="3" t="s">
        <v>67</v>
      </c>
      <c r="S1273" s="4">
        <v>9</v>
      </c>
      <c r="T1273" s="4">
        <v>9</v>
      </c>
      <c r="U1273" s="5" t="s">
        <v>16335</v>
      </c>
      <c r="V1273" s="5" t="s">
        <v>16335</v>
      </c>
      <c r="W1273" s="5" t="s">
        <v>6120</v>
      </c>
      <c r="X1273" s="5" t="s">
        <v>6120</v>
      </c>
      <c r="Y1273" s="4">
        <v>276</v>
      </c>
      <c r="Z1273" s="4">
        <v>210</v>
      </c>
      <c r="AA1273" s="4">
        <v>237</v>
      </c>
      <c r="AB1273" s="4">
        <v>2</v>
      </c>
      <c r="AC1273" s="4">
        <v>2</v>
      </c>
      <c r="AD1273" s="4">
        <v>13</v>
      </c>
      <c r="AE1273" s="4">
        <v>14</v>
      </c>
      <c r="AF1273" s="4">
        <v>5</v>
      </c>
      <c r="AG1273" s="4">
        <v>6</v>
      </c>
      <c r="AH1273" s="4">
        <v>4</v>
      </c>
      <c r="AI1273" s="4">
        <v>4</v>
      </c>
      <c r="AJ1273" s="4">
        <v>7</v>
      </c>
      <c r="AK1273" s="4">
        <v>7</v>
      </c>
      <c r="AL1273" s="4">
        <v>1</v>
      </c>
      <c r="AM1273" s="4">
        <v>1</v>
      </c>
      <c r="AN1273" s="4">
        <v>0</v>
      </c>
      <c r="AO1273" s="4">
        <v>0</v>
      </c>
      <c r="AP1273" s="3" t="s">
        <v>58</v>
      </c>
      <c r="AQ1273" s="3" t="s">
        <v>86</v>
      </c>
      <c r="AR1273" s="6" t="str">
        <f>HYPERLINK("http://catalog.hathitrust.org/Record/000770146","HathiTrust Record")</f>
        <v>HathiTrust Record</v>
      </c>
      <c r="AS1273" s="6" t="str">
        <f>HYPERLINK("https://creighton-primo.hosted.exlibrisgroup.com/primo-explore/search?tab=default_tab&amp;search_scope=EVERYTHING&amp;vid=01CRU&amp;lang=en_US&amp;offset=0&amp;query=any,contains,991000076749702656","Catalog Record")</f>
        <v>Catalog Record</v>
      </c>
      <c r="AT1273" s="6" t="str">
        <f>HYPERLINK("http://www.worldcat.org/oclc/8806652","WorldCat Record")</f>
        <v>WorldCat Record</v>
      </c>
      <c r="AU1273" s="3" t="s">
        <v>16336</v>
      </c>
      <c r="AV1273" s="3" t="s">
        <v>16337</v>
      </c>
      <c r="AW1273" s="3" t="s">
        <v>16338</v>
      </c>
      <c r="AX1273" s="3" t="s">
        <v>16338</v>
      </c>
      <c r="AY1273" s="3" t="s">
        <v>16339</v>
      </c>
      <c r="AZ1273" s="3" t="s">
        <v>74</v>
      </c>
      <c r="BB1273" s="3" t="s">
        <v>16340</v>
      </c>
      <c r="BC1273" s="3" t="s">
        <v>16341</v>
      </c>
      <c r="BD1273" s="3" t="s">
        <v>16342</v>
      </c>
    </row>
    <row r="1274" spans="1:56" ht="42.75" customHeight="1" x14ac:dyDescent="0.25">
      <c r="A1274" s="7" t="s">
        <v>58</v>
      </c>
      <c r="B1274" s="2" t="s">
        <v>16343</v>
      </c>
      <c r="C1274" s="2" t="s">
        <v>16344</v>
      </c>
      <c r="D1274" s="2" t="s">
        <v>16345</v>
      </c>
      <c r="F1274" s="3" t="s">
        <v>58</v>
      </c>
      <c r="G1274" s="3" t="s">
        <v>59</v>
      </c>
      <c r="H1274" s="3" t="s">
        <v>58</v>
      </c>
      <c r="I1274" s="3" t="s">
        <v>58</v>
      </c>
      <c r="J1274" s="3" t="s">
        <v>60</v>
      </c>
      <c r="K1274" s="2" t="s">
        <v>16346</v>
      </c>
      <c r="L1274" s="2" t="s">
        <v>16347</v>
      </c>
      <c r="M1274" s="3" t="s">
        <v>344</v>
      </c>
      <c r="O1274" s="3" t="s">
        <v>64</v>
      </c>
      <c r="P1274" s="3" t="s">
        <v>83</v>
      </c>
      <c r="R1274" s="3" t="s">
        <v>67</v>
      </c>
      <c r="S1274" s="4">
        <v>1</v>
      </c>
      <c r="T1274" s="4">
        <v>1</v>
      </c>
      <c r="U1274" s="5" t="s">
        <v>8897</v>
      </c>
      <c r="V1274" s="5" t="s">
        <v>8897</v>
      </c>
      <c r="W1274" s="5" t="s">
        <v>4730</v>
      </c>
      <c r="X1274" s="5" t="s">
        <v>4730</v>
      </c>
      <c r="Y1274" s="4">
        <v>151</v>
      </c>
      <c r="Z1274" s="4">
        <v>134</v>
      </c>
      <c r="AA1274" s="4">
        <v>136</v>
      </c>
      <c r="AB1274" s="4">
        <v>4</v>
      </c>
      <c r="AC1274" s="4">
        <v>4</v>
      </c>
      <c r="AD1274" s="4">
        <v>3</v>
      </c>
      <c r="AE1274" s="4">
        <v>3</v>
      </c>
      <c r="AF1274" s="4">
        <v>1</v>
      </c>
      <c r="AG1274" s="4">
        <v>1</v>
      </c>
      <c r="AH1274" s="4">
        <v>0</v>
      </c>
      <c r="AI1274" s="4">
        <v>0</v>
      </c>
      <c r="AJ1274" s="4">
        <v>1</v>
      </c>
      <c r="AK1274" s="4">
        <v>1</v>
      </c>
      <c r="AL1274" s="4">
        <v>2</v>
      </c>
      <c r="AM1274" s="4">
        <v>2</v>
      </c>
      <c r="AN1274" s="4">
        <v>0</v>
      </c>
      <c r="AO1274" s="4">
        <v>0</v>
      </c>
      <c r="AP1274" s="3" t="s">
        <v>58</v>
      </c>
      <c r="AQ1274" s="3" t="s">
        <v>86</v>
      </c>
      <c r="AR1274" s="6" t="str">
        <f>HYPERLINK("http://catalog.hathitrust.org/Record/009815735","HathiTrust Record")</f>
        <v>HathiTrust Record</v>
      </c>
      <c r="AS1274" s="6" t="str">
        <f>HYPERLINK("https://creighton-primo.hosted.exlibrisgroup.com/primo-explore/search?tab=default_tab&amp;search_scope=EVERYTHING&amp;vid=01CRU&amp;lang=en_US&amp;offset=0&amp;query=any,contains,991004801189702656","Catalog Record")</f>
        <v>Catalog Record</v>
      </c>
      <c r="AT1274" s="6" t="str">
        <f>HYPERLINK("http://www.worldcat.org/oclc/5219062","WorldCat Record")</f>
        <v>WorldCat Record</v>
      </c>
      <c r="AU1274" s="3" t="s">
        <v>16348</v>
      </c>
      <c r="AV1274" s="3" t="s">
        <v>16349</v>
      </c>
      <c r="AW1274" s="3" t="s">
        <v>16350</v>
      </c>
      <c r="AX1274" s="3" t="s">
        <v>16350</v>
      </c>
      <c r="AY1274" s="3" t="s">
        <v>16351</v>
      </c>
      <c r="AZ1274" s="3" t="s">
        <v>74</v>
      </c>
      <c r="BB1274" s="3" t="s">
        <v>16352</v>
      </c>
      <c r="BC1274" s="3" t="s">
        <v>16353</v>
      </c>
      <c r="BD1274" s="3" t="s">
        <v>16354</v>
      </c>
    </row>
    <row r="1275" spans="1:56" ht="42.75" customHeight="1" x14ac:dyDescent="0.25">
      <c r="A1275" s="7" t="s">
        <v>58</v>
      </c>
      <c r="B1275" s="2" t="s">
        <v>16355</v>
      </c>
      <c r="C1275" s="2" t="s">
        <v>16356</v>
      </c>
      <c r="D1275" s="2" t="s">
        <v>16357</v>
      </c>
      <c r="F1275" s="3" t="s">
        <v>58</v>
      </c>
      <c r="G1275" s="3" t="s">
        <v>59</v>
      </c>
      <c r="H1275" s="3" t="s">
        <v>58</v>
      </c>
      <c r="I1275" s="3" t="s">
        <v>58</v>
      </c>
      <c r="J1275" s="3" t="s">
        <v>60</v>
      </c>
      <c r="K1275" s="2" t="s">
        <v>16358</v>
      </c>
      <c r="L1275" s="2" t="s">
        <v>16359</v>
      </c>
      <c r="M1275" s="3" t="s">
        <v>2386</v>
      </c>
      <c r="O1275" s="3" t="s">
        <v>64</v>
      </c>
      <c r="P1275" s="3" t="s">
        <v>83</v>
      </c>
      <c r="Q1275" s="2" t="s">
        <v>16360</v>
      </c>
      <c r="R1275" s="3" t="s">
        <v>67</v>
      </c>
      <c r="S1275" s="4">
        <v>27</v>
      </c>
      <c r="T1275" s="4">
        <v>27</v>
      </c>
      <c r="U1275" s="5" t="s">
        <v>16287</v>
      </c>
      <c r="V1275" s="5" t="s">
        <v>16287</v>
      </c>
      <c r="W1275" s="5" t="s">
        <v>16361</v>
      </c>
      <c r="X1275" s="5" t="s">
        <v>16361</v>
      </c>
      <c r="Y1275" s="4">
        <v>312</v>
      </c>
      <c r="Z1275" s="4">
        <v>266</v>
      </c>
      <c r="AA1275" s="4">
        <v>274</v>
      </c>
      <c r="AB1275" s="4">
        <v>2</v>
      </c>
      <c r="AC1275" s="4">
        <v>2</v>
      </c>
      <c r="AD1275" s="4">
        <v>12</v>
      </c>
      <c r="AE1275" s="4">
        <v>12</v>
      </c>
      <c r="AF1275" s="4">
        <v>4</v>
      </c>
      <c r="AG1275" s="4">
        <v>4</v>
      </c>
      <c r="AH1275" s="4">
        <v>2</v>
      </c>
      <c r="AI1275" s="4">
        <v>2</v>
      </c>
      <c r="AJ1275" s="4">
        <v>8</v>
      </c>
      <c r="AK1275" s="4">
        <v>8</v>
      </c>
      <c r="AL1275" s="4">
        <v>1</v>
      </c>
      <c r="AM1275" s="4">
        <v>1</v>
      </c>
      <c r="AN1275" s="4">
        <v>0</v>
      </c>
      <c r="AO1275" s="4">
        <v>0</v>
      </c>
      <c r="AP1275" s="3" t="s">
        <v>58</v>
      </c>
      <c r="AQ1275" s="3" t="s">
        <v>86</v>
      </c>
      <c r="AR1275" s="6" t="str">
        <f>HYPERLINK("http://catalog.hathitrust.org/Record/000774392","HathiTrust Record")</f>
        <v>HathiTrust Record</v>
      </c>
      <c r="AS1275" s="6" t="str">
        <f>HYPERLINK("https://creighton-primo.hosted.exlibrisgroup.com/primo-explore/search?tab=default_tab&amp;search_scope=EVERYTHING&amp;vid=01CRU&amp;lang=en_US&amp;offset=0&amp;query=any,contains,991003163259702656","Catalog Record")</f>
        <v>Catalog Record</v>
      </c>
      <c r="AT1275" s="6" t="str">
        <f>HYPERLINK("http://www.worldcat.org/oclc/701629","WorldCat Record")</f>
        <v>WorldCat Record</v>
      </c>
      <c r="AU1275" s="3" t="s">
        <v>16362</v>
      </c>
      <c r="AV1275" s="3" t="s">
        <v>16363</v>
      </c>
      <c r="AW1275" s="3" t="s">
        <v>16364</v>
      </c>
      <c r="AX1275" s="3" t="s">
        <v>16364</v>
      </c>
      <c r="AY1275" s="3" t="s">
        <v>16365</v>
      </c>
      <c r="AZ1275" s="3" t="s">
        <v>74</v>
      </c>
      <c r="BB1275" s="3" t="s">
        <v>16366</v>
      </c>
      <c r="BC1275" s="3" t="s">
        <v>16367</v>
      </c>
      <c r="BD1275" s="3" t="s">
        <v>16368</v>
      </c>
    </row>
    <row r="1276" spans="1:56" ht="42.75" customHeight="1" x14ac:dyDescent="0.25">
      <c r="A1276" s="7" t="s">
        <v>58</v>
      </c>
      <c r="B1276" s="2" t="s">
        <v>16369</v>
      </c>
      <c r="C1276" s="2" t="s">
        <v>16370</v>
      </c>
      <c r="D1276" s="2" t="s">
        <v>16371</v>
      </c>
      <c r="F1276" s="3" t="s">
        <v>58</v>
      </c>
      <c r="G1276" s="3" t="s">
        <v>59</v>
      </c>
      <c r="H1276" s="3" t="s">
        <v>58</v>
      </c>
      <c r="I1276" s="3" t="s">
        <v>58</v>
      </c>
      <c r="J1276" s="3" t="s">
        <v>60</v>
      </c>
      <c r="K1276" s="2" t="s">
        <v>16372</v>
      </c>
      <c r="L1276" s="2" t="s">
        <v>16373</v>
      </c>
      <c r="M1276" s="3" t="s">
        <v>1101</v>
      </c>
      <c r="N1276" s="2" t="s">
        <v>1736</v>
      </c>
      <c r="O1276" s="3" t="s">
        <v>64</v>
      </c>
      <c r="P1276" s="3" t="s">
        <v>115</v>
      </c>
      <c r="R1276" s="3" t="s">
        <v>67</v>
      </c>
      <c r="S1276" s="4">
        <v>3</v>
      </c>
      <c r="T1276" s="4">
        <v>3</v>
      </c>
      <c r="U1276" s="5" t="s">
        <v>8858</v>
      </c>
      <c r="V1276" s="5" t="s">
        <v>8858</v>
      </c>
      <c r="W1276" s="5" t="s">
        <v>7707</v>
      </c>
      <c r="X1276" s="5" t="s">
        <v>7707</v>
      </c>
      <c r="Y1276" s="4">
        <v>872</v>
      </c>
      <c r="Z1276" s="4">
        <v>825</v>
      </c>
      <c r="AA1276" s="4">
        <v>836</v>
      </c>
      <c r="AB1276" s="4">
        <v>11</v>
      </c>
      <c r="AC1276" s="4">
        <v>11</v>
      </c>
      <c r="AD1276" s="4">
        <v>16</v>
      </c>
      <c r="AE1276" s="4">
        <v>16</v>
      </c>
      <c r="AF1276" s="4">
        <v>7</v>
      </c>
      <c r="AG1276" s="4">
        <v>7</v>
      </c>
      <c r="AH1276" s="4">
        <v>1</v>
      </c>
      <c r="AI1276" s="4">
        <v>1</v>
      </c>
      <c r="AJ1276" s="4">
        <v>7</v>
      </c>
      <c r="AK1276" s="4">
        <v>7</v>
      </c>
      <c r="AL1276" s="4">
        <v>4</v>
      </c>
      <c r="AM1276" s="4">
        <v>4</v>
      </c>
      <c r="AN1276" s="4">
        <v>0</v>
      </c>
      <c r="AO1276" s="4">
        <v>0</v>
      </c>
      <c r="AP1276" s="3" t="s">
        <v>58</v>
      </c>
      <c r="AQ1276" s="3" t="s">
        <v>58</v>
      </c>
      <c r="AS1276" s="6" t="str">
        <f>HYPERLINK("https://creighton-primo.hosted.exlibrisgroup.com/primo-explore/search?tab=default_tab&amp;search_scope=EVERYTHING&amp;vid=01CRU&amp;lang=en_US&amp;offset=0&amp;query=any,contains,991003930699702656","Catalog Record")</f>
        <v>Catalog Record</v>
      </c>
      <c r="AT1276" s="6" t="str">
        <f>HYPERLINK("http://www.worldcat.org/oclc/47136434","WorldCat Record")</f>
        <v>WorldCat Record</v>
      </c>
      <c r="AU1276" s="3" t="s">
        <v>16374</v>
      </c>
      <c r="AV1276" s="3" t="s">
        <v>16375</v>
      </c>
      <c r="AW1276" s="3" t="s">
        <v>16376</v>
      </c>
      <c r="AX1276" s="3" t="s">
        <v>16376</v>
      </c>
      <c r="AY1276" s="3" t="s">
        <v>16377</v>
      </c>
      <c r="AZ1276" s="3" t="s">
        <v>74</v>
      </c>
      <c r="BB1276" s="3" t="s">
        <v>16378</v>
      </c>
      <c r="BC1276" s="3" t="s">
        <v>16379</v>
      </c>
      <c r="BD1276" s="3" t="s">
        <v>16380</v>
      </c>
    </row>
    <row r="1277" spans="1:56" ht="42.75" customHeight="1" x14ac:dyDescent="0.25">
      <c r="A1277" s="7" t="s">
        <v>58</v>
      </c>
      <c r="B1277" s="2" t="s">
        <v>16381</v>
      </c>
      <c r="C1277" s="2" t="s">
        <v>16382</v>
      </c>
      <c r="D1277" s="2" t="s">
        <v>16383</v>
      </c>
      <c r="F1277" s="3" t="s">
        <v>58</v>
      </c>
      <c r="G1277" s="3" t="s">
        <v>59</v>
      </c>
      <c r="H1277" s="3" t="s">
        <v>58</v>
      </c>
      <c r="I1277" s="3" t="s">
        <v>58</v>
      </c>
      <c r="J1277" s="3" t="s">
        <v>60</v>
      </c>
      <c r="K1277" s="2" t="s">
        <v>16384</v>
      </c>
      <c r="L1277" s="2" t="s">
        <v>16385</v>
      </c>
      <c r="M1277" s="3" t="s">
        <v>114</v>
      </c>
      <c r="N1277" s="2" t="s">
        <v>1736</v>
      </c>
      <c r="O1277" s="3" t="s">
        <v>64</v>
      </c>
      <c r="P1277" s="3" t="s">
        <v>115</v>
      </c>
      <c r="R1277" s="3" t="s">
        <v>67</v>
      </c>
      <c r="S1277" s="4">
        <v>37</v>
      </c>
      <c r="T1277" s="4">
        <v>37</v>
      </c>
      <c r="U1277" s="5" t="s">
        <v>16386</v>
      </c>
      <c r="V1277" s="5" t="s">
        <v>16386</v>
      </c>
      <c r="W1277" s="5" t="s">
        <v>10100</v>
      </c>
      <c r="X1277" s="5" t="s">
        <v>10100</v>
      </c>
      <c r="Y1277" s="4">
        <v>558</v>
      </c>
      <c r="Z1277" s="4">
        <v>491</v>
      </c>
      <c r="AA1277" s="4">
        <v>540</v>
      </c>
      <c r="AB1277" s="4">
        <v>5</v>
      </c>
      <c r="AC1277" s="4">
        <v>5</v>
      </c>
      <c r="AD1277" s="4">
        <v>12</v>
      </c>
      <c r="AE1277" s="4">
        <v>13</v>
      </c>
      <c r="AF1277" s="4">
        <v>3</v>
      </c>
      <c r="AG1277" s="4">
        <v>3</v>
      </c>
      <c r="AH1277" s="4">
        <v>2</v>
      </c>
      <c r="AI1277" s="4">
        <v>3</v>
      </c>
      <c r="AJ1277" s="4">
        <v>7</v>
      </c>
      <c r="AK1277" s="4">
        <v>7</v>
      </c>
      <c r="AL1277" s="4">
        <v>3</v>
      </c>
      <c r="AM1277" s="4">
        <v>3</v>
      </c>
      <c r="AN1277" s="4">
        <v>0</v>
      </c>
      <c r="AO1277" s="4">
        <v>0</v>
      </c>
      <c r="AP1277" s="3" t="s">
        <v>58</v>
      </c>
      <c r="AQ1277" s="3" t="s">
        <v>58</v>
      </c>
      <c r="AS1277" s="6" t="str">
        <f>HYPERLINK("https://creighton-primo.hosted.exlibrisgroup.com/primo-explore/search?tab=default_tab&amp;search_scope=EVERYTHING&amp;vid=01CRU&amp;lang=en_US&amp;offset=0&amp;query=any,contains,991000298299702656","Catalog Record")</f>
        <v>Catalog Record</v>
      </c>
      <c r="AT1277" s="6" t="str">
        <f>HYPERLINK("http://www.worldcat.org/oclc/10019031","WorldCat Record")</f>
        <v>WorldCat Record</v>
      </c>
      <c r="AU1277" s="3" t="s">
        <v>16387</v>
      </c>
      <c r="AV1277" s="3" t="s">
        <v>16388</v>
      </c>
      <c r="AW1277" s="3" t="s">
        <v>16389</v>
      </c>
      <c r="AX1277" s="3" t="s">
        <v>16389</v>
      </c>
      <c r="AY1277" s="3" t="s">
        <v>16390</v>
      </c>
      <c r="AZ1277" s="3" t="s">
        <v>74</v>
      </c>
      <c r="BB1277" s="3" t="s">
        <v>16391</v>
      </c>
      <c r="BC1277" s="3" t="s">
        <v>16392</v>
      </c>
      <c r="BD1277" s="3" t="s">
        <v>16393</v>
      </c>
    </row>
    <row r="1278" spans="1:56" ht="42.75" customHeight="1" x14ac:dyDescent="0.25">
      <c r="A1278" s="7" t="s">
        <v>58</v>
      </c>
      <c r="B1278" s="2" t="s">
        <v>16394</v>
      </c>
      <c r="C1278" s="2" t="s">
        <v>16395</v>
      </c>
      <c r="D1278" s="2" t="s">
        <v>16396</v>
      </c>
      <c r="F1278" s="3" t="s">
        <v>58</v>
      </c>
      <c r="G1278" s="3" t="s">
        <v>59</v>
      </c>
      <c r="H1278" s="3" t="s">
        <v>58</v>
      </c>
      <c r="I1278" s="3" t="s">
        <v>58</v>
      </c>
      <c r="J1278" s="3" t="s">
        <v>60</v>
      </c>
      <c r="L1278" s="2" t="s">
        <v>16397</v>
      </c>
      <c r="M1278" s="3" t="s">
        <v>2770</v>
      </c>
      <c r="O1278" s="3" t="s">
        <v>64</v>
      </c>
      <c r="P1278" s="3" t="s">
        <v>115</v>
      </c>
      <c r="R1278" s="3" t="s">
        <v>67</v>
      </c>
      <c r="S1278" s="4">
        <v>4</v>
      </c>
      <c r="T1278" s="4">
        <v>4</v>
      </c>
      <c r="U1278" s="5" t="s">
        <v>16198</v>
      </c>
      <c r="V1278" s="5" t="s">
        <v>16198</v>
      </c>
      <c r="W1278" s="5" t="s">
        <v>165</v>
      </c>
      <c r="X1278" s="5" t="s">
        <v>165</v>
      </c>
      <c r="Y1278" s="4">
        <v>581</v>
      </c>
      <c r="Z1278" s="4">
        <v>518</v>
      </c>
      <c r="AA1278" s="4">
        <v>533</v>
      </c>
      <c r="AB1278" s="4">
        <v>6</v>
      </c>
      <c r="AC1278" s="4">
        <v>6</v>
      </c>
      <c r="AD1278" s="4">
        <v>22</v>
      </c>
      <c r="AE1278" s="4">
        <v>24</v>
      </c>
      <c r="AF1278" s="4">
        <v>7</v>
      </c>
      <c r="AG1278" s="4">
        <v>8</v>
      </c>
      <c r="AH1278" s="4">
        <v>4</v>
      </c>
      <c r="AI1278" s="4">
        <v>5</v>
      </c>
      <c r="AJ1278" s="4">
        <v>12</v>
      </c>
      <c r="AK1278" s="4">
        <v>12</v>
      </c>
      <c r="AL1278" s="4">
        <v>5</v>
      </c>
      <c r="AM1278" s="4">
        <v>5</v>
      </c>
      <c r="AN1278" s="4">
        <v>0</v>
      </c>
      <c r="AO1278" s="4">
        <v>0</v>
      </c>
      <c r="AP1278" s="3" t="s">
        <v>58</v>
      </c>
      <c r="AQ1278" s="3" t="s">
        <v>86</v>
      </c>
      <c r="AR1278" s="6" t="str">
        <f>HYPERLINK("http://catalog.hathitrust.org/Record/000727604","HathiTrust Record")</f>
        <v>HathiTrust Record</v>
      </c>
      <c r="AS1278" s="6" t="str">
        <f>HYPERLINK("https://creighton-primo.hosted.exlibrisgroup.com/primo-explore/search?tab=default_tab&amp;search_scope=EVERYTHING&amp;vid=01CRU&amp;lang=en_US&amp;offset=0&amp;query=any,contains,991004270319702656","Catalog Record")</f>
        <v>Catalog Record</v>
      </c>
      <c r="AT1278" s="6" t="str">
        <f>HYPERLINK("http://www.worldcat.org/oclc/2875368","WorldCat Record")</f>
        <v>WorldCat Record</v>
      </c>
      <c r="AU1278" s="3" t="s">
        <v>16398</v>
      </c>
      <c r="AV1278" s="3" t="s">
        <v>16399</v>
      </c>
      <c r="AW1278" s="3" t="s">
        <v>16400</v>
      </c>
      <c r="AX1278" s="3" t="s">
        <v>16400</v>
      </c>
      <c r="AY1278" s="3" t="s">
        <v>16401</v>
      </c>
      <c r="AZ1278" s="3" t="s">
        <v>74</v>
      </c>
      <c r="BB1278" s="3" t="s">
        <v>16402</v>
      </c>
      <c r="BC1278" s="3" t="s">
        <v>16403</v>
      </c>
      <c r="BD1278" s="3" t="s">
        <v>16404</v>
      </c>
    </row>
    <row r="1279" spans="1:56" ht="42.75" customHeight="1" x14ac:dyDescent="0.25">
      <c r="A1279" s="7" t="s">
        <v>58</v>
      </c>
      <c r="B1279" s="2" t="s">
        <v>16405</v>
      </c>
      <c r="C1279" s="2" t="s">
        <v>16406</v>
      </c>
      <c r="D1279" s="2" t="s">
        <v>16407</v>
      </c>
      <c r="F1279" s="3" t="s">
        <v>58</v>
      </c>
      <c r="G1279" s="3" t="s">
        <v>59</v>
      </c>
      <c r="H1279" s="3" t="s">
        <v>58</v>
      </c>
      <c r="I1279" s="3" t="s">
        <v>58</v>
      </c>
      <c r="J1279" s="3" t="s">
        <v>60</v>
      </c>
      <c r="K1279" s="2" t="s">
        <v>16408</v>
      </c>
      <c r="L1279" s="2" t="s">
        <v>16409</v>
      </c>
      <c r="M1279" s="3" t="s">
        <v>223</v>
      </c>
      <c r="N1279" s="2" t="s">
        <v>4027</v>
      </c>
      <c r="O1279" s="3" t="s">
        <v>64</v>
      </c>
      <c r="P1279" s="3" t="s">
        <v>83</v>
      </c>
      <c r="R1279" s="3" t="s">
        <v>67</v>
      </c>
      <c r="S1279" s="4">
        <v>8</v>
      </c>
      <c r="T1279" s="4">
        <v>8</v>
      </c>
      <c r="U1279" s="5" t="s">
        <v>588</v>
      </c>
      <c r="V1279" s="5" t="s">
        <v>588</v>
      </c>
      <c r="W1279" s="5" t="s">
        <v>4459</v>
      </c>
      <c r="X1279" s="5" t="s">
        <v>4459</v>
      </c>
      <c r="Y1279" s="4">
        <v>256</v>
      </c>
      <c r="Z1279" s="4">
        <v>225</v>
      </c>
      <c r="AA1279" s="4">
        <v>404</v>
      </c>
      <c r="AB1279" s="4">
        <v>4</v>
      </c>
      <c r="AC1279" s="4">
        <v>4</v>
      </c>
      <c r="AD1279" s="4">
        <v>7</v>
      </c>
      <c r="AE1279" s="4">
        <v>11</v>
      </c>
      <c r="AF1279" s="4">
        <v>2</v>
      </c>
      <c r="AG1279" s="4">
        <v>3</v>
      </c>
      <c r="AH1279" s="4">
        <v>0</v>
      </c>
      <c r="AI1279" s="4">
        <v>1</v>
      </c>
      <c r="AJ1279" s="4">
        <v>4</v>
      </c>
      <c r="AK1279" s="4">
        <v>7</v>
      </c>
      <c r="AL1279" s="4">
        <v>2</v>
      </c>
      <c r="AM1279" s="4">
        <v>2</v>
      </c>
      <c r="AN1279" s="4">
        <v>0</v>
      </c>
      <c r="AO1279" s="4">
        <v>0</v>
      </c>
      <c r="AP1279" s="3" t="s">
        <v>58</v>
      </c>
      <c r="AQ1279" s="3" t="s">
        <v>86</v>
      </c>
      <c r="AR1279" s="6" t="str">
        <f>HYPERLINK("http://catalog.hathitrust.org/Record/004422674","HathiTrust Record")</f>
        <v>HathiTrust Record</v>
      </c>
      <c r="AS1279" s="6" t="str">
        <f>HYPERLINK("https://creighton-primo.hosted.exlibrisgroup.com/primo-explore/search?tab=default_tab&amp;search_scope=EVERYTHING&amp;vid=01CRU&amp;lang=en_US&amp;offset=0&amp;query=any,contains,991004459409702656","Catalog Record")</f>
        <v>Catalog Record</v>
      </c>
      <c r="AT1279" s="6" t="str">
        <f>HYPERLINK("http://www.worldcat.org/oclc/3542106","WorldCat Record")</f>
        <v>WorldCat Record</v>
      </c>
      <c r="AU1279" s="3" t="s">
        <v>16410</v>
      </c>
      <c r="AV1279" s="3" t="s">
        <v>16411</v>
      </c>
      <c r="AW1279" s="3" t="s">
        <v>16412</v>
      </c>
      <c r="AX1279" s="3" t="s">
        <v>16412</v>
      </c>
      <c r="AY1279" s="3" t="s">
        <v>16413</v>
      </c>
      <c r="AZ1279" s="3" t="s">
        <v>74</v>
      </c>
      <c r="BB1279" s="3" t="s">
        <v>16414</v>
      </c>
      <c r="BC1279" s="3" t="s">
        <v>16415</v>
      </c>
      <c r="BD1279" s="3" t="s">
        <v>16416</v>
      </c>
    </row>
    <row r="1280" spans="1:56" ht="42.75" customHeight="1" x14ac:dyDescent="0.25">
      <c r="A1280" s="7" t="s">
        <v>58</v>
      </c>
      <c r="B1280" s="2" t="s">
        <v>16417</v>
      </c>
      <c r="C1280" s="2" t="s">
        <v>16418</v>
      </c>
      <c r="D1280" s="2" t="s">
        <v>16419</v>
      </c>
      <c r="F1280" s="3" t="s">
        <v>58</v>
      </c>
      <c r="G1280" s="3" t="s">
        <v>59</v>
      </c>
      <c r="H1280" s="3" t="s">
        <v>58</v>
      </c>
      <c r="I1280" s="3" t="s">
        <v>58</v>
      </c>
      <c r="J1280" s="3" t="s">
        <v>60</v>
      </c>
      <c r="K1280" s="2" t="s">
        <v>16420</v>
      </c>
      <c r="L1280" s="2" t="s">
        <v>16421</v>
      </c>
      <c r="M1280" s="3" t="s">
        <v>98</v>
      </c>
      <c r="O1280" s="3" t="s">
        <v>64</v>
      </c>
      <c r="P1280" s="3" t="s">
        <v>115</v>
      </c>
      <c r="R1280" s="3" t="s">
        <v>67</v>
      </c>
      <c r="S1280" s="4">
        <v>28</v>
      </c>
      <c r="T1280" s="4">
        <v>28</v>
      </c>
      <c r="U1280" s="5" t="s">
        <v>1011</v>
      </c>
      <c r="V1280" s="5" t="s">
        <v>1011</v>
      </c>
      <c r="W1280" s="5" t="s">
        <v>10100</v>
      </c>
      <c r="X1280" s="5" t="s">
        <v>10100</v>
      </c>
      <c r="Y1280" s="4">
        <v>360</v>
      </c>
      <c r="Z1280" s="4">
        <v>310</v>
      </c>
      <c r="AA1280" s="4">
        <v>311</v>
      </c>
      <c r="AB1280" s="4">
        <v>4</v>
      </c>
      <c r="AC1280" s="4">
        <v>4</v>
      </c>
      <c r="AD1280" s="4">
        <v>15</v>
      </c>
      <c r="AE1280" s="4">
        <v>15</v>
      </c>
      <c r="AF1280" s="4">
        <v>5</v>
      </c>
      <c r="AG1280" s="4">
        <v>5</v>
      </c>
      <c r="AH1280" s="4">
        <v>2</v>
      </c>
      <c r="AI1280" s="4">
        <v>2</v>
      </c>
      <c r="AJ1280" s="4">
        <v>9</v>
      </c>
      <c r="AK1280" s="4">
        <v>9</v>
      </c>
      <c r="AL1280" s="4">
        <v>3</v>
      </c>
      <c r="AM1280" s="4">
        <v>3</v>
      </c>
      <c r="AN1280" s="4">
        <v>0</v>
      </c>
      <c r="AO1280" s="4">
        <v>0</v>
      </c>
      <c r="AP1280" s="3" t="s">
        <v>58</v>
      </c>
      <c r="AQ1280" s="3" t="s">
        <v>58</v>
      </c>
      <c r="AS1280" s="6" t="str">
        <f>HYPERLINK("https://creighton-primo.hosted.exlibrisgroup.com/primo-explore/search?tab=default_tab&amp;search_scope=EVERYTHING&amp;vid=01CRU&amp;lang=en_US&amp;offset=0&amp;query=any,contains,991001121169702656","Catalog Record")</f>
        <v>Catalog Record</v>
      </c>
      <c r="AT1280" s="6" t="str">
        <f>HYPERLINK("http://www.worldcat.org/oclc/16580998","WorldCat Record")</f>
        <v>WorldCat Record</v>
      </c>
      <c r="AU1280" s="3" t="s">
        <v>16422</v>
      </c>
      <c r="AV1280" s="3" t="s">
        <v>16423</v>
      </c>
      <c r="AW1280" s="3" t="s">
        <v>16424</v>
      </c>
      <c r="AX1280" s="3" t="s">
        <v>16424</v>
      </c>
      <c r="AY1280" s="3" t="s">
        <v>16425</v>
      </c>
      <c r="AZ1280" s="3" t="s">
        <v>74</v>
      </c>
      <c r="BB1280" s="3" t="s">
        <v>16426</v>
      </c>
      <c r="BC1280" s="3" t="s">
        <v>16427</v>
      </c>
      <c r="BD1280" s="3" t="s">
        <v>16428</v>
      </c>
    </row>
    <row r="1281" spans="1:56" ht="42.75" customHeight="1" x14ac:dyDescent="0.25">
      <c r="A1281" s="7" t="s">
        <v>58</v>
      </c>
      <c r="B1281" s="2" t="s">
        <v>16429</v>
      </c>
      <c r="C1281" s="2" t="s">
        <v>16430</v>
      </c>
      <c r="D1281" s="2" t="s">
        <v>16431</v>
      </c>
      <c r="F1281" s="3" t="s">
        <v>58</v>
      </c>
      <c r="G1281" s="3" t="s">
        <v>59</v>
      </c>
      <c r="H1281" s="3" t="s">
        <v>58</v>
      </c>
      <c r="I1281" s="3" t="s">
        <v>58</v>
      </c>
      <c r="J1281" s="3" t="s">
        <v>60</v>
      </c>
      <c r="K1281" s="2" t="s">
        <v>16432</v>
      </c>
      <c r="L1281" s="2" t="s">
        <v>14015</v>
      </c>
      <c r="M1281" s="3" t="s">
        <v>737</v>
      </c>
      <c r="N1281" s="2" t="s">
        <v>1844</v>
      </c>
      <c r="O1281" s="3" t="s">
        <v>64</v>
      </c>
      <c r="P1281" s="3" t="s">
        <v>65</v>
      </c>
      <c r="Q1281" s="2" t="s">
        <v>1776</v>
      </c>
      <c r="R1281" s="3" t="s">
        <v>67</v>
      </c>
      <c r="S1281" s="4">
        <v>43</v>
      </c>
      <c r="T1281" s="4">
        <v>43</v>
      </c>
      <c r="U1281" s="5" t="s">
        <v>16275</v>
      </c>
      <c r="V1281" s="5" t="s">
        <v>16275</v>
      </c>
      <c r="W1281" s="5" t="s">
        <v>3946</v>
      </c>
      <c r="X1281" s="5" t="s">
        <v>3946</v>
      </c>
      <c r="Y1281" s="4">
        <v>336</v>
      </c>
      <c r="Z1281" s="4">
        <v>258</v>
      </c>
      <c r="AA1281" s="4">
        <v>1181</v>
      </c>
      <c r="AB1281" s="4">
        <v>3</v>
      </c>
      <c r="AC1281" s="4">
        <v>10</v>
      </c>
      <c r="AD1281" s="4">
        <v>6</v>
      </c>
      <c r="AE1281" s="4">
        <v>36</v>
      </c>
      <c r="AF1281" s="4">
        <v>0</v>
      </c>
      <c r="AG1281" s="4">
        <v>14</v>
      </c>
      <c r="AH1281" s="4">
        <v>0</v>
      </c>
      <c r="AI1281" s="4">
        <v>7</v>
      </c>
      <c r="AJ1281" s="4">
        <v>3</v>
      </c>
      <c r="AK1281" s="4">
        <v>11</v>
      </c>
      <c r="AL1281" s="4">
        <v>2</v>
      </c>
      <c r="AM1281" s="4">
        <v>8</v>
      </c>
      <c r="AN1281" s="4">
        <v>1</v>
      </c>
      <c r="AO1281" s="4">
        <v>1</v>
      </c>
      <c r="AP1281" s="3" t="s">
        <v>58</v>
      </c>
      <c r="AQ1281" s="3" t="s">
        <v>86</v>
      </c>
      <c r="AR1281" s="6" t="str">
        <f>HYPERLINK("http://catalog.hathitrust.org/Record/002937938","HathiTrust Record")</f>
        <v>HathiTrust Record</v>
      </c>
      <c r="AS1281" s="6" t="str">
        <f>HYPERLINK("https://creighton-primo.hosted.exlibrisgroup.com/primo-explore/search?tab=default_tab&amp;search_scope=EVERYTHING&amp;vid=01CRU&amp;lang=en_US&amp;offset=0&amp;query=any,contains,991002230629702656","Catalog Record")</f>
        <v>Catalog Record</v>
      </c>
      <c r="AT1281" s="6" t="str">
        <f>HYPERLINK("http://www.worldcat.org/oclc/28722392","WorldCat Record")</f>
        <v>WorldCat Record</v>
      </c>
      <c r="AU1281" s="3" t="s">
        <v>16433</v>
      </c>
      <c r="AV1281" s="3" t="s">
        <v>16434</v>
      </c>
      <c r="AW1281" s="3" t="s">
        <v>16435</v>
      </c>
      <c r="AX1281" s="3" t="s">
        <v>16435</v>
      </c>
      <c r="AY1281" s="3" t="s">
        <v>16436</v>
      </c>
      <c r="AZ1281" s="3" t="s">
        <v>74</v>
      </c>
      <c r="BB1281" s="3" t="s">
        <v>16437</v>
      </c>
      <c r="BC1281" s="3" t="s">
        <v>16438</v>
      </c>
      <c r="BD1281" s="3" t="s">
        <v>16439</v>
      </c>
    </row>
    <row r="1282" spans="1:56" ht="42.75" customHeight="1" x14ac:dyDescent="0.25">
      <c r="A1282" s="7" t="s">
        <v>58</v>
      </c>
      <c r="B1282" s="2" t="s">
        <v>16440</v>
      </c>
      <c r="C1282" s="2" t="s">
        <v>16441</v>
      </c>
      <c r="D1282" s="2" t="s">
        <v>16442</v>
      </c>
      <c r="F1282" s="3" t="s">
        <v>58</v>
      </c>
      <c r="G1282" s="3" t="s">
        <v>59</v>
      </c>
      <c r="H1282" s="3" t="s">
        <v>58</v>
      </c>
      <c r="I1282" s="3" t="s">
        <v>58</v>
      </c>
      <c r="J1282" s="3" t="s">
        <v>60</v>
      </c>
      <c r="K1282" s="2" t="s">
        <v>16432</v>
      </c>
      <c r="L1282" s="2" t="s">
        <v>8195</v>
      </c>
      <c r="M1282" s="3" t="s">
        <v>3914</v>
      </c>
      <c r="O1282" s="3" t="s">
        <v>64</v>
      </c>
      <c r="P1282" s="3" t="s">
        <v>115</v>
      </c>
      <c r="R1282" s="3" t="s">
        <v>67</v>
      </c>
      <c r="S1282" s="4">
        <v>11</v>
      </c>
      <c r="T1282" s="4">
        <v>11</v>
      </c>
      <c r="U1282" s="5" t="s">
        <v>16275</v>
      </c>
      <c r="V1282" s="5" t="s">
        <v>16275</v>
      </c>
      <c r="W1282" s="5" t="s">
        <v>697</v>
      </c>
      <c r="X1282" s="5" t="s">
        <v>697</v>
      </c>
      <c r="Y1282" s="4">
        <v>676</v>
      </c>
      <c r="Z1282" s="4">
        <v>567</v>
      </c>
      <c r="AA1282" s="4">
        <v>696</v>
      </c>
      <c r="AB1282" s="4">
        <v>6</v>
      </c>
      <c r="AC1282" s="4">
        <v>6</v>
      </c>
      <c r="AD1282" s="4">
        <v>20</v>
      </c>
      <c r="AE1282" s="4">
        <v>24</v>
      </c>
      <c r="AF1282" s="4">
        <v>5</v>
      </c>
      <c r="AG1282" s="4">
        <v>6</v>
      </c>
      <c r="AH1282" s="4">
        <v>4</v>
      </c>
      <c r="AI1282" s="4">
        <v>5</v>
      </c>
      <c r="AJ1282" s="4">
        <v>13</v>
      </c>
      <c r="AK1282" s="4">
        <v>15</v>
      </c>
      <c r="AL1282" s="4">
        <v>4</v>
      </c>
      <c r="AM1282" s="4">
        <v>4</v>
      </c>
      <c r="AN1282" s="4">
        <v>0</v>
      </c>
      <c r="AO1282" s="4">
        <v>0</v>
      </c>
      <c r="AP1282" s="3" t="s">
        <v>58</v>
      </c>
      <c r="AQ1282" s="3" t="s">
        <v>86</v>
      </c>
      <c r="AR1282" s="6" t="str">
        <f>HYPERLINK("http://catalog.hathitrust.org/Record/000696650","HathiTrust Record")</f>
        <v>HathiTrust Record</v>
      </c>
      <c r="AS1282" s="6" t="str">
        <f>HYPERLINK("https://creighton-primo.hosted.exlibrisgroup.com/primo-explore/search?tab=default_tab&amp;search_scope=EVERYTHING&amp;vid=01CRU&amp;lang=en_US&amp;offset=0&amp;query=any,contains,991004038149702656","Catalog Record")</f>
        <v>Catalog Record</v>
      </c>
      <c r="AT1282" s="6" t="str">
        <f>HYPERLINK("http://www.worldcat.org/oclc/2180037","WorldCat Record")</f>
        <v>WorldCat Record</v>
      </c>
      <c r="AU1282" s="3" t="s">
        <v>16443</v>
      </c>
      <c r="AV1282" s="3" t="s">
        <v>16444</v>
      </c>
      <c r="AW1282" s="3" t="s">
        <v>16445</v>
      </c>
      <c r="AX1282" s="3" t="s">
        <v>16445</v>
      </c>
      <c r="AY1282" s="3" t="s">
        <v>16446</v>
      </c>
      <c r="AZ1282" s="3" t="s">
        <v>74</v>
      </c>
      <c r="BB1282" s="3" t="s">
        <v>16447</v>
      </c>
      <c r="BC1282" s="3" t="s">
        <v>16448</v>
      </c>
      <c r="BD1282" s="3" t="s">
        <v>16449</v>
      </c>
    </row>
    <row r="1283" spans="1:56" ht="42.75" customHeight="1" x14ac:dyDescent="0.25">
      <c r="A1283" s="7" t="s">
        <v>58</v>
      </c>
      <c r="B1283" s="2" t="s">
        <v>16450</v>
      </c>
      <c r="C1283" s="2" t="s">
        <v>16451</v>
      </c>
      <c r="D1283" s="2" t="s">
        <v>16452</v>
      </c>
      <c r="F1283" s="3" t="s">
        <v>58</v>
      </c>
      <c r="G1283" s="3" t="s">
        <v>59</v>
      </c>
      <c r="H1283" s="3" t="s">
        <v>58</v>
      </c>
      <c r="I1283" s="3" t="s">
        <v>58</v>
      </c>
      <c r="J1283" s="3" t="s">
        <v>60</v>
      </c>
      <c r="L1283" s="2" t="s">
        <v>16453</v>
      </c>
      <c r="M1283" s="3" t="s">
        <v>480</v>
      </c>
      <c r="O1283" s="3" t="s">
        <v>64</v>
      </c>
      <c r="P1283" s="3" t="s">
        <v>115</v>
      </c>
      <c r="Q1283" s="2" t="s">
        <v>16454</v>
      </c>
      <c r="R1283" s="3" t="s">
        <v>67</v>
      </c>
      <c r="S1283" s="4">
        <v>22</v>
      </c>
      <c r="T1283" s="4">
        <v>22</v>
      </c>
      <c r="U1283" s="5" t="s">
        <v>1550</v>
      </c>
      <c r="V1283" s="5" t="s">
        <v>1550</v>
      </c>
      <c r="W1283" s="5" t="s">
        <v>603</v>
      </c>
      <c r="X1283" s="5" t="s">
        <v>603</v>
      </c>
      <c r="Y1283" s="4">
        <v>438</v>
      </c>
      <c r="Z1283" s="4">
        <v>332</v>
      </c>
      <c r="AA1283" s="4">
        <v>339</v>
      </c>
      <c r="AB1283" s="4">
        <v>2</v>
      </c>
      <c r="AC1283" s="4">
        <v>2</v>
      </c>
      <c r="AD1283" s="4">
        <v>12</v>
      </c>
      <c r="AE1283" s="4">
        <v>12</v>
      </c>
      <c r="AF1283" s="4">
        <v>2</v>
      </c>
      <c r="AG1283" s="4">
        <v>2</v>
      </c>
      <c r="AH1283" s="4">
        <v>3</v>
      </c>
      <c r="AI1283" s="4">
        <v>3</v>
      </c>
      <c r="AJ1283" s="4">
        <v>8</v>
      </c>
      <c r="AK1283" s="4">
        <v>8</v>
      </c>
      <c r="AL1283" s="4">
        <v>1</v>
      </c>
      <c r="AM1283" s="4">
        <v>1</v>
      </c>
      <c r="AN1283" s="4">
        <v>0</v>
      </c>
      <c r="AO1283" s="4">
        <v>0</v>
      </c>
      <c r="AP1283" s="3" t="s">
        <v>58</v>
      </c>
      <c r="AQ1283" s="3" t="s">
        <v>86</v>
      </c>
      <c r="AR1283" s="6" t="str">
        <f>HYPERLINK("http://catalog.hathitrust.org/Record/001091158","HathiTrust Record")</f>
        <v>HathiTrust Record</v>
      </c>
      <c r="AS1283" s="6" t="str">
        <f>HYPERLINK("https://creighton-primo.hosted.exlibrisgroup.com/primo-explore/search?tab=default_tab&amp;search_scope=EVERYTHING&amp;vid=01CRU&amp;lang=en_US&amp;offset=0&amp;query=any,contains,991001321109702656","Catalog Record")</f>
        <v>Catalog Record</v>
      </c>
      <c r="AT1283" s="6" t="str">
        <f>HYPERLINK("http://www.worldcat.org/oclc/18224741","WorldCat Record")</f>
        <v>WorldCat Record</v>
      </c>
      <c r="AU1283" s="3" t="s">
        <v>16455</v>
      </c>
      <c r="AV1283" s="3" t="s">
        <v>16456</v>
      </c>
      <c r="AW1283" s="3" t="s">
        <v>16457</v>
      </c>
      <c r="AX1283" s="3" t="s">
        <v>16457</v>
      </c>
      <c r="AY1283" s="3" t="s">
        <v>16458</v>
      </c>
      <c r="AZ1283" s="3" t="s">
        <v>74</v>
      </c>
      <c r="BB1283" s="3" t="s">
        <v>16459</v>
      </c>
      <c r="BC1283" s="3" t="s">
        <v>16460</v>
      </c>
      <c r="BD1283" s="3" t="s">
        <v>16461</v>
      </c>
    </row>
    <row r="1284" spans="1:56" ht="42.75" customHeight="1" x14ac:dyDescent="0.25">
      <c r="A1284" s="7" t="s">
        <v>58</v>
      </c>
      <c r="B1284" s="2" t="s">
        <v>16462</v>
      </c>
      <c r="C1284" s="2" t="s">
        <v>16463</v>
      </c>
      <c r="D1284" s="2" t="s">
        <v>16464</v>
      </c>
      <c r="F1284" s="3" t="s">
        <v>58</v>
      </c>
      <c r="G1284" s="3" t="s">
        <v>59</v>
      </c>
      <c r="H1284" s="3" t="s">
        <v>58</v>
      </c>
      <c r="I1284" s="3" t="s">
        <v>58</v>
      </c>
      <c r="J1284" s="3" t="s">
        <v>60</v>
      </c>
      <c r="L1284" s="2" t="s">
        <v>16465</v>
      </c>
      <c r="M1284" s="3" t="s">
        <v>63</v>
      </c>
      <c r="O1284" s="3" t="s">
        <v>64</v>
      </c>
      <c r="P1284" s="3" t="s">
        <v>99</v>
      </c>
      <c r="Q1284" s="2" t="s">
        <v>16466</v>
      </c>
      <c r="R1284" s="3" t="s">
        <v>67</v>
      </c>
      <c r="S1284" s="4">
        <v>11</v>
      </c>
      <c r="T1284" s="4">
        <v>11</v>
      </c>
      <c r="U1284" s="5" t="s">
        <v>16275</v>
      </c>
      <c r="V1284" s="5" t="s">
        <v>16275</v>
      </c>
      <c r="W1284" s="5" t="s">
        <v>2542</v>
      </c>
      <c r="X1284" s="5" t="s">
        <v>2542</v>
      </c>
      <c r="Y1284" s="4">
        <v>183</v>
      </c>
      <c r="Z1284" s="4">
        <v>161</v>
      </c>
      <c r="AA1284" s="4">
        <v>166</v>
      </c>
      <c r="AB1284" s="4">
        <v>2</v>
      </c>
      <c r="AC1284" s="4">
        <v>2</v>
      </c>
      <c r="AD1284" s="4">
        <v>6</v>
      </c>
      <c r="AE1284" s="4">
        <v>6</v>
      </c>
      <c r="AF1284" s="4">
        <v>0</v>
      </c>
      <c r="AG1284" s="4">
        <v>0</v>
      </c>
      <c r="AH1284" s="4">
        <v>1</v>
      </c>
      <c r="AI1284" s="4">
        <v>1</v>
      </c>
      <c r="AJ1284" s="4">
        <v>5</v>
      </c>
      <c r="AK1284" s="4">
        <v>5</v>
      </c>
      <c r="AL1284" s="4">
        <v>1</v>
      </c>
      <c r="AM1284" s="4">
        <v>1</v>
      </c>
      <c r="AN1284" s="4">
        <v>0</v>
      </c>
      <c r="AO1284" s="4">
        <v>0</v>
      </c>
      <c r="AP1284" s="3" t="s">
        <v>58</v>
      </c>
      <c r="AQ1284" s="3" t="s">
        <v>58</v>
      </c>
      <c r="AS1284" s="6" t="str">
        <f>HYPERLINK("https://creighton-primo.hosted.exlibrisgroup.com/primo-explore/search?tab=default_tab&amp;search_scope=EVERYTHING&amp;vid=01CRU&amp;lang=en_US&amp;offset=0&amp;query=any,contains,991000283849702656","Catalog Record")</f>
        <v>Catalog Record</v>
      </c>
      <c r="AT1284" s="6" t="str">
        <f>HYPERLINK("http://www.worldcat.org/oclc/9925778","WorldCat Record")</f>
        <v>WorldCat Record</v>
      </c>
      <c r="AU1284" s="3" t="s">
        <v>16467</v>
      </c>
      <c r="AV1284" s="3" t="s">
        <v>16468</v>
      </c>
      <c r="AW1284" s="3" t="s">
        <v>16469</v>
      </c>
      <c r="AX1284" s="3" t="s">
        <v>16469</v>
      </c>
      <c r="AY1284" s="3" t="s">
        <v>16470</v>
      </c>
      <c r="AZ1284" s="3" t="s">
        <v>74</v>
      </c>
      <c r="BB1284" s="3" t="s">
        <v>16471</v>
      </c>
      <c r="BC1284" s="3" t="s">
        <v>16472</v>
      </c>
      <c r="BD1284" s="3" t="s">
        <v>16473</v>
      </c>
    </row>
    <row r="1285" spans="1:56" ht="42.75" customHeight="1" x14ac:dyDescent="0.25">
      <c r="A1285" s="7" t="s">
        <v>58</v>
      </c>
      <c r="B1285" s="2" t="s">
        <v>16474</v>
      </c>
      <c r="C1285" s="2" t="s">
        <v>16475</v>
      </c>
      <c r="D1285" s="2" t="s">
        <v>16476</v>
      </c>
      <c r="F1285" s="3" t="s">
        <v>58</v>
      </c>
      <c r="G1285" s="3" t="s">
        <v>59</v>
      </c>
      <c r="H1285" s="3" t="s">
        <v>58</v>
      </c>
      <c r="I1285" s="3" t="s">
        <v>58</v>
      </c>
      <c r="J1285" s="3" t="s">
        <v>60</v>
      </c>
      <c r="K1285" s="2" t="s">
        <v>16477</v>
      </c>
      <c r="L1285" s="2" t="s">
        <v>16478</v>
      </c>
      <c r="M1285" s="3" t="s">
        <v>1035</v>
      </c>
      <c r="O1285" s="3" t="s">
        <v>64</v>
      </c>
      <c r="P1285" s="3" t="s">
        <v>99</v>
      </c>
      <c r="R1285" s="3" t="s">
        <v>67</v>
      </c>
      <c r="S1285" s="4">
        <v>11</v>
      </c>
      <c r="T1285" s="4">
        <v>11</v>
      </c>
      <c r="U1285" s="5" t="s">
        <v>15868</v>
      </c>
      <c r="V1285" s="5" t="s">
        <v>15868</v>
      </c>
      <c r="W1285" s="5" t="s">
        <v>16479</v>
      </c>
      <c r="X1285" s="5" t="s">
        <v>16479</v>
      </c>
      <c r="Y1285" s="4">
        <v>374</v>
      </c>
      <c r="Z1285" s="4">
        <v>296</v>
      </c>
      <c r="AA1285" s="4">
        <v>302</v>
      </c>
      <c r="AB1285" s="4">
        <v>4</v>
      </c>
      <c r="AC1285" s="4">
        <v>4</v>
      </c>
      <c r="AD1285" s="4">
        <v>15</v>
      </c>
      <c r="AE1285" s="4">
        <v>15</v>
      </c>
      <c r="AF1285" s="4">
        <v>6</v>
      </c>
      <c r="AG1285" s="4">
        <v>6</v>
      </c>
      <c r="AH1285" s="4">
        <v>2</v>
      </c>
      <c r="AI1285" s="4">
        <v>2</v>
      </c>
      <c r="AJ1285" s="4">
        <v>8</v>
      </c>
      <c r="AK1285" s="4">
        <v>8</v>
      </c>
      <c r="AL1285" s="4">
        <v>3</v>
      </c>
      <c r="AM1285" s="4">
        <v>3</v>
      </c>
      <c r="AN1285" s="4">
        <v>0</v>
      </c>
      <c r="AO1285" s="4">
        <v>0</v>
      </c>
      <c r="AP1285" s="3" t="s">
        <v>58</v>
      </c>
      <c r="AQ1285" s="3" t="s">
        <v>58</v>
      </c>
      <c r="AS1285" s="6" t="str">
        <f>HYPERLINK("https://creighton-primo.hosted.exlibrisgroup.com/primo-explore/search?tab=default_tab&amp;search_scope=EVERYTHING&amp;vid=01CRU&amp;lang=en_US&amp;offset=0&amp;query=any,contains,991004008299702656","Catalog Record")</f>
        <v>Catalog Record</v>
      </c>
      <c r="AT1285" s="6" t="str">
        <f>HYPERLINK("http://www.worldcat.org/oclc/43708430","WorldCat Record")</f>
        <v>WorldCat Record</v>
      </c>
      <c r="AU1285" s="3" t="s">
        <v>16480</v>
      </c>
      <c r="AV1285" s="3" t="s">
        <v>16481</v>
      </c>
      <c r="AW1285" s="3" t="s">
        <v>16482</v>
      </c>
      <c r="AX1285" s="3" t="s">
        <v>16482</v>
      </c>
      <c r="AY1285" s="3" t="s">
        <v>16483</v>
      </c>
      <c r="AZ1285" s="3" t="s">
        <v>74</v>
      </c>
      <c r="BB1285" s="3" t="s">
        <v>16484</v>
      </c>
      <c r="BC1285" s="3" t="s">
        <v>16485</v>
      </c>
      <c r="BD1285" s="3" t="s">
        <v>16486</v>
      </c>
    </row>
    <row r="1286" spans="1:56" ht="42.75" customHeight="1" x14ac:dyDescent="0.25">
      <c r="A1286" s="7" t="s">
        <v>58</v>
      </c>
      <c r="B1286" s="2" t="s">
        <v>16487</v>
      </c>
      <c r="C1286" s="2" t="s">
        <v>16488</v>
      </c>
      <c r="D1286" s="2" t="s">
        <v>16489</v>
      </c>
      <c r="F1286" s="3" t="s">
        <v>58</v>
      </c>
      <c r="G1286" s="3" t="s">
        <v>59</v>
      </c>
      <c r="H1286" s="3" t="s">
        <v>58</v>
      </c>
      <c r="I1286" s="3" t="s">
        <v>58</v>
      </c>
      <c r="J1286" s="3" t="s">
        <v>60</v>
      </c>
      <c r="K1286" s="2" t="s">
        <v>16490</v>
      </c>
      <c r="L1286" s="2" t="s">
        <v>16491</v>
      </c>
      <c r="M1286" s="3" t="s">
        <v>3069</v>
      </c>
      <c r="O1286" s="3" t="s">
        <v>64</v>
      </c>
      <c r="P1286" s="3" t="s">
        <v>359</v>
      </c>
      <c r="Q1286" s="2" t="s">
        <v>16492</v>
      </c>
      <c r="R1286" s="3" t="s">
        <v>67</v>
      </c>
      <c r="S1286" s="4">
        <v>21</v>
      </c>
      <c r="T1286" s="4">
        <v>21</v>
      </c>
      <c r="U1286" s="5" t="s">
        <v>16160</v>
      </c>
      <c r="V1286" s="5" t="s">
        <v>16160</v>
      </c>
      <c r="W1286" s="5" t="s">
        <v>2773</v>
      </c>
      <c r="X1286" s="5" t="s">
        <v>2773</v>
      </c>
      <c r="Y1286" s="4">
        <v>196</v>
      </c>
      <c r="Z1286" s="4">
        <v>147</v>
      </c>
      <c r="AA1286" s="4">
        <v>147</v>
      </c>
      <c r="AB1286" s="4">
        <v>2</v>
      </c>
      <c r="AC1286" s="4">
        <v>2</v>
      </c>
      <c r="AD1286" s="4">
        <v>2</v>
      </c>
      <c r="AE1286" s="4">
        <v>2</v>
      </c>
      <c r="AF1286" s="4">
        <v>0</v>
      </c>
      <c r="AG1286" s="4">
        <v>0</v>
      </c>
      <c r="AH1286" s="4">
        <v>0</v>
      </c>
      <c r="AI1286" s="4">
        <v>0</v>
      </c>
      <c r="AJ1286" s="4">
        <v>1</v>
      </c>
      <c r="AK1286" s="4">
        <v>1</v>
      </c>
      <c r="AL1286" s="4">
        <v>1</v>
      </c>
      <c r="AM1286" s="4">
        <v>1</v>
      </c>
      <c r="AN1286" s="4">
        <v>0</v>
      </c>
      <c r="AO1286" s="4">
        <v>0</v>
      </c>
      <c r="AP1286" s="3" t="s">
        <v>58</v>
      </c>
      <c r="AQ1286" s="3" t="s">
        <v>58</v>
      </c>
      <c r="AS1286" s="6" t="str">
        <f>HYPERLINK("https://creighton-primo.hosted.exlibrisgroup.com/primo-explore/search?tab=default_tab&amp;search_scope=EVERYTHING&amp;vid=01CRU&amp;lang=en_US&amp;offset=0&amp;query=any,contains,991004074159702656","Catalog Record")</f>
        <v>Catalog Record</v>
      </c>
      <c r="AT1286" s="6" t="str">
        <f>HYPERLINK("http://www.worldcat.org/oclc/2314442","WorldCat Record")</f>
        <v>WorldCat Record</v>
      </c>
      <c r="AU1286" s="3" t="s">
        <v>16493</v>
      </c>
      <c r="AV1286" s="3" t="s">
        <v>16494</v>
      </c>
      <c r="AW1286" s="3" t="s">
        <v>16495</v>
      </c>
      <c r="AX1286" s="3" t="s">
        <v>16495</v>
      </c>
      <c r="AY1286" s="3" t="s">
        <v>16496</v>
      </c>
      <c r="AZ1286" s="3" t="s">
        <v>74</v>
      </c>
      <c r="BC1286" s="3" t="s">
        <v>16497</v>
      </c>
      <c r="BD1286" s="3" t="s">
        <v>16498</v>
      </c>
    </row>
    <row r="1287" spans="1:56" ht="42.75" customHeight="1" x14ac:dyDescent="0.25">
      <c r="A1287" s="7" t="s">
        <v>58</v>
      </c>
      <c r="B1287" s="2" t="s">
        <v>16499</v>
      </c>
      <c r="C1287" s="2" t="s">
        <v>16500</v>
      </c>
      <c r="D1287" s="2" t="s">
        <v>16501</v>
      </c>
      <c r="F1287" s="3" t="s">
        <v>58</v>
      </c>
      <c r="G1287" s="3" t="s">
        <v>59</v>
      </c>
      <c r="H1287" s="3" t="s">
        <v>58</v>
      </c>
      <c r="I1287" s="3" t="s">
        <v>58</v>
      </c>
      <c r="J1287" s="3" t="s">
        <v>60</v>
      </c>
      <c r="K1287" s="2" t="s">
        <v>16502</v>
      </c>
      <c r="L1287" s="2" t="s">
        <v>16503</v>
      </c>
      <c r="M1287" s="3" t="s">
        <v>98</v>
      </c>
      <c r="O1287" s="3" t="s">
        <v>64</v>
      </c>
      <c r="P1287" s="3" t="s">
        <v>83</v>
      </c>
      <c r="R1287" s="3" t="s">
        <v>67</v>
      </c>
      <c r="S1287" s="4">
        <v>44</v>
      </c>
      <c r="T1287" s="4">
        <v>44</v>
      </c>
      <c r="U1287" s="5" t="s">
        <v>15978</v>
      </c>
      <c r="V1287" s="5" t="s">
        <v>15978</v>
      </c>
      <c r="W1287" s="5" t="s">
        <v>16312</v>
      </c>
      <c r="X1287" s="5" t="s">
        <v>16312</v>
      </c>
      <c r="Y1287" s="4">
        <v>177</v>
      </c>
      <c r="Z1287" s="4">
        <v>147</v>
      </c>
      <c r="AA1287" s="4">
        <v>149</v>
      </c>
      <c r="AB1287" s="4">
        <v>1</v>
      </c>
      <c r="AC1287" s="4">
        <v>1</v>
      </c>
      <c r="AD1287" s="4">
        <v>7</v>
      </c>
      <c r="AE1287" s="4">
        <v>7</v>
      </c>
      <c r="AF1287" s="4">
        <v>2</v>
      </c>
      <c r="AG1287" s="4">
        <v>2</v>
      </c>
      <c r="AH1287" s="4">
        <v>1</v>
      </c>
      <c r="AI1287" s="4">
        <v>1</v>
      </c>
      <c r="AJ1287" s="4">
        <v>7</v>
      </c>
      <c r="AK1287" s="4">
        <v>7</v>
      </c>
      <c r="AL1287" s="4">
        <v>0</v>
      </c>
      <c r="AM1287" s="4">
        <v>0</v>
      </c>
      <c r="AN1287" s="4">
        <v>0</v>
      </c>
      <c r="AO1287" s="4">
        <v>0</v>
      </c>
      <c r="AP1287" s="3" t="s">
        <v>58</v>
      </c>
      <c r="AQ1287" s="3" t="s">
        <v>86</v>
      </c>
      <c r="AR1287" s="6" t="str">
        <f>HYPERLINK("http://catalog.hathitrust.org/Record/000913540","HathiTrust Record")</f>
        <v>HathiTrust Record</v>
      </c>
      <c r="AS1287" s="6" t="str">
        <f>HYPERLINK("https://creighton-primo.hosted.exlibrisgroup.com/primo-explore/search?tab=default_tab&amp;search_scope=EVERYTHING&amp;vid=01CRU&amp;lang=en_US&amp;offset=0&amp;query=any,contains,991001118909702656","Catalog Record")</f>
        <v>Catalog Record</v>
      </c>
      <c r="AT1287" s="6" t="str">
        <f>HYPERLINK("http://www.worldcat.org/oclc/16577689","WorldCat Record")</f>
        <v>WorldCat Record</v>
      </c>
      <c r="AU1287" s="3" t="s">
        <v>16504</v>
      </c>
      <c r="AV1287" s="3" t="s">
        <v>16505</v>
      </c>
      <c r="AW1287" s="3" t="s">
        <v>16506</v>
      </c>
      <c r="AX1287" s="3" t="s">
        <v>16506</v>
      </c>
      <c r="AY1287" s="3" t="s">
        <v>16507</v>
      </c>
      <c r="AZ1287" s="3" t="s">
        <v>74</v>
      </c>
      <c r="BB1287" s="3" t="s">
        <v>16508</v>
      </c>
      <c r="BC1287" s="3" t="s">
        <v>16509</v>
      </c>
      <c r="BD1287" s="3" t="s">
        <v>16510</v>
      </c>
    </row>
    <row r="1288" spans="1:56" ht="42.75" customHeight="1" x14ac:dyDescent="0.25">
      <c r="A1288" s="7" t="s">
        <v>58</v>
      </c>
      <c r="B1288" s="2" t="s">
        <v>16511</v>
      </c>
      <c r="C1288" s="2" t="s">
        <v>16512</v>
      </c>
      <c r="D1288" s="2" t="s">
        <v>16513</v>
      </c>
      <c r="F1288" s="3" t="s">
        <v>58</v>
      </c>
      <c r="G1288" s="3" t="s">
        <v>59</v>
      </c>
      <c r="H1288" s="3" t="s">
        <v>86</v>
      </c>
      <c r="I1288" s="3" t="s">
        <v>58</v>
      </c>
      <c r="J1288" s="3" t="s">
        <v>60</v>
      </c>
      <c r="L1288" s="2" t="s">
        <v>10881</v>
      </c>
      <c r="M1288" s="3" t="s">
        <v>63</v>
      </c>
      <c r="O1288" s="3" t="s">
        <v>64</v>
      </c>
      <c r="P1288" s="3" t="s">
        <v>115</v>
      </c>
      <c r="R1288" s="3" t="s">
        <v>67</v>
      </c>
      <c r="S1288" s="4">
        <v>18</v>
      </c>
      <c r="T1288" s="4">
        <v>18</v>
      </c>
      <c r="U1288" s="5" t="s">
        <v>12948</v>
      </c>
      <c r="V1288" s="5" t="s">
        <v>12948</v>
      </c>
      <c r="W1288" s="5" t="s">
        <v>14819</v>
      </c>
      <c r="X1288" s="5" t="s">
        <v>14819</v>
      </c>
      <c r="Y1288" s="4">
        <v>449</v>
      </c>
      <c r="Z1288" s="4">
        <v>386</v>
      </c>
      <c r="AA1288" s="4">
        <v>399</v>
      </c>
      <c r="AB1288" s="4">
        <v>5</v>
      </c>
      <c r="AC1288" s="4">
        <v>5</v>
      </c>
      <c r="AD1288" s="4">
        <v>18</v>
      </c>
      <c r="AE1288" s="4">
        <v>18</v>
      </c>
      <c r="AF1288" s="4">
        <v>7</v>
      </c>
      <c r="AG1288" s="4">
        <v>7</v>
      </c>
      <c r="AH1288" s="4">
        <v>4</v>
      </c>
      <c r="AI1288" s="4">
        <v>4</v>
      </c>
      <c r="AJ1288" s="4">
        <v>10</v>
      </c>
      <c r="AK1288" s="4">
        <v>10</v>
      </c>
      <c r="AL1288" s="4">
        <v>3</v>
      </c>
      <c r="AM1288" s="4">
        <v>3</v>
      </c>
      <c r="AN1288" s="4">
        <v>0</v>
      </c>
      <c r="AO1288" s="4">
        <v>0</v>
      </c>
      <c r="AP1288" s="3" t="s">
        <v>58</v>
      </c>
      <c r="AQ1288" s="3" t="s">
        <v>58</v>
      </c>
      <c r="AS1288" s="6" t="str">
        <f>HYPERLINK("https://creighton-primo.hosted.exlibrisgroup.com/primo-explore/search?tab=default_tab&amp;search_scope=EVERYTHING&amp;vid=01CRU&amp;lang=en_US&amp;offset=0&amp;query=any,contains,991000201929702656","Catalog Record")</f>
        <v>Catalog Record</v>
      </c>
      <c r="AT1288" s="6" t="str">
        <f>HYPERLINK("http://www.worldcat.org/oclc/9465473","WorldCat Record")</f>
        <v>WorldCat Record</v>
      </c>
      <c r="AU1288" s="3" t="s">
        <v>16514</v>
      </c>
      <c r="AV1288" s="3" t="s">
        <v>16515</v>
      </c>
      <c r="AW1288" s="3" t="s">
        <v>16516</v>
      </c>
      <c r="AX1288" s="3" t="s">
        <v>16516</v>
      </c>
      <c r="AY1288" s="3" t="s">
        <v>16517</v>
      </c>
      <c r="AZ1288" s="3" t="s">
        <v>74</v>
      </c>
      <c r="BB1288" s="3" t="s">
        <v>16518</v>
      </c>
      <c r="BC1288" s="3" t="s">
        <v>16519</v>
      </c>
      <c r="BD1288" s="3" t="s">
        <v>16520</v>
      </c>
    </row>
    <row r="1289" spans="1:56" ht="42.75" customHeight="1" x14ac:dyDescent="0.25">
      <c r="A1289" s="7" t="s">
        <v>58</v>
      </c>
      <c r="B1289" s="2" t="s">
        <v>16521</v>
      </c>
      <c r="C1289" s="2" t="s">
        <v>16522</v>
      </c>
      <c r="D1289" s="2" t="s">
        <v>16523</v>
      </c>
      <c r="F1289" s="3" t="s">
        <v>58</v>
      </c>
      <c r="G1289" s="3" t="s">
        <v>59</v>
      </c>
      <c r="H1289" s="3" t="s">
        <v>58</v>
      </c>
      <c r="I1289" s="3" t="s">
        <v>58</v>
      </c>
      <c r="J1289" s="3" t="s">
        <v>60</v>
      </c>
      <c r="L1289" s="2" t="s">
        <v>16524</v>
      </c>
      <c r="M1289" s="3" t="s">
        <v>2770</v>
      </c>
      <c r="O1289" s="3" t="s">
        <v>64</v>
      </c>
      <c r="P1289" s="3" t="s">
        <v>65</v>
      </c>
      <c r="R1289" s="3" t="s">
        <v>67</v>
      </c>
      <c r="S1289" s="4">
        <v>8</v>
      </c>
      <c r="T1289" s="4">
        <v>8</v>
      </c>
      <c r="U1289" s="5" t="s">
        <v>16525</v>
      </c>
      <c r="V1289" s="5" t="s">
        <v>16525</v>
      </c>
      <c r="W1289" s="5" t="s">
        <v>16526</v>
      </c>
      <c r="X1289" s="5" t="s">
        <v>16526</v>
      </c>
      <c r="Y1289" s="4">
        <v>155</v>
      </c>
      <c r="Z1289" s="4">
        <v>112</v>
      </c>
      <c r="AA1289" s="4">
        <v>278</v>
      </c>
      <c r="AB1289" s="4">
        <v>1</v>
      </c>
      <c r="AC1289" s="4">
        <v>1</v>
      </c>
      <c r="AD1289" s="4">
        <v>3</v>
      </c>
      <c r="AE1289" s="4">
        <v>4</v>
      </c>
      <c r="AF1289" s="4">
        <v>0</v>
      </c>
      <c r="AG1289" s="4">
        <v>0</v>
      </c>
      <c r="AH1289" s="4">
        <v>1</v>
      </c>
      <c r="AI1289" s="4">
        <v>2</v>
      </c>
      <c r="AJ1289" s="4">
        <v>2</v>
      </c>
      <c r="AK1289" s="4">
        <v>3</v>
      </c>
      <c r="AL1289" s="4">
        <v>0</v>
      </c>
      <c r="AM1289" s="4">
        <v>0</v>
      </c>
      <c r="AN1289" s="4">
        <v>0</v>
      </c>
      <c r="AO1289" s="4">
        <v>0</v>
      </c>
      <c r="AP1289" s="3" t="s">
        <v>58</v>
      </c>
      <c r="AQ1289" s="3" t="s">
        <v>86</v>
      </c>
      <c r="AR1289" s="6" t="str">
        <f>HYPERLINK("http://catalog.hathitrust.org/Record/009081180","HathiTrust Record")</f>
        <v>HathiTrust Record</v>
      </c>
      <c r="AS1289" s="6" t="str">
        <f>HYPERLINK("https://creighton-primo.hosted.exlibrisgroup.com/primo-explore/search?tab=default_tab&amp;search_scope=EVERYTHING&amp;vid=01CRU&amp;lang=en_US&amp;offset=0&amp;query=any,contains,991004230889702656","Catalog Record")</f>
        <v>Catalog Record</v>
      </c>
      <c r="AT1289" s="6" t="str">
        <f>HYPERLINK("http://www.worldcat.org/oclc/2746339","WorldCat Record")</f>
        <v>WorldCat Record</v>
      </c>
      <c r="AU1289" s="3" t="s">
        <v>16527</v>
      </c>
      <c r="AV1289" s="3" t="s">
        <v>16528</v>
      </c>
      <c r="AW1289" s="3" t="s">
        <v>16529</v>
      </c>
      <c r="AX1289" s="3" t="s">
        <v>16529</v>
      </c>
      <c r="AY1289" s="3" t="s">
        <v>16530</v>
      </c>
      <c r="AZ1289" s="3" t="s">
        <v>74</v>
      </c>
      <c r="BB1289" s="3" t="s">
        <v>16531</v>
      </c>
      <c r="BC1289" s="3" t="s">
        <v>16532</v>
      </c>
      <c r="BD1289" s="3" t="s">
        <v>16533</v>
      </c>
    </row>
    <row r="1290" spans="1:56" ht="42.75" customHeight="1" x14ac:dyDescent="0.25">
      <c r="A1290" s="7" t="s">
        <v>58</v>
      </c>
      <c r="B1290" s="2" t="s">
        <v>16534</v>
      </c>
      <c r="C1290" s="2" t="s">
        <v>16535</v>
      </c>
      <c r="D1290" s="2" t="s">
        <v>16536</v>
      </c>
      <c r="F1290" s="3" t="s">
        <v>58</v>
      </c>
      <c r="G1290" s="3" t="s">
        <v>59</v>
      </c>
      <c r="H1290" s="3" t="s">
        <v>58</v>
      </c>
      <c r="I1290" s="3" t="s">
        <v>58</v>
      </c>
      <c r="J1290" s="3" t="s">
        <v>60</v>
      </c>
      <c r="K1290" s="2" t="s">
        <v>16537</v>
      </c>
      <c r="L1290" s="2" t="s">
        <v>16538</v>
      </c>
      <c r="M1290" s="3" t="s">
        <v>98</v>
      </c>
      <c r="N1290" s="2" t="s">
        <v>1736</v>
      </c>
      <c r="O1290" s="3" t="s">
        <v>64</v>
      </c>
      <c r="P1290" s="3" t="s">
        <v>99</v>
      </c>
      <c r="Q1290" s="2" t="s">
        <v>16539</v>
      </c>
      <c r="R1290" s="3" t="s">
        <v>67</v>
      </c>
      <c r="S1290" s="4">
        <v>24</v>
      </c>
      <c r="T1290" s="4">
        <v>24</v>
      </c>
      <c r="U1290" s="5" t="s">
        <v>16540</v>
      </c>
      <c r="V1290" s="5" t="s">
        <v>16540</v>
      </c>
      <c r="W1290" s="5" t="s">
        <v>16541</v>
      </c>
      <c r="X1290" s="5" t="s">
        <v>16541</v>
      </c>
      <c r="Y1290" s="4">
        <v>595</v>
      </c>
      <c r="Z1290" s="4">
        <v>519</v>
      </c>
      <c r="AA1290" s="4">
        <v>528</v>
      </c>
      <c r="AB1290" s="4">
        <v>3</v>
      </c>
      <c r="AC1290" s="4">
        <v>3</v>
      </c>
      <c r="AD1290" s="4">
        <v>18</v>
      </c>
      <c r="AE1290" s="4">
        <v>18</v>
      </c>
      <c r="AF1290" s="4">
        <v>6</v>
      </c>
      <c r="AG1290" s="4">
        <v>6</v>
      </c>
      <c r="AH1290" s="4">
        <v>3</v>
      </c>
      <c r="AI1290" s="4">
        <v>3</v>
      </c>
      <c r="AJ1290" s="4">
        <v>9</v>
      </c>
      <c r="AK1290" s="4">
        <v>9</v>
      </c>
      <c r="AL1290" s="4">
        <v>2</v>
      </c>
      <c r="AM1290" s="4">
        <v>2</v>
      </c>
      <c r="AN1290" s="4">
        <v>0</v>
      </c>
      <c r="AO1290" s="4">
        <v>0</v>
      </c>
      <c r="AP1290" s="3" t="s">
        <v>58</v>
      </c>
      <c r="AQ1290" s="3" t="s">
        <v>86</v>
      </c>
      <c r="AR1290" s="6" t="str">
        <f>HYPERLINK("http://catalog.hathitrust.org/Record/000875818","HathiTrust Record")</f>
        <v>HathiTrust Record</v>
      </c>
      <c r="AS1290" s="6" t="str">
        <f>HYPERLINK("https://creighton-primo.hosted.exlibrisgroup.com/primo-explore/search?tab=default_tab&amp;search_scope=EVERYTHING&amp;vid=01CRU&amp;lang=en_US&amp;offset=0&amp;query=any,contains,991001117169702656","Catalog Record")</f>
        <v>Catalog Record</v>
      </c>
      <c r="AT1290" s="6" t="str">
        <f>HYPERLINK("http://www.worldcat.org/oclc/16527970","WorldCat Record")</f>
        <v>WorldCat Record</v>
      </c>
      <c r="AU1290" s="3" t="s">
        <v>16542</v>
      </c>
      <c r="AV1290" s="3" t="s">
        <v>16543</v>
      </c>
      <c r="AW1290" s="3" t="s">
        <v>16544</v>
      </c>
      <c r="AX1290" s="3" t="s">
        <v>16544</v>
      </c>
      <c r="AY1290" s="3" t="s">
        <v>16545</v>
      </c>
      <c r="AZ1290" s="3" t="s">
        <v>74</v>
      </c>
      <c r="BB1290" s="3" t="s">
        <v>16546</v>
      </c>
      <c r="BC1290" s="3" t="s">
        <v>16547</v>
      </c>
      <c r="BD1290" s="3" t="s">
        <v>16548</v>
      </c>
    </row>
    <row r="1291" spans="1:56" ht="42.75" customHeight="1" x14ac:dyDescent="0.25">
      <c r="A1291" s="7" t="s">
        <v>58</v>
      </c>
      <c r="B1291" s="2" t="s">
        <v>16549</v>
      </c>
      <c r="C1291" s="2" t="s">
        <v>16550</v>
      </c>
      <c r="D1291" s="2" t="s">
        <v>16551</v>
      </c>
      <c r="F1291" s="3" t="s">
        <v>58</v>
      </c>
      <c r="G1291" s="3" t="s">
        <v>59</v>
      </c>
      <c r="H1291" s="3" t="s">
        <v>58</v>
      </c>
      <c r="I1291" s="3" t="s">
        <v>58</v>
      </c>
      <c r="J1291" s="3" t="s">
        <v>60</v>
      </c>
      <c r="K1291" s="2" t="s">
        <v>16552</v>
      </c>
      <c r="L1291" s="2" t="s">
        <v>16553</v>
      </c>
      <c r="M1291" s="3" t="s">
        <v>3914</v>
      </c>
      <c r="O1291" s="3" t="s">
        <v>64</v>
      </c>
      <c r="P1291" s="3" t="s">
        <v>1898</v>
      </c>
      <c r="Q1291" s="2" t="s">
        <v>5354</v>
      </c>
      <c r="R1291" s="3" t="s">
        <v>67</v>
      </c>
      <c r="S1291" s="4">
        <v>11</v>
      </c>
      <c r="T1291" s="4">
        <v>11</v>
      </c>
      <c r="U1291" s="5" t="s">
        <v>3707</v>
      </c>
      <c r="V1291" s="5" t="s">
        <v>3707</v>
      </c>
      <c r="W1291" s="5" t="s">
        <v>11344</v>
      </c>
      <c r="X1291" s="5" t="s">
        <v>11344</v>
      </c>
      <c r="Y1291" s="4">
        <v>259</v>
      </c>
      <c r="Z1291" s="4">
        <v>213</v>
      </c>
      <c r="AA1291" s="4">
        <v>333</v>
      </c>
      <c r="AB1291" s="4">
        <v>3</v>
      </c>
      <c r="AC1291" s="4">
        <v>4</v>
      </c>
      <c r="AD1291" s="4">
        <v>7</v>
      </c>
      <c r="AE1291" s="4">
        <v>13</v>
      </c>
      <c r="AF1291" s="4">
        <v>3</v>
      </c>
      <c r="AG1291" s="4">
        <v>4</v>
      </c>
      <c r="AH1291" s="4">
        <v>1</v>
      </c>
      <c r="AI1291" s="4">
        <v>3</v>
      </c>
      <c r="AJ1291" s="4">
        <v>4</v>
      </c>
      <c r="AK1291" s="4">
        <v>7</v>
      </c>
      <c r="AL1291" s="4">
        <v>1</v>
      </c>
      <c r="AM1291" s="4">
        <v>2</v>
      </c>
      <c r="AN1291" s="4">
        <v>0</v>
      </c>
      <c r="AO1291" s="4">
        <v>0</v>
      </c>
      <c r="AP1291" s="3" t="s">
        <v>58</v>
      </c>
      <c r="AQ1291" s="3" t="s">
        <v>58</v>
      </c>
      <c r="AS1291" s="6" t="str">
        <f>HYPERLINK("https://creighton-primo.hosted.exlibrisgroup.com/primo-explore/search?tab=default_tab&amp;search_scope=EVERYTHING&amp;vid=01CRU&amp;lang=en_US&amp;offset=0&amp;query=any,contains,991004002139702656","Catalog Record")</f>
        <v>Catalog Record</v>
      </c>
      <c r="AT1291" s="6" t="str">
        <f>HYPERLINK("http://www.worldcat.org/oclc/2074399","WorldCat Record")</f>
        <v>WorldCat Record</v>
      </c>
      <c r="AU1291" s="3" t="s">
        <v>16554</v>
      </c>
      <c r="AV1291" s="3" t="s">
        <v>16555</v>
      </c>
      <c r="AW1291" s="3" t="s">
        <v>16556</v>
      </c>
      <c r="AX1291" s="3" t="s">
        <v>16556</v>
      </c>
      <c r="AY1291" s="3" t="s">
        <v>16557</v>
      </c>
      <c r="AZ1291" s="3" t="s">
        <v>74</v>
      </c>
      <c r="BB1291" s="3" t="s">
        <v>16558</v>
      </c>
      <c r="BC1291" s="3" t="s">
        <v>16559</v>
      </c>
      <c r="BD1291" s="3" t="s">
        <v>16560</v>
      </c>
    </row>
    <row r="1292" spans="1:56" ht="42.75" customHeight="1" x14ac:dyDescent="0.25">
      <c r="A1292" s="7" t="s">
        <v>58</v>
      </c>
      <c r="B1292" s="2" t="s">
        <v>16561</v>
      </c>
      <c r="C1292" s="2" t="s">
        <v>16562</v>
      </c>
      <c r="D1292" s="2" t="s">
        <v>16563</v>
      </c>
      <c r="F1292" s="3" t="s">
        <v>58</v>
      </c>
      <c r="G1292" s="3" t="s">
        <v>59</v>
      </c>
      <c r="H1292" s="3" t="s">
        <v>58</v>
      </c>
      <c r="I1292" s="3" t="s">
        <v>58</v>
      </c>
      <c r="J1292" s="3" t="s">
        <v>60</v>
      </c>
      <c r="K1292" s="2" t="s">
        <v>16564</v>
      </c>
      <c r="L1292" s="2" t="s">
        <v>16565</v>
      </c>
      <c r="M1292" s="3" t="s">
        <v>3215</v>
      </c>
      <c r="O1292" s="3" t="s">
        <v>64</v>
      </c>
      <c r="P1292" s="3" t="s">
        <v>208</v>
      </c>
      <c r="Q1292" s="2" t="s">
        <v>16566</v>
      </c>
      <c r="R1292" s="3" t="s">
        <v>67</v>
      </c>
      <c r="S1292" s="4">
        <v>2</v>
      </c>
      <c r="T1292" s="4">
        <v>2</v>
      </c>
      <c r="U1292" s="5" t="s">
        <v>16567</v>
      </c>
      <c r="V1292" s="5" t="s">
        <v>16567</v>
      </c>
      <c r="W1292" s="5" t="s">
        <v>179</v>
      </c>
      <c r="X1292" s="5" t="s">
        <v>179</v>
      </c>
      <c r="Y1292" s="4">
        <v>87</v>
      </c>
      <c r="Z1292" s="4">
        <v>81</v>
      </c>
      <c r="AA1292" s="4">
        <v>83</v>
      </c>
      <c r="AB1292" s="4">
        <v>1</v>
      </c>
      <c r="AC1292" s="4">
        <v>1</v>
      </c>
      <c r="AD1292" s="4">
        <v>4</v>
      </c>
      <c r="AE1292" s="4">
        <v>4</v>
      </c>
      <c r="AF1292" s="4">
        <v>0</v>
      </c>
      <c r="AG1292" s="4">
        <v>0</v>
      </c>
      <c r="AH1292" s="4">
        <v>0</v>
      </c>
      <c r="AI1292" s="4">
        <v>0</v>
      </c>
      <c r="AJ1292" s="4">
        <v>4</v>
      </c>
      <c r="AK1292" s="4">
        <v>4</v>
      </c>
      <c r="AL1292" s="4">
        <v>0</v>
      </c>
      <c r="AM1292" s="4">
        <v>0</v>
      </c>
      <c r="AN1292" s="4">
        <v>0</v>
      </c>
      <c r="AO1292" s="4">
        <v>0</v>
      </c>
      <c r="AP1292" s="3" t="s">
        <v>58</v>
      </c>
      <c r="AQ1292" s="3" t="s">
        <v>86</v>
      </c>
      <c r="AR1292" s="6" t="str">
        <f>HYPERLINK("http://catalog.hathitrust.org/Record/009621738","HathiTrust Record")</f>
        <v>HathiTrust Record</v>
      </c>
      <c r="AS1292" s="6" t="str">
        <f>HYPERLINK("https://creighton-primo.hosted.exlibrisgroup.com/primo-explore/search?tab=default_tab&amp;search_scope=EVERYTHING&amp;vid=01CRU&amp;lang=en_US&amp;offset=0&amp;query=any,contains,991002912669702656","Catalog Record")</f>
        <v>Catalog Record</v>
      </c>
      <c r="AT1292" s="6" t="str">
        <f>HYPERLINK("http://www.worldcat.org/oclc/522681","WorldCat Record")</f>
        <v>WorldCat Record</v>
      </c>
      <c r="AU1292" s="3" t="s">
        <v>16568</v>
      </c>
      <c r="AV1292" s="3" t="s">
        <v>16569</v>
      </c>
      <c r="AW1292" s="3" t="s">
        <v>16570</v>
      </c>
      <c r="AX1292" s="3" t="s">
        <v>16570</v>
      </c>
      <c r="AY1292" s="3" t="s">
        <v>16571</v>
      </c>
      <c r="AZ1292" s="3" t="s">
        <v>74</v>
      </c>
      <c r="BC1292" s="3" t="s">
        <v>16572</v>
      </c>
      <c r="BD1292" s="3" t="s">
        <v>16573</v>
      </c>
    </row>
    <row r="1293" spans="1:56" ht="42.75" customHeight="1" x14ac:dyDescent="0.25">
      <c r="A1293" s="7" t="s">
        <v>58</v>
      </c>
      <c r="B1293" s="2" t="s">
        <v>16574</v>
      </c>
      <c r="C1293" s="2" t="s">
        <v>16575</v>
      </c>
      <c r="D1293" s="2" t="s">
        <v>16576</v>
      </c>
      <c r="F1293" s="3" t="s">
        <v>58</v>
      </c>
      <c r="G1293" s="3" t="s">
        <v>59</v>
      </c>
      <c r="H1293" s="3" t="s">
        <v>58</v>
      </c>
      <c r="I1293" s="3" t="s">
        <v>58</v>
      </c>
      <c r="J1293" s="3" t="s">
        <v>60</v>
      </c>
      <c r="L1293" s="2" t="s">
        <v>16577</v>
      </c>
      <c r="M1293" s="3" t="s">
        <v>2227</v>
      </c>
      <c r="O1293" s="3" t="s">
        <v>64</v>
      </c>
      <c r="P1293" s="3" t="s">
        <v>115</v>
      </c>
      <c r="R1293" s="3" t="s">
        <v>67</v>
      </c>
      <c r="S1293" s="4">
        <v>9</v>
      </c>
      <c r="T1293" s="4">
        <v>9</v>
      </c>
      <c r="U1293" s="5" t="s">
        <v>3707</v>
      </c>
      <c r="V1293" s="5" t="s">
        <v>3707</v>
      </c>
      <c r="W1293" s="5" t="s">
        <v>6059</v>
      </c>
      <c r="X1293" s="5" t="s">
        <v>6059</v>
      </c>
      <c r="Y1293" s="4">
        <v>353</v>
      </c>
      <c r="Z1293" s="4">
        <v>329</v>
      </c>
      <c r="AA1293" s="4">
        <v>362</v>
      </c>
      <c r="AB1293" s="4">
        <v>3</v>
      </c>
      <c r="AC1293" s="4">
        <v>3</v>
      </c>
      <c r="AD1293" s="4">
        <v>18</v>
      </c>
      <c r="AE1293" s="4">
        <v>18</v>
      </c>
      <c r="AF1293" s="4">
        <v>6</v>
      </c>
      <c r="AG1293" s="4">
        <v>6</v>
      </c>
      <c r="AH1293" s="4">
        <v>4</v>
      </c>
      <c r="AI1293" s="4">
        <v>4</v>
      </c>
      <c r="AJ1293" s="4">
        <v>11</v>
      </c>
      <c r="AK1293" s="4">
        <v>11</v>
      </c>
      <c r="AL1293" s="4">
        <v>2</v>
      </c>
      <c r="AM1293" s="4">
        <v>2</v>
      </c>
      <c r="AN1293" s="4">
        <v>0</v>
      </c>
      <c r="AO1293" s="4">
        <v>0</v>
      </c>
      <c r="AP1293" s="3" t="s">
        <v>58</v>
      </c>
      <c r="AQ1293" s="3" t="s">
        <v>58</v>
      </c>
      <c r="AS1293" s="6" t="str">
        <f>HYPERLINK("https://creighton-primo.hosted.exlibrisgroup.com/primo-explore/search?tab=default_tab&amp;search_scope=EVERYTHING&amp;vid=01CRU&amp;lang=en_US&amp;offset=0&amp;query=any,contains,991000590319702656","Catalog Record")</f>
        <v>Catalog Record</v>
      </c>
      <c r="AT1293" s="6" t="str">
        <f>HYPERLINK("http://www.worldcat.org/oclc/11784721","WorldCat Record")</f>
        <v>WorldCat Record</v>
      </c>
      <c r="AU1293" s="3" t="s">
        <v>16578</v>
      </c>
      <c r="AV1293" s="3" t="s">
        <v>16579</v>
      </c>
      <c r="AW1293" s="3" t="s">
        <v>16580</v>
      </c>
      <c r="AX1293" s="3" t="s">
        <v>16580</v>
      </c>
      <c r="AY1293" s="3" t="s">
        <v>16581</v>
      </c>
      <c r="AZ1293" s="3" t="s">
        <v>74</v>
      </c>
      <c r="BB1293" s="3" t="s">
        <v>16582</v>
      </c>
      <c r="BC1293" s="3" t="s">
        <v>16583</v>
      </c>
      <c r="BD1293" s="3" t="s">
        <v>16584</v>
      </c>
    </row>
    <row r="1294" spans="1:56" ht="42.75" customHeight="1" x14ac:dyDescent="0.25">
      <c r="A1294" s="7" t="s">
        <v>58</v>
      </c>
      <c r="B1294" s="2" t="s">
        <v>16585</v>
      </c>
      <c r="C1294" s="2" t="s">
        <v>16586</v>
      </c>
      <c r="D1294" s="2" t="s">
        <v>16587</v>
      </c>
      <c r="F1294" s="3" t="s">
        <v>58</v>
      </c>
      <c r="G1294" s="3" t="s">
        <v>59</v>
      </c>
      <c r="H1294" s="3" t="s">
        <v>58</v>
      </c>
      <c r="I1294" s="3" t="s">
        <v>58</v>
      </c>
      <c r="J1294" s="3" t="s">
        <v>60</v>
      </c>
      <c r="L1294" s="2" t="s">
        <v>16588</v>
      </c>
      <c r="M1294" s="3" t="s">
        <v>1101</v>
      </c>
      <c r="N1294" s="2" t="s">
        <v>1844</v>
      </c>
      <c r="O1294" s="3" t="s">
        <v>64</v>
      </c>
      <c r="P1294" s="3" t="s">
        <v>115</v>
      </c>
      <c r="R1294" s="3" t="s">
        <v>67</v>
      </c>
      <c r="S1294" s="4">
        <v>4</v>
      </c>
      <c r="T1294" s="4">
        <v>4</v>
      </c>
      <c r="U1294" s="5" t="s">
        <v>15868</v>
      </c>
      <c r="V1294" s="5" t="s">
        <v>15868</v>
      </c>
      <c r="W1294" s="5" t="s">
        <v>16589</v>
      </c>
      <c r="X1294" s="5" t="s">
        <v>16589</v>
      </c>
      <c r="Y1294" s="4">
        <v>284</v>
      </c>
      <c r="Z1294" s="4">
        <v>224</v>
      </c>
      <c r="AA1294" s="4">
        <v>440</v>
      </c>
      <c r="AB1294" s="4">
        <v>2</v>
      </c>
      <c r="AC1294" s="4">
        <v>4</v>
      </c>
      <c r="AD1294" s="4">
        <v>12</v>
      </c>
      <c r="AE1294" s="4">
        <v>20</v>
      </c>
      <c r="AF1294" s="4">
        <v>3</v>
      </c>
      <c r="AG1294" s="4">
        <v>4</v>
      </c>
      <c r="AH1294" s="4">
        <v>1</v>
      </c>
      <c r="AI1294" s="4">
        <v>5</v>
      </c>
      <c r="AJ1294" s="4">
        <v>10</v>
      </c>
      <c r="AK1294" s="4">
        <v>12</v>
      </c>
      <c r="AL1294" s="4">
        <v>1</v>
      </c>
      <c r="AM1294" s="4">
        <v>3</v>
      </c>
      <c r="AN1294" s="4">
        <v>0</v>
      </c>
      <c r="AO1294" s="4">
        <v>0</v>
      </c>
      <c r="AP1294" s="3" t="s">
        <v>58</v>
      </c>
      <c r="AQ1294" s="3" t="s">
        <v>58</v>
      </c>
      <c r="AS1294" s="6" t="str">
        <f>HYPERLINK("https://creighton-primo.hosted.exlibrisgroup.com/primo-explore/search?tab=default_tab&amp;search_scope=EVERYTHING&amp;vid=01CRU&amp;lang=en_US&amp;offset=0&amp;query=any,contains,991004101639702656","Catalog Record")</f>
        <v>Catalog Record</v>
      </c>
      <c r="AT1294" s="6" t="str">
        <f>HYPERLINK("http://www.worldcat.org/oclc/50002248","WorldCat Record")</f>
        <v>WorldCat Record</v>
      </c>
      <c r="AU1294" s="3" t="s">
        <v>16590</v>
      </c>
      <c r="AV1294" s="3" t="s">
        <v>16591</v>
      </c>
      <c r="AW1294" s="3" t="s">
        <v>16592</v>
      </c>
      <c r="AX1294" s="3" t="s">
        <v>16592</v>
      </c>
      <c r="AY1294" s="3" t="s">
        <v>16593</v>
      </c>
      <c r="AZ1294" s="3" t="s">
        <v>74</v>
      </c>
      <c r="BB1294" s="3" t="s">
        <v>16594</v>
      </c>
      <c r="BC1294" s="3" t="s">
        <v>16595</v>
      </c>
      <c r="BD1294" s="3" t="s">
        <v>16596</v>
      </c>
    </row>
    <row r="1295" spans="1:56" ht="42.75" customHeight="1" x14ac:dyDescent="0.25">
      <c r="A1295" s="7" t="s">
        <v>58</v>
      </c>
      <c r="B1295" s="2" t="s">
        <v>16597</v>
      </c>
      <c r="C1295" s="2" t="s">
        <v>16598</v>
      </c>
      <c r="D1295" s="2" t="s">
        <v>16599</v>
      </c>
      <c r="F1295" s="3" t="s">
        <v>58</v>
      </c>
      <c r="G1295" s="3" t="s">
        <v>59</v>
      </c>
      <c r="H1295" s="3" t="s">
        <v>58</v>
      </c>
      <c r="I1295" s="3" t="s">
        <v>58</v>
      </c>
      <c r="J1295" s="3" t="s">
        <v>60</v>
      </c>
      <c r="K1295" s="2" t="s">
        <v>16600</v>
      </c>
      <c r="L1295" s="2" t="s">
        <v>16601</v>
      </c>
      <c r="M1295" s="3" t="s">
        <v>1181</v>
      </c>
      <c r="O1295" s="3" t="s">
        <v>64</v>
      </c>
      <c r="P1295" s="3" t="s">
        <v>1898</v>
      </c>
      <c r="R1295" s="3" t="s">
        <v>67</v>
      </c>
      <c r="S1295" s="4">
        <v>5</v>
      </c>
      <c r="T1295" s="4">
        <v>5</v>
      </c>
      <c r="U1295" s="5" t="s">
        <v>15868</v>
      </c>
      <c r="V1295" s="5" t="s">
        <v>15868</v>
      </c>
      <c r="W1295" s="5" t="s">
        <v>16602</v>
      </c>
      <c r="X1295" s="5" t="s">
        <v>16602</v>
      </c>
      <c r="Y1295" s="4">
        <v>184</v>
      </c>
      <c r="Z1295" s="4">
        <v>130</v>
      </c>
      <c r="AA1295" s="4">
        <v>961</v>
      </c>
      <c r="AB1295" s="4">
        <v>2</v>
      </c>
      <c r="AC1295" s="4">
        <v>31</v>
      </c>
      <c r="AD1295" s="4">
        <v>5</v>
      </c>
      <c r="AE1295" s="4">
        <v>37</v>
      </c>
      <c r="AF1295" s="4">
        <v>1</v>
      </c>
      <c r="AG1295" s="4">
        <v>12</v>
      </c>
      <c r="AH1295" s="4">
        <v>0</v>
      </c>
      <c r="AI1295" s="4">
        <v>6</v>
      </c>
      <c r="AJ1295" s="4">
        <v>4</v>
      </c>
      <c r="AK1295" s="4">
        <v>11</v>
      </c>
      <c r="AL1295" s="4">
        <v>1</v>
      </c>
      <c r="AM1295" s="4">
        <v>12</v>
      </c>
      <c r="AN1295" s="4">
        <v>0</v>
      </c>
      <c r="AO1295" s="4">
        <v>1</v>
      </c>
      <c r="AP1295" s="3" t="s">
        <v>58</v>
      </c>
      <c r="AQ1295" s="3" t="s">
        <v>86</v>
      </c>
      <c r="AR1295" s="6" t="str">
        <f>HYPERLINK("http://catalog.hathitrust.org/Record/004741880","HathiTrust Record")</f>
        <v>HathiTrust Record</v>
      </c>
      <c r="AS1295" s="6" t="str">
        <f>HYPERLINK("https://creighton-primo.hosted.exlibrisgroup.com/primo-explore/search?tab=default_tab&amp;search_scope=EVERYTHING&amp;vid=01CRU&amp;lang=en_US&amp;offset=0&amp;query=any,contains,991004470139702656","Catalog Record")</f>
        <v>Catalog Record</v>
      </c>
      <c r="AT1295" s="6" t="str">
        <f>HYPERLINK("http://www.worldcat.org/oclc/54905506","WorldCat Record")</f>
        <v>WorldCat Record</v>
      </c>
      <c r="AU1295" s="3" t="s">
        <v>16603</v>
      </c>
      <c r="AV1295" s="3" t="s">
        <v>16604</v>
      </c>
      <c r="AW1295" s="3" t="s">
        <v>16605</v>
      </c>
      <c r="AX1295" s="3" t="s">
        <v>16605</v>
      </c>
      <c r="AY1295" s="3" t="s">
        <v>16606</v>
      </c>
      <c r="AZ1295" s="3" t="s">
        <v>74</v>
      </c>
      <c r="BB1295" s="3" t="s">
        <v>16607</v>
      </c>
      <c r="BC1295" s="3" t="s">
        <v>16608</v>
      </c>
      <c r="BD1295" s="3" t="s">
        <v>16609</v>
      </c>
    </row>
    <row r="1296" spans="1:56" ht="42.75" customHeight="1" x14ac:dyDescent="0.25">
      <c r="A1296" s="7" t="s">
        <v>58</v>
      </c>
      <c r="B1296" s="2" t="s">
        <v>16610</v>
      </c>
      <c r="C1296" s="2" t="s">
        <v>16611</v>
      </c>
      <c r="D1296" s="2" t="s">
        <v>16612</v>
      </c>
      <c r="F1296" s="3" t="s">
        <v>58</v>
      </c>
      <c r="G1296" s="3" t="s">
        <v>59</v>
      </c>
      <c r="H1296" s="3" t="s">
        <v>58</v>
      </c>
      <c r="I1296" s="3" t="s">
        <v>58</v>
      </c>
      <c r="J1296" s="3" t="s">
        <v>60</v>
      </c>
      <c r="K1296" s="2" t="s">
        <v>16613</v>
      </c>
      <c r="L1296" s="2" t="s">
        <v>16614</v>
      </c>
      <c r="M1296" s="3" t="s">
        <v>344</v>
      </c>
      <c r="O1296" s="3" t="s">
        <v>64</v>
      </c>
      <c r="P1296" s="3" t="s">
        <v>115</v>
      </c>
      <c r="Q1296" s="2" t="s">
        <v>3985</v>
      </c>
      <c r="R1296" s="3" t="s">
        <v>67</v>
      </c>
      <c r="S1296" s="4">
        <v>7</v>
      </c>
      <c r="T1296" s="4">
        <v>7</v>
      </c>
      <c r="U1296" s="5" t="s">
        <v>16615</v>
      </c>
      <c r="V1296" s="5" t="s">
        <v>16615</v>
      </c>
      <c r="W1296" s="5" t="s">
        <v>16312</v>
      </c>
      <c r="X1296" s="5" t="s">
        <v>16312</v>
      </c>
      <c r="Y1296" s="4">
        <v>277</v>
      </c>
      <c r="Z1296" s="4">
        <v>228</v>
      </c>
      <c r="AA1296" s="4">
        <v>360</v>
      </c>
      <c r="AB1296" s="4">
        <v>3</v>
      </c>
      <c r="AC1296" s="4">
        <v>3</v>
      </c>
      <c r="AD1296" s="4">
        <v>9</v>
      </c>
      <c r="AE1296" s="4">
        <v>17</v>
      </c>
      <c r="AF1296" s="4">
        <v>2</v>
      </c>
      <c r="AG1296" s="4">
        <v>6</v>
      </c>
      <c r="AH1296" s="4">
        <v>2</v>
      </c>
      <c r="AI1296" s="4">
        <v>3</v>
      </c>
      <c r="AJ1296" s="4">
        <v>5</v>
      </c>
      <c r="AK1296" s="4">
        <v>12</v>
      </c>
      <c r="AL1296" s="4">
        <v>2</v>
      </c>
      <c r="AM1296" s="4">
        <v>2</v>
      </c>
      <c r="AN1296" s="4">
        <v>0</v>
      </c>
      <c r="AO1296" s="4">
        <v>0</v>
      </c>
      <c r="AP1296" s="3" t="s">
        <v>58</v>
      </c>
      <c r="AQ1296" s="3" t="s">
        <v>58</v>
      </c>
      <c r="AS1296" s="6" t="str">
        <f>HYPERLINK("https://creighton-primo.hosted.exlibrisgroup.com/primo-explore/search?tab=default_tab&amp;search_scope=EVERYTHING&amp;vid=01CRU&amp;lang=en_US&amp;offset=0&amp;query=any,contains,991005057849702656","Catalog Record")</f>
        <v>Catalog Record</v>
      </c>
      <c r="AT1296" s="6" t="str">
        <f>HYPERLINK("http://www.worldcat.org/oclc/6914654","WorldCat Record")</f>
        <v>WorldCat Record</v>
      </c>
      <c r="AU1296" s="3" t="s">
        <v>16616</v>
      </c>
      <c r="AV1296" s="3" t="s">
        <v>16617</v>
      </c>
      <c r="AW1296" s="3" t="s">
        <v>16618</v>
      </c>
      <c r="AX1296" s="3" t="s">
        <v>16618</v>
      </c>
      <c r="AY1296" s="3" t="s">
        <v>16619</v>
      </c>
      <c r="AZ1296" s="3" t="s">
        <v>74</v>
      </c>
      <c r="BB1296" s="3" t="s">
        <v>16620</v>
      </c>
      <c r="BC1296" s="3" t="s">
        <v>16621</v>
      </c>
      <c r="BD1296" s="3" t="s">
        <v>16622</v>
      </c>
    </row>
    <row r="1297" spans="1:56" ht="42.75" customHeight="1" x14ac:dyDescent="0.25">
      <c r="A1297" s="7" t="s">
        <v>58</v>
      </c>
      <c r="B1297" s="2" t="s">
        <v>16623</v>
      </c>
      <c r="C1297" s="2" t="s">
        <v>16624</v>
      </c>
      <c r="D1297" s="2" t="s">
        <v>16625</v>
      </c>
      <c r="F1297" s="3" t="s">
        <v>58</v>
      </c>
      <c r="G1297" s="3" t="s">
        <v>59</v>
      </c>
      <c r="H1297" s="3" t="s">
        <v>58</v>
      </c>
      <c r="I1297" s="3" t="s">
        <v>86</v>
      </c>
      <c r="J1297" s="3" t="s">
        <v>60</v>
      </c>
      <c r="K1297" s="2" t="s">
        <v>16626</v>
      </c>
      <c r="L1297" s="2" t="s">
        <v>16627</v>
      </c>
      <c r="M1297" s="3" t="s">
        <v>480</v>
      </c>
      <c r="O1297" s="3" t="s">
        <v>64</v>
      </c>
      <c r="P1297" s="3" t="s">
        <v>115</v>
      </c>
      <c r="Q1297" s="2" t="s">
        <v>16628</v>
      </c>
      <c r="R1297" s="3" t="s">
        <v>67</v>
      </c>
      <c r="S1297" s="4">
        <v>10</v>
      </c>
      <c r="T1297" s="4">
        <v>10</v>
      </c>
      <c r="U1297" s="5" t="s">
        <v>3707</v>
      </c>
      <c r="V1297" s="5" t="s">
        <v>3707</v>
      </c>
      <c r="W1297" s="5" t="s">
        <v>16629</v>
      </c>
      <c r="X1297" s="5" t="s">
        <v>16629</v>
      </c>
      <c r="Y1297" s="4">
        <v>266</v>
      </c>
      <c r="Z1297" s="4">
        <v>221</v>
      </c>
      <c r="AA1297" s="4">
        <v>348</v>
      </c>
      <c r="AB1297" s="4">
        <v>2</v>
      </c>
      <c r="AC1297" s="4">
        <v>4</v>
      </c>
      <c r="AD1297" s="4">
        <v>10</v>
      </c>
      <c r="AE1297" s="4">
        <v>14</v>
      </c>
      <c r="AF1297" s="4">
        <v>3</v>
      </c>
      <c r="AG1297" s="4">
        <v>4</v>
      </c>
      <c r="AH1297" s="4">
        <v>2</v>
      </c>
      <c r="AI1297" s="4">
        <v>2</v>
      </c>
      <c r="AJ1297" s="4">
        <v>8</v>
      </c>
      <c r="AK1297" s="4">
        <v>11</v>
      </c>
      <c r="AL1297" s="4">
        <v>1</v>
      </c>
      <c r="AM1297" s="4">
        <v>2</v>
      </c>
      <c r="AN1297" s="4">
        <v>0</v>
      </c>
      <c r="AO1297" s="4">
        <v>0</v>
      </c>
      <c r="AP1297" s="3" t="s">
        <v>58</v>
      </c>
      <c r="AQ1297" s="3" t="s">
        <v>86</v>
      </c>
      <c r="AR1297" s="6" t="str">
        <f>HYPERLINK("http://catalog.hathitrust.org/Record/001949774","HathiTrust Record")</f>
        <v>HathiTrust Record</v>
      </c>
      <c r="AS1297" s="6" t="str">
        <f>HYPERLINK("https://creighton-primo.hosted.exlibrisgroup.com/primo-explore/search?tab=default_tab&amp;search_scope=EVERYTHING&amp;vid=01CRU&amp;lang=en_US&amp;offset=0&amp;query=any,contains,991001394979702656","Catalog Record")</f>
        <v>Catalog Record</v>
      </c>
      <c r="AT1297" s="6" t="str">
        <f>HYPERLINK("http://www.worldcat.org/oclc/18780754","WorldCat Record")</f>
        <v>WorldCat Record</v>
      </c>
      <c r="AU1297" s="3" t="s">
        <v>16630</v>
      </c>
      <c r="AV1297" s="3" t="s">
        <v>16631</v>
      </c>
      <c r="AW1297" s="3" t="s">
        <v>16632</v>
      </c>
      <c r="AX1297" s="3" t="s">
        <v>16632</v>
      </c>
      <c r="AY1297" s="3" t="s">
        <v>16633</v>
      </c>
      <c r="AZ1297" s="3" t="s">
        <v>74</v>
      </c>
      <c r="BB1297" s="3" t="s">
        <v>16634</v>
      </c>
      <c r="BC1297" s="3" t="s">
        <v>16635</v>
      </c>
      <c r="BD1297" s="3" t="s">
        <v>16636</v>
      </c>
    </row>
    <row r="1298" spans="1:56" ht="42.75" customHeight="1" x14ac:dyDescent="0.25">
      <c r="A1298" s="7" t="s">
        <v>58</v>
      </c>
      <c r="B1298" s="2" t="s">
        <v>16637</v>
      </c>
      <c r="C1298" s="2" t="s">
        <v>16638</v>
      </c>
      <c r="D1298" s="2" t="s">
        <v>16639</v>
      </c>
      <c r="F1298" s="3" t="s">
        <v>58</v>
      </c>
      <c r="G1298" s="3" t="s">
        <v>59</v>
      </c>
      <c r="H1298" s="3" t="s">
        <v>58</v>
      </c>
      <c r="I1298" s="3" t="s">
        <v>58</v>
      </c>
      <c r="J1298" s="3" t="s">
        <v>60</v>
      </c>
      <c r="K1298" s="2" t="s">
        <v>16640</v>
      </c>
      <c r="L1298" s="2" t="s">
        <v>16641</v>
      </c>
      <c r="M1298" s="3" t="s">
        <v>5200</v>
      </c>
      <c r="O1298" s="3" t="s">
        <v>64</v>
      </c>
      <c r="P1298" s="3" t="s">
        <v>83</v>
      </c>
      <c r="R1298" s="3" t="s">
        <v>67</v>
      </c>
      <c r="S1298" s="4">
        <v>9</v>
      </c>
      <c r="T1298" s="4">
        <v>9</v>
      </c>
      <c r="U1298" s="5" t="s">
        <v>16642</v>
      </c>
      <c r="V1298" s="5" t="s">
        <v>16642</v>
      </c>
      <c r="W1298" s="5" t="s">
        <v>15321</v>
      </c>
      <c r="X1298" s="5" t="s">
        <v>15321</v>
      </c>
      <c r="Y1298" s="4">
        <v>294</v>
      </c>
      <c r="Z1298" s="4">
        <v>252</v>
      </c>
      <c r="AA1298" s="4">
        <v>258</v>
      </c>
      <c r="AB1298" s="4">
        <v>3</v>
      </c>
      <c r="AC1298" s="4">
        <v>3</v>
      </c>
      <c r="AD1298" s="4">
        <v>11</v>
      </c>
      <c r="AE1298" s="4">
        <v>11</v>
      </c>
      <c r="AF1298" s="4">
        <v>3</v>
      </c>
      <c r="AG1298" s="4">
        <v>3</v>
      </c>
      <c r="AH1298" s="4">
        <v>3</v>
      </c>
      <c r="AI1298" s="4">
        <v>3</v>
      </c>
      <c r="AJ1298" s="4">
        <v>5</v>
      </c>
      <c r="AK1298" s="4">
        <v>5</v>
      </c>
      <c r="AL1298" s="4">
        <v>2</v>
      </c>
      <c r="AM1298" s="4">
        <v>2</v>
      </c>
      <c r="AN1298" s="4">
        <v>0</v>
      </c>
      <c r="AO1298" s="4">
        <v>0</v>
      </c>
      <c r="AP1298" s="3" t="s">
        <v>58</v>
      </c>
      <c r="AQ1298" s="3" t="s">
        <v>86</v>
      </c>
      <c r="AR1298" s="6" t="str">
        <f>HYPERLINK("http://catalog.hathitrust.org/Record/001565264","HathiTrust Record")</f>
        <v>HathiTrust Record</v>
      </c>
      <c r="AS1298" s="6" t="str">
        <f>HYPERLINK("https://creighton-primo.hosted.exlibrisgroup.com/primo-explore/search?tab=default_tab&amp;search_scope=EVERYTHING&amp;vid=01CRU&amp;lang=en_US&amp;offset=0&amp;query=any,contains,991003073489702656","Catalog Record")</f>
        <v>Catalog Record</v>
      </c>
      <c r="AT1298" s="6" t="str">
        <f>HYPERLINK("http://www.worldcat.org/oclc/627793","WorldCat Record")</f>
        <v>WorldCat Record</v>
      </c>
      <c r="AU1298" s="3" t="s">
        <v>16643</v>
      </c>
      <c r="AV1298" s="3" t="s">
        <v>16644</v>
      </c>
      <c r="AW1298" s="3" t="s">
        <v>16645</v>
      </c>
      <c r="AX1298" s="3" t="s">
        <v>16645</v>
      </c>
      <c r="AY1298" s="3" t="s">
        <v>16646</v>
      </c>
      <c r="AZ1298" s="3" t="s">
        <v>74</v>
      </c>
      <c r="BB1298" s="3" t="s">
        <v>16647</v>
      </c>
      <c r="BC1298" s="3" t="s">
        <v>16648</v>
      </c>
      <c r="BD1298" s="3" t="s">
        <v>16649</v>
      </c>
    </row>
    <row r="1299" spans="1:56" ht="42.75" customHeight="1" x14ac:dyDescent="0.25">
      <c r="A1299" s="7" t="s">
        <v>58</v>
      </c>
      <c r="B1299" s="2" t="s">
        <v>16650</v>
      </c>
      <c r="C1299" s="2" t="s">
        <v>16651</v>
      </c>
      <c r="D1299" s="2" t="s">
        <v>16652</v>
      </c>
      <c r="F1299" s="3" t="s">
        <v>58</v>
      </c>
      <c r="G1299" s="3" t="s">
        <v>59</v>
      </c>
      <c r="H1299" s="3" t="s">
        <v>58</v>
      </c>
      <c r="I1299" s="3" t="s">
        <v>58</v>
      </c>
      <c r="J1299" s="3" t="s">
        <v>60</v>
      </c>
      <c r="K1299" s="2" t="s">
        <v>16653</v>
      </c>
      <c r="L1299" s="2" t="s">
        <v>10847</v>
      </c>
      <c r="M1299" s="3" t="s">
        <v>223</v>
      </c>
      <c r="O1299" s="3" t="s">
        <v>64</v>
      </c>
      <c r="P1299" s="3" t="s">
        <v>115</v>
      </c>
      <c r="Q1299" s="2" t="s">
        <v>7784</v>
      </c>
      <c r="R1299" s="3" t="s">
        <v>67</v>
      </c>
      <c r="S1299" s="4">
        <v>15</v>
      </c>
      <c r="T1299" s="4">
        <v>15</v>
      </c>
      <c r="U1299" s="5" t="s">
        <v>16654</v>
      </c>
      <c r="V1299" s="5" t="s">
        <v>16654</v>
      </c>
      <c r="W1299" s="5" t="s">
        <v>3457</v>
      </c>
      <c r="X1299" s="5" t="s">
        <v>3457</v>
      </c>
      <c r="Y1299" s="4">
        <v>549</v>
      </c>
      <c r="Z1299" s="4">
        <v>428</v>
      </c>
      <c r="AA1299" s="4">
        <v>449</v>
      </c>
      <c r="AB1299" s="4">
        <v>4</v>
      </c>
      <c r="AC1299" s="4">
        <v>4</v>
      </c>
      <c r="AD1299" s="4">
        <v>18</v>
      </c>
      <c r="AE1299" s="4">
        <v>19</v>
      </c>
      <c r="AF1299" s="4">
        <v>7</v>
      </c>
      <c r="AG1299" s="4">
        <v>8</v>
      </c>
      <c r="AH1299" s="4">
        <v>3</v>
      </c>
      <c r="AI1299" s="4">
        <v>3</v>
      </c>
      <c r="AJ1299" s="4">
        <v>11</v>
      </c>
      <c r="AK1299" s="4">
        <v>11</v>
      </c>
      <c r="AL1299" s="4">
        <v>3</v>
      </c>
      <c r="AM1299" s="4">
        <v>3</v>
      </c>
      <c r="AN1299" s="4">
        <v>0</v>
      </c>
      <c r="AO1299" s="4">
        <v>0</v>
      </c>
      <c r="AP1299" s="3" t="s">
        <v>58</v>
      </c>
      <c r="AQ1299" s="3" t="s">
        <v>86</v>
      </c>
      <c r="AR1299" s="6" t="str">
        <f>HYPERLINK("http://catalog.hathitrust.org/Record/000747359","HathiTrust Record")</f>
        <v>HathiTrust Record</v>
      </c>
      <c r="AS1299" s="6" t="str">
        <f>HYPERLINK("https://creighton-primo.hosted.exlibrisgroup.com/primo-explore/search?tab=default_tab&amp;search_scope=EVERYTHING&amp;vid=01CRU&amp;lang=en_US&amp;offset=0&amp;query=any,contains,991004395169702656","Catalog Record")</f>
        <v>Catalog Record</v>
      </c>
      <c r="AT1299" s="6" t="str">
        <f>HYPERLINK("http://www.worldcat.org/oclc/3275609","WorldCat Record")</f>
        <v>WorldCat Record</v>
      </c>
      <c r="AU1299" s="3" t="s">
        <v>16655</v>
      </c>
      <c r="AV1299" s="3" t="s">
        <v>16656</v>
      </c>
      <c r="AW1299" s="3" t="s">
        <v>16657</v>
      </c>
      <c r="AX1299" s="3" t="s">
        <v>16657</v>
      </c>
      <c r="AY1299" s="3" t="s">
        <v>16658</v>
      </c>
      <c r="AZ1299" s="3" t="s">
        <v>74</v>
      </c>
      <c r="BB1299" s="3" t="s">
        <v>16659</v>
      </c>
      <c r="BC1299" s="3" t="s">
        <v>16660</v>
      </c>
      <c r="BD1299" s="3" t="s">
        <v>16661</v>
      </c>
    </row>
    <row r="1300" spans="1:56" ht="42.75" customHeight="1" x14ac:dyDescent="0.25">
      <c r="A1300" s="7" t="s">
        <v>58</v>
      </c>
      <c r="B1300" s="2" t="s">
        <v>16662</v>
      </c>
      <c r="C1300" s="2" t="s">
        <v>16663</v>
      </c>
      <c r="D1300" s="2" t="s">
        <v>16664</v>
      </c>
      <c r="F1300" s="3" t="s">
        <v>58</v>
      </c>
      <c r="G1300" s="3" t="s">
        <v>59</v>
      </c>
      <c r="H1300" s="3" t="s">
        <v>58</v>
      </c>
      <c r="I1300" s="3" t="s">
        <v>58</v>
      </c>
      <c r="J1300" s="3" t="s">
        <v>60</v>
      </c>
      <c r="K1300" s="2" t="s">
        <v>11717</v>
      </c>
      <c r="L1300" s="2" t="s">
        <v>16665</v>
      </c>
      <c r="M1300" s="3" t="s">
        <v>4296</v>
      </c>
      <c r="O1300" s="3" t="s">
        <v>64</v>
      </c>
      <c r="P1300" s="3" t="s">
        <v>2854</v>
      </c>
      <c r="R1300" s="3" t="s">
        <v>67</v>
      </c>
      <c r="S1300" s="4">
        <v>1</v>
      </c>
      <c r="T1300" s="4">
        <v>1</v>
      </c>
      <c r="U1300" s="5" t="s">
        <v>16540</v>
      </c>
      <c r="V1300" s="5" t="s">
        <v>16540</v>
      </c>
      <c r="W1300" s="5" t="s">
        <v>16666</v>
      </c>
      <c r="X1300" s="5" t="s">
        <v>16666</v>
      </c>
      <c r="Y1300" s="4">
        <v>242</v>
      </c>
      <c r="Z1300" s="4">
        <v>219</v>
      </c>
      <c r="AA1300" s="4">
        <v>853</v>
      </c>
      <c r="AB1300" s="4">
        <v>3</v>
      </c>
      <c r="AC1300" s="4">
        <v>11</v>
      </c>
      <c r="AD1300" s="4">
        <v>3</v>
      </c>
      <c r="AE1300" s="4">
        <v>20</v>
      </c>
      <c r="AF1300" s="4">
        <v>0</v>
      </c>
      <c r="AG1300" s="4">
        <v>2</v>
      </c>
      <c r="AH1300" s="4">
        <v>0</v>
      </c>
      <c r="AI1300" s="4">
        <v>5</v>
      </c>
      <c r="AJ1300" s="4">
        <v>2</v>
      </c>
      <c r="AK1300" s="4">
        <v>10</v>
      </c>
      <c r="AL1300" s="4">
        <v>1</v>
      </c>
      <c r="AM1300" s="4">
        <v>5</v>
      </c>
      <c r="AN1300" s="4">
        <v>0</v>
      </c>
      <c r="AO1300" s="4">
        <v>0</v>
      </c>
      <c r="AP1300" s="3" t="s">
        <v>58</v>
      </c>
      <c r="AQ1300" s="3" t="s">
        <v>58</v>
      </c>
      <c r="AS1300" s="6" t="str">
        <f>HYPERLINK("https://creighton-primo.hosted.exlibrisgroup.com/primo-explore/search?tab=default_tab&amp;search_scope=EVERYTHING&amp;vid=01CRU&amp;lang=en_US&amp;offset=0&amp;query=any,contains,991003881869702656","Catalog Record")</f>
        <v>Catalog Record</v>
      </c>
      <c r="AT1300" s="6" t="str">
        <f>HYPERLINK("http://www.worldcat.org/oclc/1728558","WorldCat Record")</f>
        <v>WorldCat Record</v>
      </c>
      <c r="AU1300" s="3" t="s">
        <v>16667</v>
      </c>
      <c r="AV1300" s="3" t="s">
        <v>16668</v>
      </c>
      <c r="AW1300" s="3" t="s">
        <v>16669</v>
      </c>
      <c r="AX1300" s="3" t="s">
        <v>16669</v>
      </c>
      <c r="AY1300" s="3" t="s">
        <v>16670</v>
      </c>
      <c r="AZ1300" s="3" t="s">
        <v>74</v>
      </c>
      <c r="BB1300" s="3" t="s">
        <v>16671</v>
      </c>
      <c r="BC1300" s="3" t="s">
        <v>16672</v>
      </c>
      <c r="BD1300" s="3" t="s">
        <v>16673</v>
      </c>
    </row>
    <row r="1301" spans="1:56" ht="42.75" customHeight="1" x14ac:dyDescent="0.25">
      <c r="A1301" s="7" t="s">
        <v>58</v>
      </c>
      <c r="B1301" s="2" t="s">
        <v>16674</v>
      </c>
      <c r="C1301" s="2" t="s">
        <v>16675</v>
      </c>
      <c r="D1301" s="2" t="s">
        <v>16676</v>
      </c>
      <c r="F1301" s="3" t="s">
        <v>58</v>
      </c>
      <c r="G1301" s="3" t="s">
        <v>59</v>
      </c>
      <c r="H1301" s="3" t="s">
        <v>58</v>
      </c>
      <c r="I1301" s="3" t="s">
        <v>58</v>
      </c>
      <c r="J1301" s="3" t="s">
        <v>60</v>
      </c>
      <c r="L1301" s="2" t="s">
        <v>16677</v>
      </c>
      <c r="M1301" s="3" t="s">
        <v>765</v>
      </c>
      <c r="O1301" s="3" t="s">
        <v>64</v>
      </c>
      <c r="P1301" s="3" t="s">
        <v>16678</v>
      </c>
      <c r="Q1301" s="2" t="s">
        <v>16679</v>
      </c>
      <c r="R1301" s="3" t="s">
        <v>67</v>
      </c>
      <c r="S1301" s="4">
        <v>20</v>
      </c>
      <c r="T1301" s="4">
        <v>20</v>
      </c>
      <c r="U1301" s="5" t="s">
        <v>16680</v>
      </c>
      <c r="V1301" s="5" t="s">
        <v>16680</v>
      </c>
      <c r="W1301" s="5" t="s">
        <v>7156</v>
      </c>
      <c r="X1301" s="5" t="s">
        <v>7156</v>
      </c>
      <c r="Y1301" s="4">
        <v>145</v>
      </c>
      <c r="Z1301" s="4">
        <v>112</v>
      </c>
      <c r="AA1301" s="4">
        <v>117</v>
      </c>
      <c r="AB1301" s="4">
        <v>2</v>
      </c>
      <c r="AC1301" s="4">
        <v>2</v>
      </c>
      <c r="AD1301" s="4">
        <v>5</v>
      </c>
      <c r="AE1301" s="4">
        <v>5</v>
      </c>
      <c r="AF1301" s="4">
        <v>2</v>
      </c>
      <c r="AG1301" s="4">
        <v>2</v>
      </c>
      <c r="AH1301" s="4">
        <v>1</v>
      </c>
      <c r="AI1301" s="4">
        <v>1</v>
      </c>
      <c r="AJ1301" s="4">
        <v>3</v>
      </c>
      <c r="AK1301" s="4">
        <v>3</v>
      </c>
      <c r="AL1301" s="4">
        <v>1</v>
      </c>
      <c r="AM1301" s="4">
        <v>1</v>
      </c>
      <c r="AN1301" s="4">
        <v>0</v>
      </c>
      <c r="AO1301" s="4">
        <v>0</v>
      </c>
      <c r="AP1301" s="3" t="s">
        <v>58</v>
      </c>
      <c r="AQ1301" s="3" t="s">
        <v>86</v>
      </c>
      <c r="AR1301" s="6" t="str">
        <f>HYPERLINK("http://catalog.hathitrust.org/Record/003120182","HathiTrust Record")</f>
        <v>HathiTrust Record</v>
      </c>
      <c r="AS1301" s="6" t="str">
        <f>HYPERLINK("https://creighton-primo.hosted.exlibrisgroup.com/primo-explore/search?tab=default_tab&amp;search_scope=EVERYTHING&amp;vid=01CRU&amp;lang=en_US&amp;offset=0&amp;query=any,contains,991002348279702656","Catalog Record")</f>
        <v>Catalog Record</v>
      </c>
      <c r="AT1301" s="6" t="str">
        <f>HYPERLINK("http://www.worldcat.org/oclc/30593405","WorldCat Record")</f>
        <v>WorldCat Record</v>
      </c>
      <c r="AU1301" s="3" t="s">
        <v>16681</v>
      </c>
      <c r="AV1301" s="3" t="s">
        <v>16682</v>
      </c>
      <c r="AW1301" s="3" t="s">
        <v>16683</v>
      </c>
      <c r="AX1301" s="3" t="s">
        <v>16683</v>
      </c>
      <c r="AY1301" s="3" t="s">
        <v>16684</v>
      </c>
      <c r="AZ1301" s="3" t="s">
        <v>74</v>
      </c>
      <c r="BB1301" s="3" t="s">
        <v>16685</v>
      </c>
      <c r="BC1301" s="3" t="s">
        <v>16686</v>
      </c>
      <c r="BD1301" s="3" t="s">
        <v>16687</v>
      </c>
    </row>
    <row r="1302" spans="1:56" ht="42.75" customHeight="1" x14ac:dyDescent="0.25">
      <c r="A1302" s="7" t="s">
        <v>58</v>
      </c>
      <c r="B1302" s="2" t="s">
        <v>16688</v>
      </c>
      <c r="C1302" s="2" t="s">
        <v>16689</v>
      </c>
      <c r="D1302" s="2" t="s">
        <v>16690</v>
      </c>
      <c r="F1302" s="3" t="s">
        <v>58</v>
      </c>
      <c r="G1302" s="3" t="s">
        <v>59</v>
      </c>
      <c r="H1302" s="3" t="s">
        <v>58</v>
      </c>
      <c r="I1302" s="3" t="s">
        <v>58</v>
      </c>
      <c r="J1302" s="3" t="s">
        <v>60</v>
      </c>
      <c r="L1302" s="2" t="s">
        <v>16691</v>
      </c>
      <c r="M1302" s="3" t="s">
        <v>371</v>
      </c>
      <c r="O1302" s="3" t="s">
        <v>64</v>
      </c>
      <c r="P1302" s="3" t="s">
        <v>254</v>
      </c>
      <c r="Q1302" s="2" t="s">
        <v>16692</v>
      </c>
      <c r="R1302" s="3" t="s">
        <v>67</v>
      </c>
      <c r="S1302" s="4">
        <v>20</v>
      </c>
      <c r="T1302" s="4">
        <v>20</v>
      </c>
      <c r="U1302" s="5" t="s">
        <v>16262</v>
      </c>
      <c r="V1302" s="5" t="s">
        <v>16262</v>
      </c>
      <c r="W1302" s="5" t="s">
        <v>12536</v>
      </c>
      <c r="X1302" s="5" t="s">
        <v>12536</v>
      </c>
      <c r="Y1302" s="4">
        <v>367</v>
      </c>
      <c r="Z1302" s="4">
        <v>289</v>
      </c>
      <c r="AA1302" s="4">
        <v>335</v>
      </c>
      <c r="AB1302" s="4">
        <v>1</v>
      </c>
      <c r="AC1302" s="4">
        <v>1</v>
      </c>
      <c r="AD1302" s="4">
        <v>12</v>
      </c>
      <c r="AE1302" s="4">
        <v>15</v>
      </c>
      <c r="AF1302" s="4">
        <v>5</v>
      </c>
      <c r="AG1302" s="4">
        <v>7</v>
      </c>
      <c r="AH1302" s="4">
        <v>3</v>
      </c>
      <c r="AI1302" s="4">
        <v>5</v>
      </c>
      <c r="AJ1302" s="4">
        <v>9</v>
      </c>
      <c r="AK1302" s="4">
        <v>9</v>
      </c>
      <c r="AL1302" s="4">
        <v>0</v>
      </c>
      <c r="AM1302" s="4">
        <v>0</v>
      </c>
      <c r="AN1302" s="4">
        <v>0</v>
      </c>
      <c r="AO1302" s="4">
        <v>0</v>
      </c>
      <c r="AP1302" s="3" t="s">
        <v>58</v>
      </c>
      <c r="AQ1302" s="3" t="s">
        <v>86</v>
      </c>
      <c r="AR1302" s="6" t="str">
        <f>HYPERLINK("http://catalog.hathitrust.org/Record/010093727","HathiTrust Record")</f>
        <v>HathiTrust Record</v>
      </c>
      <c r="AS1302" s="6" t="str">
        <f>HYPERLINK("https://creighton-primo.hosted.exlibrisgroup.com/primo-explore/search?tab=default_tab&amp;search_scope=EVERYTHING&amp;vid=01CRU&amp;lang=en_US&amp;offset=0&amp;query=any,contains,991000850399702656","Catalog Record")</f>
        <v>Catalog Record</v>
      </c>
      <c r="AT1302" s="6" t="str">
        <f>HYPERLINK("http://www.worldcat.org/oclc/13581985","WorldCat Record")</f>
        <v>WorldCat Record</v>
      </c>
      <c r="AU1302" s="3" t="s">
        <v>16693</v>
      </c>
      <c r="AV1302" s="3" t="s">
        <v>16694</v>
      </c>
      <c r="AW1302" s="3" t="s">
        <v>16695</v>
      </c>
      <c r="AX1302" s="3" t="s">
        <v>16695</v>
      </c>
      <c r="AY1302" s="3" t="s">
        <v>16696</v>
      </c>
      <c r="AZ1302" s="3" t="s">
        <v>74</v>
      </c>
      <c r="BB1302" s="3" t="s">
        <v>16697</v>
      </c>
      <c r="BC1302" s="3" t="s">
        <v>16698</v>
      </c>
      <c r="BD1302" s="3" t="s">
        <v>16699</v>
      </c>
    </row>
    <row r="1303" spans="1:56" ht="42.75" customHeight="1" x14ac:dyDescent="0.25">
      <c r="A1303" s="7" t="s">
        <v>58</v>
      </c>
      <c r="B1303" s="2" t="s">
        <v>16700</v>
      </c>
      <c r="C1303" s="2" t="s">
        <v>16701</v>
      </c>
      <c r="D1303" s="2" t="s">
        <v>16702</v>
      </c>
      <c r="F1303" s="3" t="s">
        <v>58</v>
      </c>
      <c r="G1303" s="3" t="s">
        <v>59</v>
      </c>
      <c r="H1303" s="3" t="s">
        <v>58</v>
      </c>
      <c r="I1303" s="3" t="s">
        <v>58</v>
      </c>
      <c r="J1303" s="3" t="s">
        <v>60</v>
      </c>
      <c r="K1303" s="2" t="s">
        <v>16703</v>
      </c>
      <c r="L1303" s="2" t="s">
        <v>16704</v>
      </c>
      <c r="M1303" s="3" t="s">
        <v>63</v>
      </c>
      <c r="O1303" s="3" t="s">
        <v>64</v>
      </c>
      <c r="P1303" s="3" t="s">
        <v>208</v>
      </c>
      <c r="R1303" s="3" t="s">
        <v>67</v>
      </c>
      <c r="S1303" s="4">
        <v>12</v>
      </c>
      <c r="T1303" s="4">
        <v>12</v>
      </c>
      <c r="U1303" s="5" t="s">
        <v>16705</v>
      </c>
      <c r="V1303" s="5" t="s">
        <v>16705</v>
      </c>
      <c r="W1303" s="5" t="s">
        <v>6059</v>
      </c>
      <c r="X1303" s="5" t="s">
        <v>6059</v>
      </c>
      <c r="Y1303" s="4">
        <v>1280</v>
      </c>
      <c r="Z1303" s="4">
        <v>1118</v>
      </c>
      <c r="AA1303" s="4">
        <v>1133</v>
      </c>
      <c r="AB1303" s="4">
        <v>7</v>
      </c>
      <c r="AC1303" s="4">
        <v>7</v>
      </c>
      <c r="AD1303" s="4">
        <v>37</v>
      </c>
      <c r="AE1303" s="4">
        <v>37</v>
      </c>
      <c r="AF1303" s="4">
        <v>13</v>
      </c>
      <c r="AG1303" s="4">
        <v>13</v>
      </c>
      <c r="AH1303" s="4">
        <v>5</v>
      </c>
      <c r="AI1303" s="4">
        <v>5</v>
      </c>
      <c r="AJ1303" s="4">
        <v>20</v>
      </c>
      <c r="AK1303" s="4">
        <v>20</v>
      </c>
      <c r="AL1303" s="4">
        <v>5</v>
      </c>
      <c r="AM1303" s="4">
        <v>5</v>
      </c>
      <c r="AN1303" s="4">
        <v>1</v>
      </c>
      <c r="AO1303" s="4">
        <v>1</v>
      </c>
      <c r="AP1303" s="3" t="s">
        <v>58</v>
      </c>
      <c r="AQ1303" s="3" t="s">
        <v>86</v>
      </c>
      <c r="AR1303" s="6" t="str">
        <f>HYPERLINK("http://catalog.hathitrust.org/Record/000154444","HathiTrust Record")</f>
        <v>HathiTrust Record</v>
      </c>
      <c r="AS1303" s="6" t="str">
        <f>HYPERLINK("https://creighton-primo.hosted.exlibrisgroup.com/primo-explore/search?tab=default_tab&amp;search_scope=EVERYTHING&amp;vid=01CRU&amp;lang=en_US&amp;offset=0&amp;query=any,contains,991000018699702656","Catalog Record")</f>
        <v>Catalog Record</v>
      </c>
      <c r="AT1303" s="6" t="str">
        <f>HYPERLINK("http://www.worldcat.org/oclc/8554040","WorldCat Record")</f>
        <v>WorldCat Record</v>
      </c>
      <c r="AU1303" s="3" t="s">
        <v>16706</v>
      </c>
      <c r="AV1303" s="3" t="s">
        <v>16707</v>
      </c>
      <c r="AW1303" s="3" t="s">
        <v>16708</v>
      </c>
      <c r="AX1303" s="3" t="s">
        <v>16708</v>
      </c>
      <c r="AY1303" s="3" t="s">
        <v>16709</v>
      </c>
      <c r="AZ1303" s="3" t="s">
        <v>74</v>
      </c>
      <c r="BB1303" s="3" t="s">
        <v>16710</v>
      </c>
      <c r="BC1303" s="3" t="s">
        <v>16711</v>
      </c>
      <c r="BD1303" s="3" t="s">
        <v>16712</v>
      </c>
    </row>
    <row r="1304" spans="1:56" ht="42.75" customHeight="1" x14ac:dyDescent="0.25">
      <c r="A1304" s="7" t="s">
        <v>58</v>
      </c>
      <c r="B1304" s="2" t="s">
        <v>16713</v>
      </c>
      <c r="C1304" s="2" t="s">
        <v>16714</v>
      </c>
      <c r="D1304" s="2" t="s">
        <v>16715</v>
      </c>
      <c r="F1304" s="3" t="s">
        <v>58</v>
      </c>
      <c r="G1304" s="3" t="s">
        <v>59</v>
      </c>
      <c r="H1304" s="3" t="s">
        <v>58</v>
      </c>
      <c r="I1304" s="3" t="s">
        <v>58</v>
      </c>
      <c r="J1304" s="3" t="s">
        <v>60</v>
      </c>
      <c r="K1304" s="2" t="s">
        <v>16716</v>
      </c>
      <c r="L1304" s="2" t="s">
        <v>16717</v>
      </c>
      <c r="M1304" s="3" t="s">
        <v>996</v>
      </c>
      <c r="O1304" s="3" t="s">
        <v>64</v>
      </c>
      <c r="P1304" s="3" t="s">
        <v>115</v>
      </c>
      <c r="R1304" s="3" t="s">
        <v>67</v>
      </c>
      <c r="S1304" s="4">
        <v>5</v>
      </c>
      <c r="T1304" s="4">
        <v>5</v>
      </c>
      <c r="U1304" s="5" t="s">
        <v>16718</v>
      </c>
      <c r="V1304" s="5" t="s">
        <v>16718</v>
      </c>
      <c r="W1304" s="5" t="s">
        <v>16719</v>
      </c>
      <c r="X1304" s="5" t="s">
        <v>16719</v>
      </c>
      <c r="Y1304" s="4">
        <v>455</v>
      </c>
      <c r="Z1304" s="4">
        <v>420</v>
      </c>
      <c r="AA1304" s="4">
        <v>423</v>
      </c>
      <c r="AB1304" s="4">
        <v>3</v>
      </c>
      <c r="AC1304" s="4">
        <v>3</v>
      </c>
      <c r="AD1304" s="4">
        <v>5</v>
      </c>
      <c r="AE1304" s="4">
        <v>5</v>
      </c>
      <c r="AF1304" s="4">
        <v>1</v>
      </c>
      <c r="AG1304" s="4">
        <v>1</v>
      </c>
      <c r="AH1304" s="4">
        <v>1</v>
      </c>
      <c r="AI1304" s="4">
        <v>1</v>
      </c>
      <c r="AJ1304" s="4">
        <v>3</v>
      </c>
      <c r="AK1304" s="4">
        <v>3</v>
      </c>
      <c r="AL1304" s="4">
        <v>1</v>
      </c>
      <c r="AM1304" s="4">
        <v>1</v>
      </c>
      <c r="AN1304" s="4">
        <v>0</v>
      </c>
      <c r="AO1304" s="4">
        <v>0</v>
      </c>
      <c r="AP1304" s="3" t="s">
        <v>58</v>
      </c>
      <c r="AQ1304" s="3" t="s">
        <v>86</v>
      </c>
      <c r="AR1304" s="6" t="str">
        <f>HYPERLINK("http://catalog.hathitrust.org/Record/004137144","HathiTrust Record")</f>
        <v>HathiTrust Record</v>
      </c>
      <c r="AS1304" s="6" t="str">
        <f>HYPERLINK("https://creighton-primo.hosted.exlibrisgroup.com/primo-explore/search?tab=default_tab&amp;search_scope=EVERYTHING&amp;vid=01CRU&amp;lang=en_US&amp;offset=0&amp;query=any,contains,991003932989702656","Catalog Record")</f>
        <v>Catalog Record</v>
      </c>
      <c r="AT1304" s="6" t="str">
        <f>HYPERLINK("http://www.worldcat.org/oclc/42812895","WorldCat Record")</f>
        <v>WorldCat Record</v>
      </c>
      <c r="AU1304" s="3" t="s">
        <v>16720</v>
      </c>
      <c r="AV1304" s="3" t="s">
        <v>16721</v>
      </c>
      <c r="AW1304" s="3" t="s">
        <v>16722</v>
      </c>
      <c r="AX1304" s="3" t="s">
        <v>16722</v>
      </c>
      <c r="AY1304" s="3" t="s">
        <v>16723</v>
      </c>
      <c r="AZ1304" s="3" t="s">
        <v>74</v>
      </c>
      <c r="BB1304" s="3" t="s">
        <v>16724</v>
      </c>
      <c r="BC1304" s="3" t="s">
        <v>16725</v>
      </c>
      <c r="BD1304" s="3" t="s">
        <v>16726</v>
      </c>
    </row>
    <row r="1305" spans="1:56" ht="42.75" customHeight="1" x14ac:dyDescent="0.25">
      <c r="A1305" s="7" t="s">
        <v>58</v>
      </c>
      <c r="B1305" s="2" t="s">
        <v>16727</v>
      </c>
      <c r="C1305" s="2" t="s">
        <v>16728</v>
      </c>
      <c r="D1305" s="2" t="s">
        <v>16729</v>
      </c>
      <c r="F1305" s="3" t="s">
        <v>58</v>
      </c>
      <c r="G1305" s="3" t="s">
        <v>59</v>
      </c>
      <c r="H1305" s="3" t="s">
        <v>58</v>
      </c>
      <c r="I1305" s="3" t="s">
        <v>58</v>
      </c>
      <c r="J1305" s="3" t="s">
        <v>60</v>
      </c>
      <c r="K1305" s="2" t="s">
        <v>16730</v>
      </c>
      <c r="L1305" s="2" t="s">
        <v>16731</v>
      </c>
      <c r="M1305" s="3" t="s">
        <v>3914</v>
      </c>
      <c r="O1305" s="3" t="s">
        <v>64</v>
      </c>
      <c r="P1305" s="3" t="s">
        <v>359</v>
      </c>
      <c r="R1305" s="3" t="s">
        <v>67</v>
      </c>
      <c r="S1305" s="4">
        <v>6</v>
      </c>
      <c r="T1305" s="4">
        <v>6</v>
      </c>
      <c r="U1305" s="5" t="s">
        <v>16732</v>
      </c>
      <c r="V1305" s="5" t="s">
        <v>16732</v>
      </c>
      <c r="W1305" s="5" t="s">
        <v>7944</v>
      </c>
      <c r="X1305" s="5" t="s">
        <v>7944</v>
      </c>
      <c r="Y1305" s="4">
        <v>203</v>
      </c>
      <c r="Z1305" s="4">
        <v>156</v>
      </c>
      <c r="AA1305" s="4">
        <v>159</v>
      </c>
      <c r="AB1305" s="4">
        <v>3</v>
      </c>
      <c r="AC1305" s="4">
        <v>3</v>
      </c>
      <c r="AD1305" s="4">
        <v>6</v>
      </c>
      <c r="AE1305" s="4">
        <v>6</v>
      </c>
      <c r="AF1305" s="4">
        <v>3</v>
      </c>
      <c r="AG1305" s="4">
        <v>3</v>
      </c>
      <c r="AH1305" s="4">
        <v>2</v>
      </c>
      <c r="AI1305" s="4">
        <v>2</v>
      </c>
      <c r="AJ1305" s="4">
        <v>2</v>
      </c>
      <c r="AK1305" s="4">
        <v>2</v>
      </c>
      <c r="AL1305" s="4">
        <v>2</v>
      </c>
      <c r="AM1305" s="4">
        <v>2</v>
      </c>
      <c r="AN1305" s="4">
        <v>0</v>
      </c>
      <c r="AO1305" s="4">
        <v>0</v>
      </c>
      <c r="AP1305" s="3" t="s">
        <v>58</v>
      </c>
      <c r="AQ1305" s="3" t="s">
        <v>86</v>
      </c>
      <c r="AR1305" s="6" t="str">
        <f>HYPERLINK("http://catalog.hathitrust.org/Record/000227866","HathiTrust Record")</f>
        <v>HathiTrust Record</v>
      </c>
      <c r="AS1305" s="6" t="str">
        <f>HYPERLINK("https://creighton-primo.hosted.exlibrisgroup.com/primo-explore/search?tab=default_tab&amp;search_scope=EVERYTHING&amp;vid=01CRU&amp;lang=en_US&amp;offset=0&amp;query=any,contains,991004030709702656","Catalog Record")</f>
        <v>Catalog Record</v>
      </c>
      <c r="AT1305" s="6" t="str">
        <f>HYPERLINK("http://www.worldcat.org/oclc/2151256","WorldCat Record")</f>
        <v>WorldCat Record</v>
      </c>
      <c r="AU1305" s="3" t="s">
        <v>16733</v>
      </c>
      <c r="AV1305" s="3" t="s">
        <v>16734</v>
      </c>
      <c r="AW1305" s="3" t="s">
        <v>16735</v>
      </c>
      <c r="AX1305" s="3" t="s">
        <v>16735</v>
      </c>
      <c r="AY1305" s="3" t="s">
        <v>16736</v>
      </c>
      <c r="AZ1305" s="3" t="s">
        <v>74</v>
      </c>
      <c r="BB1305" s="3" t="s">
        <v>16737</v>
      </c>
      <c r="BC1305" s="3" t="s">
        <v>16738</v>
      </c>
      <c r="BD1305" s="3" t="s">
        <v>16739</v>
      </c>
    </row>
    <row r="1306" spans="1:56" ht="42.75" customHeight="1" x14ac:dyDescent="0.25">
      <c r="A1306" s="7" t="s">
        <v>58</v>
      </c>
      <c r="B1306" s="2" t="s">
        <v>16740</v>
      </c>
      <c r="C1306" s="2" t="s">
        <v>16741</v>
      </c>
      <c r="D1306" s="2" t="s">
        <v>16742</v>
      </c>
      <c r="F1306" s="3" t="s">
        <v>58</v>
      </c>
      <c r="G1306" s="3" t="s">
        <v>59</v>
      </c>
      <c r="H1306" s="3" t="s">
        <v>58</v>
      </c>
      <c r="I1306" s="3" t="s">
        <v>58</v>
      </c>
      <c r="J1306" s="3" t="s">
        <v>60</v>
      </c>
      <c r="K1306" s="2" t="s">
        <v>16743</v>
      </c>
      <c r="L1306" s="2" t="s">
        <v>16744</v>
      </c>
      <c r="M1306" s="3" t="s">
        <v>3069</v>
      </c>
      <c r="O1306" s="3" t="s">
        <v>64</v>
      </c>
      <c r="P1306" s="3" t="s">
        <v>6878</v>
      </c>
      <c r="R1306" s="3" t="s">
        <v>67</v>
      </c>
      <c r="S1306" s="4">
        <v>9</v>
      </c>
      <c r="T1306" s="4">
        <v>9</v>
      </c>
      <c r="U1306" s="5" t="s">
        <v>16275</v>
      </c>
      <c r="V1306" s="5" t="s">
        <v>16275</v>
      </c>
      <c r="W1306" s="5" t="s">
        <v>117</v>
      </c>
      <c r="X1306" s="5" t="s">
        <v>117</v>
      </c>
      <c r="Y1306" s="4">
        <v>350</v>
      </c>
      <c r="Z1306" s="4">
        <v>331</v>
      </c>
      <c r="AA1306" s="4">
        <v>342</v>
      </c>
      <c r="AB1306" s="4">
        <v>2</v>
      </c>
      <c r="AC1306" s="4">
        <v>2</v>
      </c>
      <c r="AD1306" s="4">
        <v>6</v>
      </c>
      <c r="AE1306" s="4">
        <v>6</v>
      </c>
      <c r="AF1306" s="4">
        <v>1</v>
      </c>
      <c r="AG1306" s="4">
        <v>1</v>
      </c>
      <c r="AH1306" s="4">
        <v>1</v>
      </c>
      <c r="AI1306" s="4">
        <v>1</v>
      </c>
      <c r="AJ1306" s="4">
        <v>5</v>
      </c>
      <c r="AK1306" s="4">
        <v>5</v>
      </c>
      <c r="AL1306" s="4">
        <v>1</v>
      </c>
      <c r="AM1306" s="4">
        <v>1</v>
      </c>
      <c r="AN1306" s="4">
        <v>0</v>
      </c>
      <c r="AO1306" s="4">
        <v>0</v>
      </c>
      <c r="AP1306" s="3" t="s">
        <v>58</v>
      </c>
      <c r="AQ1306" s="3" t="s">
        <v>86</v>
      </c>
      <c r="AR1306" s="6" t="str">
        <f>HYPERLINK("http://catalog.hathitrust.org/Record/001565274","HathiTrust Record")</f>
        <v>HathiTrust Record</v>
      </c>
      <c r="AS1306" s="6" t="str">
        <f>HYPERLINK("https://creighton-primo.hosted.exlibrisgroup.com/primo-explore/search?tab=default_tab&amp;search_scope=EVERYTHING&amp;vid=01CRU&amp;lang=en_US&amp;offset=0&amp;query=any,contains,991003372989702656","Catalog Record")</f>
        <v>Catalog Record</v>
      </c>
      <c r="AT1306" s="6" t="str">
        <f>HYPERLINK("http://www.worldcat.org/oclc/909115","WorldCat Record")</f>
        <v>WorldCat Record</v>
      </c>
      <c r="AU1306" s="3" t="s">
        <v>16745</v>
      </c>
      <c r="AV1306" s="3" t="s">
        <v>16746</v>
      </c>
      <c r="AW1306" s="3" t="s">
        <v>16747</v>
      </c>
      <c r="AX1306" s="3" t="s">
        <v>16747</v>
      </c>
      <c r="AY1306" s="3" t="s">
        <v>16748</v>
      </c>
      <c r="AZ1306" s="3" t="s">
        <v>74</v>
      </c>
      <c r="BC1306" s="3" t="s">
        <v>16749</v>
      </c>
      <c r="BD1306" s="3" t="s">
        <v>16750</v>
      </c>
    </row>
    <row r="1307" spans="1:56" ht="42.75" customHeight="1" x14ac:dyDescent="0.25">
      <c r="A1307" s="7" t="s">
        <v>58</v>
      </c>
      <c r="B1307" s="2" t="s">
        <v>16751</v>
      </c>
      <c r="C1307" s="2" t="s">
        <v>16752</v>
      </c>
      <c r="D1307" s="2" t="s">
        <v>16753</v>
      </c>
      <c r="F1307" s="3" t="s">
        <v>58</v>
      </c>
      <c r="G1307" s="3" t="s">
        <v>59</v>
      </c>
      <c r="H1307" s="3" t="s">
        <v>58</v>
      </c>
      <c r="I1307" s="3" t="s">
        <v>58</v>
      </c>
      <c r="J1307" s="3" t="s">
        <v>60</v>
      </c>
      <c r="L1307" s="2" t="s">
        <v>16754</v>
      </c>
      <c r="M1307" s="3" t="s">
        <v>1361</v>
      </c>
      <c r="O1307" s="3" t="s">
        <v>64</v>
      </c>
      <c r="P1307" s="3" t="s">
        <v>178</v>
      </c>
      <c r="Q1307" s="2" t="s">
        <v>16755</v>
      </c>
      <c r="R1307" s="3" t="s">
        <v>67</v>
      </c>
      <c r="S1307" s="4">
        <v>4</v>
      </c>
      <c r="T1307" s="4">
        <v>4</v>
      </c>
      <c r="U1307" s="5" t="s">
        <v>16756</v>
      </c>
      <c r="V1307" s="5" t="s">
        <v>16756</v>
      </c>
      <c r="W1307" s="5" t="s">
        <v>13308</v>
      </c>
      <c r="X1307" s="5" t="s">
        <v>13308</v>
      </c>
      <c r="Y1307" s="4">
        <v>106</v>
      </c>
      <c r="Z1307" s="4">
        <v>99</v>
      </c>
      <c r="AA1307" s="4">
        <v>285</v>
      </c>
      <c r="AB1307" s="4">
        <v>1</v>
      </c>
      <c r="AC1307" s="4">
        <v>4</v>
      </c>
      <c r="AD1307" s="4">
        <v>0</v>
      </c>
      <c r="AE1307" s="4">
        <v>1</v>
      </c>
      <c r="AF1307" s="4">
        <v>0</v>
      </c>
      <c r="AG1307" s="4">
        <v>0</v>
      </c>
      <c r="AH1307" s="4">
        <v>0</v>
      </c>
      <c r="AI1307" s="4">
        <v>0</v>
      </c>
      <c r="AJ1307" s="4">
        <v>0</v>
      </c>
      <c r="AK1307" s="4">
        <v>0</v>
      </c>
      <c r="AL1307" s="4">
        <v>0</v>
      </c>
      <c r="AM1307" s="4">
        <v>1</v>
      </c>
      <c r="AN1307" s="4">
        <v>0</v>
      </c>
      <c r="AO1307" s="4">
        <v>0</v>
      </c>
      <c r="AP1307" s="3" t="s">
        <v>58</v>
      </c>
      <c r="AQ1307" s="3" t="s">
        <v>58</v>
      </c>
      <c r="AS1307" s="6" t="str">
        <f>HYPERLINK("https://creighton-primo.hosted.exlibrisgroup.com/primo-explore/search?tab=default_tab&amp;search_scope=EVERYTHING&amp;vid=01CRU&amp;lang=en_US&amp;offset=0&amp;query=any,contains,991005166799702656","Catalog Record")</f>
        <v>Catalog Record</v>
      </c>
      <c r="AT1307" s="6" t="str">
        <f>HYPERLINK("http://www.worldcat.org/oclc/170957890","WorldCat Record")</f>
        <v>WorldCat Record</v>
      </c>
      <c r="AU1307" s="3" t="s">
        <v>16757</v>
      </c>
      <c r="AV1307" s="3" t="s">
        <v>16758</v>
      </c>
      <c r="AW1307" s="3" t="s">
        <v>16759</v>
      </c>
      <c r="AX1307" s="3" t="s">
        <v>16759</v>
      </c>
      <c r="AY1307" s="3" t="s">
        <v>16760</v>
      </c>
      <c r="AZ1307" s="3" t="s">
        <v>74</v>
      </c>
      <c r="BB1307" s="3" t="s">
        <v>16761</v>
      </c>
      <c r="BC1307" s="3" t="s">
        <v>16762</v>
      </c>
      <c r="BD1307" s="3" t="s">
        <v>16763</v>
      </c>
    </row>
    <row r="1308" spans="1:56" ht="42.75" customHeight="1" x14ac:dyDescent="0.25">
      <c r="A1308" s="7" t="s">
        <v>58</v>
      </c>
      <c r="B1308" s="2" t="s">
        <v>16764</v>
      </c>
      <c r="C1308" s="2" t="s">
        <v>16765</v>
      </c>
      <c r="D1308" s="2" t="s">
        <v>16766</v>
      </c>
      <c r="F1308" s="3" t="s">
        <v>58</v>
      </c>
      <c r="G1308" s="3" t="s">
        <v>59</v>
      </c>
      <c r="H1308" s="3" t="s">
        <v>58</v>
      </c>
      <c r="I1308" s="3" t="s">
        <v>58</v>
      </c>
      <c r="J1308" s="3" t="s">
        <v>60</v>
      </c>
      <c r="K1308" s="2" t="s">
        <v>6291</v>
      </c>
      <c r="L1308" s="2" t="s">
        <v>16347</v>
      </c>
      <c r="M1308" s="3" t="s">
        <v>344</v>
      </c>
      <c r="O1308" s="3" t="s">
        <v>64</v>
      </c>
      <c r="P1308" s="3" t="s">
        <v>83</v>
      </c>
      <c r="R1308" s="3" t="s">
        <v>67</v>
      </c>
      <c r="S1308" s="4">
        <v>13</v>
      </c>
      <c r="T1308" s="4">
        <v>13</v>
      </c>
      <c r="U1308" s="5" t="s">
        <v>16767</v>
      </c>
      <c r="V1308" s="5" t="s">
        <v>16767</v>
      </c>
      <c r="W1308" s="5" t="s">
        <v>4848</v>
      </c>
      <c r="X1308" s="5" t="s">
        <v>4848</v>
      </c>
      <c r="Y1308" s="4">
        <v>276</v>
      </c>
      <c r="Z1308" s="4">
        <v>266</v>
      </c>
      <c r="AA1308" s="4">
        <v>268</v>
      </c>
      <c r="AB1308" s="4">
        <v>4</v>
      </c>
      <c r="AC1308" s="4">
        <v>4</v>
      </c>
      <c r="AD1308" s="4">
        <v>9</v>
      </c>
      <c r="AE1308" s="4">
        <v>9</v>
      </c>
      <c r="AF1308" s="4">
        <v>0</v>
      </c>
      <c r="AG1308" s="4">
        <v>0</v>
      </c>
      <c r="AH1308" s="4">
        <v>2</v>
      </c>
      <c r="AI1308" s="4">
        <v>2</v>
      </c>
      <c r="AJ1308" s="4">
        <v>2</v>
      </c>
      <c r="AK1308" s="4">
        <v>2</v>
      </c>
      <c r="AL1308" s="4">
        <v>2</v>
      </c>
      <c r="AM1308" s="4">
        <v>2</v>
      </c>
      <c r="AN1308" s="4">
        <v>3</v>
      </c>
      <c r="AO1308" s="4">
        <v>3</v>
      </c>
      <c r="AP1308" s="3" t="s">
        <v>58</v>
      </c>
      <c r="AQ1308" s="3" t="s">
        <v>86</v>
      </c>
      <c r="AR1308" s="6" t="str">
        <f>HYPERLINK("http://catalog.hathitrust.org/Record/009050475","HathiTrust Record")</f>
        <v>HathiTrust Record</v>
      </c>
      <c r="AS1308" s="6" t="str">
        <f>HYPERLINK("https://creighton-primo.hosted.exlibrisgroup.com/primo-explore/search?tab=default_tab&amp;search_scope=EVERYTHING&amp;vid=01CRU&amp;lang=en_US&amp;offset=0&amp;query=any,contains,991004790739702656","Catalog Record")</f>
        <v>Catalog Record</v>
      </c>
      <c r="AT1308" s="6" t="str">
        <f>HYPERLINK("http://www.worldcat.org/oclc/5171035","WorldCat Record")</f>
        <v>WorldCat Record</v>
      </c>
      <c r="AU1308" s="3" t="s">
        <v>16768</v>
      </c>
      <c r="AV1308" s="3" t="s">
        <v>16769</v>
      </c>
      <c r="AW1308" s="3" t="s">
        <v>16770</v>
      </c>
      <c r="AX1308" s="3" t="s">
        <v>16770</v>
      </c>
      <c r="AY1308" s="3" t="s">
        <v>16771</v>
      </c>
      <c r="AZ1308" s="3" t="s">
        <v>74</v>
      </c>
      <c r="BB1308" s="3" t="s">
        <v>16772</v>
      </c>
      <c r="BC1308" s="3" t="s">
        <v>16773</v>
      </c>
      <c r="BD1308" s="3" t="s">
        <v>16774</v>
      </c>
    </row>
    <row r="1309" spans="1:56" ht="42.75" customHeight="1" x14ac:dyDescent="0.25">
      <c r="A1309" s="7" t="s">
        <v>58</v>
      </c>
      <c r="B1309" s="2" t="s">
        <v>16775</v>
      </c>
      <c r="C1309" s="2" t="s">
        <v>16776</v>
      </c>
      <c r="D1309" s="2" t="s">
        <v>16777</v>
      </c>
      <c r="F1309" s="3" t="s">
        <v>58</v>
      </c>
      <c r="G1309" s="3" t="s">
        <v>59</v>
      </c>
      <c r="H1309" s="3" t="s">
        <v>58</v>
      </c>
      <c r="I1309" s="3" t="s">
        <v>58</v>
      </c>
      <c r="J1309" s="3" t="s">
        <v>60</v>
      </c>
      <c r="L1309" s="2" t="s">
        <v>16778</v>
      </c>
      <c r="M1309" s="3" t="s">
        <v>2770</v>
      </c>
      <c r="O1309" s="3" t="s">
        <v>64</v>
      </c>
      <c r="P1309" s="3" t="s">
        <v>99</v>
      </c>
      <c r="R1309" s="3" t="s">
        <v>67</v>
      </c>
      <c r="S1309" s="4">
        <v>7</v>
      </c>
      <c r="T1309" s="4">
        <v>7</v>
      </c>
      <c r="U1309" s="5" t="s">
        <v>16779</v>
      </c>
      <c r="V1309" s="5" t="s">
        <v>16779</v>
      </c>
      <c r="W1309" s="5" t="s">
        <v>4730</v>
      </c>
      <c r="X1309" s="5" t="s">
        <v>4730</v>
      </c>
      <c r="Y1309" s="4">
        <v>110</v>
      </c>
      <c r="Z1309" s="4">
        <v>97</v>
      </c>
      <c r="AA1309" s="4">
        <v>99</v>
      </c>
      <c r="AB1309" s="4">
        <v>2</v>
      </c>
      <c r="AC1309" s="4">
        <v>2</v>
      </c>
      <c r="AD1309" s="4">
        <v>3</v>
      </c>
      <c r="AE1309" s="4">
        <v>3</v>
      </c>
      <c r="AF1309" s="4">
        <v>2</v>
      </c>
      <c r="AG1309" s="4">
        <v>2</v>
      </c>
      <c r="AH1309" s="4">
        <v>0</v>
      </c>
      <c r="AI1309" s="4">
        <v>0</v>
      </c>
      <c r="AJ1309" s="4">
        <v>0</v>
      </c>
      <c r="AK1309" s="4">
        <v>0</v>
      </c>
      <c r="AL1309" s="4">
        <v>1</v>
      </c>
      <c r="AM1309" s="4">
        <v>1</v>
      </c>
      <c r="AN1309" s="4">
        <v>0</v>
      </c>
      <c r="AO1309" s="4">
        <v>0</v>
      </c>
      <c r="AP1309" s="3" t="s">
        <v>58</v>
      </c>
      <c r="AQ1309" s="3" t="s">
        <v>86</v>
      </c>
      <c r="AR1309" s="6" t="str">
        <f>HYPERLINK("http://catalog.hathitrust.org/Record/000127494","HathiTrust Record")</f>
        <v>HathiTrust Record</v>
      </c>
      <c r="AS1309" s="6" t="str">
        <f>HYPERLINK("https://creighton-primo.hosted.exlibrisgroup.com/primo-explore/search?tab=default_tab&amp;search_scope=EVERYTHING&amp;vid=01CRU&amp;lang=en_US&amp;offset=0&amp;query=any,contains,991004184759702656","Catalog Record")</f>
        <v>Catalog Record</v>
      </c>
      <c r="AT1309" s="6" t="str">
        <f>HYPERLINK("http://www.worldcat.org/oclc/2614261","WorldCat Record")</f>
        <v>WorldCat Record</v>
      </c>
      <c r="AU1309" s="3" t="s">
        <v>16780</v>
      </c>
      <c r="AV1309" s="3" t="s">
        <v>16781</v>
      </c>
      <c r="AW1309" s="3" t="s">
        <v>16782</v>
      </c>
      <c r="AX1309" s="3" t="s">
        <v>16782</v>
      </c>
      <c r="AY1309" s="3" t="s">
        <v>16783</v>
      </c>
      <c r="AZ1309" s="3" t="s">
        <v>74</v>
      </c>
      <c r="BB1309" s="3" t="s">
        <v>16784</v>
      </c>
      <c r="BC1309" s="3" t="s">
        <v>16785</v>
      </c>
      <c r="BD1309" s="3" t="s">
        <v>16786</v>
      </c>
    </row>
    <row r="1310" spans="1:56" ht="42.75" customHeight="1" x14ac:dyDescent="0.25">
      <c r="A1310" s="7" t="s">
        <v>58</v>
      </c>
      <c r="B1310" s="2" t="s">
        <v>16787</v>
      </c>
      <c r="C1310" s="2" t="s">
        <v>16788</v>
      </c>
      <c r="D1310" s="2" t="s">
        <v>16789</v>
      </c>
      <c r="F1310" s="3" t="s">
        <v>58</v>
      </c>
      <c r="G1310" s="3" t="s">
        <v>59</v>
      </c>
      <c r="H1310" s="3" t="s">
        <v>58</v>
      </c>
      <c r="I1310" s="3" t="s">
        <v>58</v>
      </c>
      <c r="J1310" s="3" t="s">
        <v>60</v>
      </c>
      <c r="L1310" s="2" t="s">
        <v>16790</v>
      </c>
      <c r="M1310" s="3" t="s">
        <v>2770</v>
      </c>
      <c r="O1310" s="3" t="s">
        <v>64</v>
      </c>
      <c r="P1310" s="3" t="s">
        <v>359</v>
      </c>
      <c r="R1310" s="3" t="s">
        <v>67</v>
      </c>
      <c r="S1310" s="4">
        <v>6</v>
      </c>
      <c r="T1310" s="4">
        <v>6</v>
      </c>
      <c r="U1310" s="5" t="s">
        <v>16779</v>
      </c>
      <c r="V1310" s="5" t="s">
        <v>16779</v>
      </c>
      <c r="W1310" s="5" t="s">
        <v>16791</v>
      </c>
      <c r="X1310" s="5" t="s">
        <v>16791</v>
      </c>
      <c r="Y1310" s="4">
        <v>302</v>
      </c>
      <c r="Z1310" s="4">
        <v>275</v>
      </c>
      <c r="AA1310" s="4">
        <v>310</v>
      </c>
      <c r="AB1310" s="4">
        <v>3</v>
      </c>
      <c r="AC1310" s="4">
        <v>4</v>
      </c>
      <c r="AD1310" s="4">
        <v>10</v>
      </c>
      <c r="AE1310" s="4">
        <v>10</v>
      </c>
      <c r="AF1310" s="4">
        <v>3</v>
      </c>
      <c r="AG1310" s="4">
        <v>3</v>
      </c>
      <c r="AH1310" s="4">
        <v>2</v>
      </c>
      <c r="AI1310" s="4">
        <v>2</v>
      </c>
      <c r="AJ1310" s="4">
        <v>7</v>
      </c>
      <c r="AK1310" s="4">
        <v>7</v>
      </c>
      <c r="AL1310" s="4">
        <v>2</v>
      </c>
      <c r="AM1310" s="4">
        <v>2</v>
      </c>
      <c r="AN1310" s="4">
        <v>0</v>
      </c>
      <c r="AO1310" s="4">
        <v>0</v>
      </c>
      <c r="AP1310" s="3" t="s">
        <v>58</v>
      </c>
      <c r="AQ1310" s="3" t="s">
        <v>86</v>
      </c>
      <c r="AR1310" s="6" t="str">
        <f>HYPERLINK("http://catalog.hathitrust.org/Record/000173235","HathiTrust Record")</f>
        <v>HathiTrust Record</v>
      </c>
      <c r="AS1310" s="6" t="str">
        <f>HYPERLINK("https://creighton-primo.hosted.exlibrisgroup.com/primo-explore/search?tab=default_tab&amp;search_scope=EVERYTHING&amp;vid=01CRU&amp;lang=en_US&amp;offset=0&amp;query=any,contains,991004244529702656","Catalog Record")</f>
        <v>Catalog Record</v>
      </c>
      <c r="AT1310" s="6" t="str">
        <f>HYPERLINK("http://www.worldcat.org/oclc/2797924","WorldCat Record")</f>
        <v>WorldCat Record</v>
      </c>
      <c r="AU1310" s="3" t="s">
        <v>16792</v>
      </c>
      <c r="AV1310" s="3" t="s">
        <v>16793</v>
      </c>
      <c r="AW1310" s="3" t="s">
        <v>16794</v>
      </c>
      <c r="AX1310" s="3" t="s">
        <v>16794</v>
      </c>
      <c r="AY1310" s="3" t="s">
        <v>16795</v>
      </c>
      <c r="AZ1310" s="3" t="s">
        <v>74</v>
      </c>
      <c r="BB1310" s="3" t="s">
        <v>16796</v>
      </c>
      <c r="BC1310" s="3" t="s">
        <v>16797</v>
      </c>
      <c r="BD1310" s="3" t="s">
        <v>16798</v>
      </c>
    </row>
    <row r="1311" spans="1:56" ht="42.75" customHeight="1" x14ac:dyDescent="0.25">
      <c r="A1311" s="7" t="s">
        <v>58</v>
      </c>
      <c r="B1311" s="2" t="s">
        <v>16799</v>
      </c>
      <c r="C1311" s="2" t="s">
        <v>16800</v>
      </c>
      <c r="D1311" s="2" t="s">
        <v>16801</v>
      </c>
      <c r="F1311" s="3" t="s">
        <v>58</v>
      </c>
      <c r="G1311" s="3" t="s">
        <v>59</v>
      </c>
      <c r="H1311" s="3" t="s">
        <v>58</v>
      </c>
      <c r="I1311" s="3" t="s">
        <v>58</v>
      </c>
      <c r="J1311" s="3" t="s">
        <v>60</v>
      </c>
      <c r="K1311" s="2" t="s">
        <v>16802</v>
      </c>
      <c r="L1311" s="2" t="s">
        <v>16803</v>
      </c>
      <c r="M1311" s="3" t="s">
        <v>3124</v>
      </c>
      <c r="N1311" s="2" t="s">
        <v>3823</v>
      </c>
      <c r="O1311" s="3" t="s">
        <v>64</v>
      </c>
      <c r="P1311" s="3" t="s">
        <v>115</v>
      </c>
      <c r="R1311" s="3" t="s">
        <v>67</v>
      </c>
      <c r="S1311" s="4">
        <v>4</v>
      </c>
      <c r="T1311" s="4">
        <v>4</v>
      </c>
      <c r="U1311" s="5" t="s">
        <v>9072</v>
      </c>
      <c r="V1311" s="5" t="s">
        <v>9072</v>
      </c>
      <c r="W1311" s="5" t="s">
        <v>69</v>
      </c>
      <c r="X1311" s="5" t="s">
        <v>69</v>
      </c>
      <c r="Y1311" s="4">
        <v>427</v>
      </c>
      <c r="Z1311" s="4">
        <v>399</v>
      </c>
      <c r="AA1311" s="4">
        <v>412</v>
      </c>
      <c r="AB1311" s="4">
        <v>7</v>
      </c>
      <c r="AC1311" s="4">
        <v>7</v>
      </c>
      <c r="AD1311" s="4">
        <v>4</v>
      </c>
      <c r="AE1311" s="4">
        <v>4</v>
      </c>
      <c r="AF1311" s="4">
        <v>0</v>
      </c>
      <c r="AG1311" s="4">
        <v>0</v>
      </c>
      <c r="AH1311" s="4">
        <v>0</v>
      </c>
      <c r="AI1311" s="4">
        <v>0</v>
      </c>
      <c r="AJ1311" s="4">
        <v>1</v>
      </c>
      <c r="AK1311" s="4">
        <v>1</v>
      </c>
      <c r="AL1311" s="4">
        <v>3</v>
      </c>
      <c r="AM1311" s="4">
        <v>3</v>
      </c>
      <c r="AN1311" s="4">
        <v>0</v>
      </c>
      <c r="AO1311" s="4">
        <v>0</v>
      </c>
      <c r="AP1311" s="3" t="s">
        <v>58</v>
      </c>
      <c r="AQ1311" s="3" t="s">
        <v>58</v>
      </c>
      <c r="AS1311" s="6" t="str">
        <f>HYPERLINK("https://creighton-primo.hosted.exlibrisgroup.com/primo-explore/search?tab=default_tab&amp;search_scope=EVERYTHING&amp;vid=01CRU&amp;lang=en_US&amp;offset=0&amp;query=any,contains,991000580609702656","Catalog Record")</f>
        <v>Catalog Record</v>
      </c>
      <c r="AT1311" s="6" t="str">
        <f>HYPERLINK("http://www.worldcat.org/oclc/95575","WorldCat Record")</f>
        <v>WorldCat Record</v>
      </c>
      <c r="AU1311" s="3" t="s">
        <v>16804</v>
      </c>
      <c r="AV1311" s="3" t="s">
        <v>16805</v>
      </c>
      <c r="AW1311" s="3" t="s">
        <v>16806</v>
      </c>
      <c r="AX1311" s="3" t="s">
        <v>16806</v>
      </c>
      <c r="AY1311" s="3" t="s">
        <v>16807</v>
      </c>
      <c r="AZ1311" s="3" t="s">
        <v>74</v>
      </c>
      <c r="BB1311" s="3" t="s">
        <v>16808</v>
      </c>
      <c r="BC1311" s="3" t="s">
        <v>16809</v>
      </c>
      <c r="BD1311" s="3" t="s">
        <v>16810</v>
      </c>
    </row>
    <row r="1312" spans="1:56" ht="42.75" customHeight="1" x14ac:dyDescent="0.25">
      <c r="A1312" s="7" t="s">
        <v>58</v>
      </c>
      <c r="B1312" s="2" t="s">
        <v>16811</v>
      </c>
      <c r="C1312" s="2" t="s">
        <v>16812</v>
      </c>
      <c r="D1312" s="2" t="s">
        <v>16813</v>
      </c>
      <c r="F1312" s="3" t="s">
        <v>58</v>
      </c>
      <c r="G1312" s="3" t="s">
        <v>59</v>
      </c>
      <c r="H1312" s="3" t="s">
        <v>58</v>
      </c>
      <c r="I1312" s="3" t="s">
        <v>58</v>
      </c>
      <c r="J1312" s="3" t="s">
        <v>60</v>
      </c>
      <c r="K1312" s="2" t="s">
        <v>16814</v>
      </c>
      <c r="L1312" s="2" t="s">
        <v>16815</v>
      </c>
      <c r="M1312" s="3" t="s">
        <v>177</v>
      </c>
      <c r="N1312" s="2" t="s">
        <v>4027</v>
      </c>
      <c r="O1312" s="3" t="s">
        <v>64</v>
      </c>
      <c r="P1312" s="3" t="s">
        <v>115</v>
      </c>
      <c r="R1312" s="3" t="s">
        <v>67</v>
      </c>
      <c r="S1312" s="4">
        <v>16</v>
      </c>
      <c r="T1312" s="4">
        <v>16</v>
      </c>
      <c r="U1312" s="5" t="s">
        <v>16816</v>
      </c>
      <c r="V1312" s="5" t="s">
        <v>16816</v>
      </c>
      <c r="W1312" s="5" t="s">
        <v>2584</v>
      </c>
      <c r="X1312" s="5" t="s">
        <v>2584</v>
      </c>
      <c r="Y1312" s="4">
        <v>244</v>
      </c>
      <c r="Z1312" s="4">
        <v>191</v>
      </c>
      <c r="AA1312" s="4">
        <v>583</v>
      </c>
      <c r="AB1312" s="4">
        <v>2</v>
      </c>
      <c r="AC1312" s="4">
        <v>5</v>
      </c>
      <c r="AD1312" s="4">
        <v>6</v>
      </c>
      <c r="AE1312" s="4">
        <v>18</v>
      </c>
      <c r="AF1312" s="4">
        <v>3</v>
      </c>
      <c r="AG1312" s="4">
        <v>6</v>
      </c>
      <c r="AH1312" s="4">
        <v>1</v>
      </c>
      <c r="AI1312" s="4">
        <v>4</v>
      </c>
      <c r="AJ1312" s="4">
        <v>5</v>
      </c>
      <c r="AK1312" s="4">
        <v>10</v>
      </c>
      <c r="AL1312" s="4">
        <v>1</v>
      </c>
      <c r="AM1312" s="4">
        <v>4</v>
      </c>
      <c r="AN1312" s="4">
        <v>0</v>
      </c>
      <c r="AO1312" s="4">
        <v>0</v>
      </c>
      <c r="AP1312" s="3" t="s">
        <v>58</v>
      </c>
      <c r="AQ1312" s="3" t="s">
        <v>86</v>
      </c>
      <c r="AR1312" s="6" t="str">
        <f>HYPERLINK("http://catalog.hathitrust.org/Record/001565290","HathiTrust Record")</f>
        <v>HathiTrust Record</v>
      </c>
      <c r="AS1312" s="6" t="str">
        <f>HYPERLINK("https://creighton-primo.hosted.exlibrisgroup.com/primo-explore/search?tab=default_tab&amp;search_scope=EVERYTHING&amp;vid=01CRU&amp;lang=en_US&amp;offset=0&amp;query=any,contains,991003085779702656","Catalog Record")</f>
        <v>Catalog Record</v>
      </c>
      <c r="AT1312" s="6" t="str">
        <f>HYPERLINK("http://www.worldcat.org/oclc/636326","WorldCat Record")</f>
        <v>WorldCat Record</v>
      </c>
      <c r="AU1312" s="3" t="s">
        <v>16817</v>
      </c>
      <c r="AV1312" s="3" t="s">
        <v>16818</v>
      </c>
      <c r="AW1312" s="3" t="s">
        <v>16819</v>
      </c>
      <c r="AX1312" s="3" t="s">
        <v>16819</v>
      </c>
      <c r="AY1312" s="3" t="s">
        <v>16820</v>
      </c>
      <c r="AZ1312" s="3" t="s">
        <v>74</v>
      </c>
      <c r="BB1312" s="3" t="s">
        <v>16821</v>
      </c>
      <c r="BC1312" s="3" t="s">
        <v>16822</v>
      </c>
      <c r="BD1312" s="3" t="s">
        <v>16823</v>
      </c>
    </row>
    <row r="1313" spans="1:56" ht="42.75" customHeight="1" x14ac:dyDescent="0.25">
      <c r="A1313" s="7" t="s">
        <v>58</v>
      </c>
      <c r="B1313" s="2" t="s">
        <v>16824</v>
      </c>
      <c r="C1313" s="2" t="s">
        <v>16825</v>
      </c>
      <c r="D1313" s="2" t="s">
        <v>16826</v>
      </c>
      <c r="F1313" s="3" t="s">
        <v>58</v>
      </c>
      <c r="G1313" s="3" t="s">
        <v>59</v>
      </c>
      <c r="H1313" s="3" t="s">
        <v>58</v>
      </c>
      <c r="I1313" s="3" t="s">
        <v>58</v>
      </c>
      <c r="J1313" s="3" t="s">
        <v>60</v>
      </c>
      <c r="L1313" s="2" t="s">
        <v>16827</v>
      </c>
      <c r="M1313" s="3" t="s">
        <v>223</v>
      </c>
      <c r="O1313" s="3" t="s">
        <v>64</v>
      </c>
      <c r="P1313" s="3" t="s">
        <v>145</v>
      </c>
      <c r="R1313" s="3" t="s">
        <v>67</v>
      </c>
      <c r="S1313" s="4">
        <v>4</v>
      </c>
      <c r="T1313" s="4">
        <v>4</v>
      </c>
      <c r="U1313" s="5" t="s">
        <v>16767</v>
      </c>
      <c r="V1313" s="5" t="s">
        <v>16767</v>
      </c>
      <c r="W1313" s="5" t="s">
        <v>4730</v>
      </c>
      <c r="X1313" s="5" t="s">
        <v>4730</v>
      </c>
      <c r="Y1313" s="4">
        <v>381</v>
      </c>
      <c r="Z1313" s="4">
        <v>308</v>
      </c>
      <c r="AA1313" s="4">
        <v>315</v>
      </c>
      <c r="AB1313" s="4">
        <v>3</v>
      </c>
      <c r="AC1313" s="4">
        <v>3</v>
      </c>
      <c r="AD1313" s="4">
        <v>9</v>
      </c>
      <c r="AE1313" s="4">
        <v>9</v>
      </c>
      <c r="AF1313" s="4">
        <v>4</v>
      </c>
      <c r="AG1313" s="4">
        <v>4</v>
      </c>
      <c r="AH1313" s="4">
        <v>3</v>
      </c>
      <c r="AI1313" s="4">
        <v>3</v>
      </c>
      <c r="AJ1313" s="4">
        <v>4</v>
      </c>
      <c r="AK1313" s="4">
        <v>4</v>
      </c>
      <c r="AL1313" s="4">
        <v>1</v>
      </c>
      <c r="AM1313" s="4">
        <v>1</v>
      </c>
      <c r="AN1313" s="4">
        <v>0</v>
      </c>
      <c r="AO1313" s="4">
        <v>0</v>
      </c>
      <c r="AP1313" s="3" t="s">
        <v>58</v>
      </c>
      <c r="AQ1313" s="3" t="s">
        <v>86</v>
      </c>
      <c r="AR1313" s="6" t="str">
        <f>HYPERLINK("http://catalog.hathitrust.org/Record/000135201","HathiTrust Record")</f>
        <v>HathiTrust Record</v>
      </c>
      <c r="AS1313" s="6" t="str">
        <f>HYPERLINK("https://creighton-primo.hosted.exlibrisgroup.com/primo-explore/search?tab=default_tab&amp;search_scope=EVERYTHING&amp;vid=01CRU&amp;lang=en_US&amp;offset=0&amp;query=any,contains,991004525409702656","Catalog Record")</f>
        <v>Catalog Record</v>
      </c>
      <c r="AT1313" s="6" t="str">
        <f>HYPERLINK("http://www.worldcat.org/oclc/3843267","WorldCat Record")</f>
        <v>WorldCat Record</v>
      </c>
      <c r="AU1313" s="3" t="s">
        <v>16828</v>
      </c>
      <c r="AV1313" s="3" t="s">
        <v>16829</v>
      </c>
      <c r="AW1313" s="3" t="s">
        <v>16830</v>
      </c>
      <c r="AX1313" s="3" t="s">
        <v>16830</v>
      </c>
      <c r="AY1313" s="3" t="s">
        <v>16831</v>
      </c>
      <c r="AZ1313" s="3" t="s">
        <v>74</v>
      </c>
      <c r="BB1313" s="3" t="s">
        <v>16832</v>
      </c>
      <c r="BC1313" s="3" t="s">
        <v>16833</v>
      </c>
      <c r="BD1313" s="3" t="s">
        <v>16834</v>
      </c>
    </row>
    <row r="1314" spans="1:56" ht="42.75" customHeight="1" x14ac:dyDescent="0.25">
      <c r="A1314" s="7" t="s">
        <v>58</v>
      </c>
      <c r="B1314" s="2" t="s">
        <v>16835</v>
      </c>
      <c r="C1314" s="2" t="s">
        <v>16836</v>
      </c>
      <c r="D1314" s="2" t="s">
        <v>16837</v>
      </c>
      <c r="F1314" s="3" t="s">
        <v>58</v>
      </c>
      <c r="G1314" s="3" t="s">
        <v>59</v>
      </c>
      <c r="H1314" s="3" t="s">
        <v>58</v>
      </c>
      <c r="I1314" s="3" t="s">
        <v>58</v>
      </c>
      <c r="J1314" s="3" t="s">
        <v>60</v>
      </c>
      <c r="K1314" s="2" t="s">
        <v>16838</v>
      </c>
      <c r="L1314" s="2" t="s">
        <v>16839</v>
      </c>
      <c r="M1314" s="3" t="s">
        <v>163</v>
      </c>
      <c r="N1314" s="2" t="s">
        <v>3823</v>
      </c>
      <c r="O1314" s="3" t="s">
        <v>64</v>
      </c>
      <c r="P1314" s="3" t="s">
        <v>115</v>
      </c>
      <c r="R1314" s="3" t="s">
        <v>67</v>
      </c>
      <c r="S1314" s="4">
        <v>1</v>
      </c>
      <c r="T1314" s="4">
        <v>1</v>
      </c>
      <c r="U1314" s="5" t="s">
        <v>16816</v>
      </c>
      <c r="V1314" s="5" t="s">
        <v>16816</v>
      </c>
      <c r="W1314" s="5" t="s">
        <v>16840</v>
      </c>
      <c r="X1314" s="5" t="s">
        <v>16840</v>
      </c>
      <c r="Y1314" s="4">
        <v>510</v>
      </c>
      <c r="Z1314" s="4">
        <v>443</v>
      </c>
      <c r="AA1314" s="4">
        <v>468</v>
      </c>
      <c r="AB1314" s="4">
        <v>7</v>
      </c>
      <c r="AC1314" s="4">
        <v>7</v>
      </c>
      <c r="AD1314" s="4">
        <v>12</v>
      </c>
      <c r="AE1314" s="4">
        <v>12</v>
      </c>
      <c r="AF1314" s="4">
        <v>1</v>
      </c>
      <c r="AG1314" s="4">
        <v>1</v>
      </c>
      <c r="AH1314" s="4">
        <v>2</v>
      </c>
      <c r="AI1314" s="4">
        <v>2</v>
      </c>
      <c r="AJ1314" s="4">
        <v>7</v>
      </c>
      <c r="AK1314" s="4">
        <v>7</v>
      </c>
      <c r="AL1314" s="4">
        <v>3</v>
      </c>
      <c r="AM1314" s="4">
        <v>3</v>
      </c>
      <c r="AN1314" s="4">
        <v>1</v>
      </c>
      <c r="AO1314" s="4">
        <v>1</v>
      </c>
      <c r="AP1314" s="3" t="s">
        <v>58</v>
      </c>
      <c r="AQ1314" s="3" t="s">
        <v>86</v>
      </c>
      <c r="AR1314" s="6" t="str">
        <f>HYPERLINK("http://catalog.hathitrust.org/Record/001565293","HathiTrust Record")</f>
        <v>HathiTrust Record</v>
      </c>
      <c r="AS1314" s="6" t="str">
        <f>HYPERLINK("https://creighton-primo.hosted.exlibrisgroup.com/primo-explore/search?tab=default_tab&amp;search_scope=EVERYTHING&amp;vid=01CRU&amp;lang=en_US&amp;offset=0&amp;query=any,contains,991000859949702656","Catalog Record")</f>
        <v>Catalog Record</v>
      </c>
      <c r="AT1314" s="6" t="str">
        <f>HYPERLINK("http://www.worldcat.org/oclc/150190","WorldCat Record")</f>
        <v>WorldCat Record</v>
      </c>
      <c r="AU1314" s="3" t="s">
        <v>16841</v>
      </c>
      <c r="AV1314" s="3" t="s">
        <v>16842</v>
      </c>
      <c r="AW1314" s="3" t="s">
        <v>16843</v>
      </c>
      <c r="AX1314" s="3" t="s">
        <v>16843</v>
      </c>
      <c r="AY1314" s="3" t="s">
        <v>16844</v>
      </c>
      <c r="AZ1314" s="3" t="s">
        <v>74</v>
      </c>
      <c r="BB1314" s="3" t="s">
        <v>16845</v>
      </c>
      <c r="BC1314" s="3" t="s">
        <v>16846</v>
      </c>
      <c r="BD1314" s="3" t="s">
        <v>16847</v>
      </c>
    </row>
    <row r="1315" spans="1:56" ht="42.75" customHeight="1" x14ac:dyDescent="0.25">
      <c r="A1315" s="7" t="s">
        <v>58</v>
      </c>
      <c r="B1315" s="2" t="s">
        <v>16848</v>
      </c>
      <c r="C1315" s="2" t="s">
        <v>16849</v>
      </c>
      <c r="D1315" s="2" t="s">
        <v>16850</v>
      </c>
      <c r="F1315" s="3" t="s">
        <v>58</v>
      </c>
      <c r="G1315" s="3" t="s">
        <v>59</v>
      </c>
      <c r="H1315" s="3" t="s">
        <v>58</v>
      </c>
      <c r="I1315" s="3" t="s">
        <v>58</v>
      </c>
      <c r="J1315" s="3" t="s">
        <v>60</v>
      </c>
      <c r="K1315" s="2" t="s">
        <v>16851</v>
      </c>
      <c r="L1315" s="2" t="s">
        <v>16852</v>
      </c>
      <c r="M1315" s="3" t="s">
        <v>329</v>
      </c>
      <c r="N1315" s="2" t="s">
        <v>315</v>
      </c>
      <c r="O1315" s="3" t="s">
        <v>64</v>
      </c>
      <c r="P1315" s="3" t="s">
        <v>83</v>
      </c>
      <c r="Q1315" s="2" t="s">
        <v>16853</v>
      </c>
      <c r="R1315" s="3" t="s">
        <v>67</v>
      </c>
      <c r="S1315" s="4">
        <v>4</v>
      </c>
      <c r="T1315" s="4">
        <v>4</v>
      </c>
      <c r="U1315" s="5" t="s">
        <v>6864</v>
      </c>
      <c r="V1315" s="5" t="s">
        <v>6864</v>
      </c>
      <c r="W1315" s="5" t="s">
        <v>16854</v>
      </c>
      <c r="X1315" s="5" t="s">
        <v>16854</v>
      </c>
      <c r="Y1315" s="4">
        <v>392</v>
      </c>
      <c r="Z1315" s="4">
        <v>335</v>
      </c>
      <c r="AA1315" s="4">
        <v>625</v>
      </c>
      <c r="AB1315" s="4">
        <v>4</v>
      </c>
      <c r="AC1315" s="4">
        <v>4</v>
      </c>
      <c r="AD1315" s="4">
        <v>16</v>
      </c>
      <c r="AE1315" s="4">
        <v>26</v>
      </c>
      <c r="AF1315" s="4">
        <v>3</v>
      </c>
      <c r="AG1315" s="4">
        <v>7</v>
      </c>
      <c r="AH1315" s="4">
        <v>5</v>
      </c>
      <c r="AI1315" s="4">
        <v>9</v>
      </c>
      <c r="AJ1315" s="4">
        <v>5</v>
      </c>
      <c r="AK1315" s="4">
        <v>9</v>
      </c>
      <c r="AL1315" s="4">
        <v>2</v>
      </c>
      <c r="AM1315" s="4">
        <v>2</v>
      </c>
      <c r="AN1315" s="4">
        <v>5</v>
      </c>
      <c r="AO1315" s="4">
        <v>6</v>
      </c>
      <c r="AP1315" s="3" t="s">
        <v>58</v>
      </c>
      <c r="AQ1315" s="3" t="s">
        <v>86</v>
      </c>
      <c r="AR1315" s="6" t="str">
        <f>HYPERLINK("http://catalog.hathitrust.org/Record/000854091","HathiTrust Record")</f>
        <v>HathiTrust Record</v>
      </c>
      <c r="AS1315" s="6" t="str">
        <f>HYPERLINK("https://creighton-primo.hosted.exlibrisgroup.com/primo-explore/search?tab=default_tab&amp;search_scope=EVERYTHING&amp;vid=01CRU&amp;lang=en_US&amp;offset=0&amp;query=any,contains,991002095899702656","Catalog Record")</f>
        <v>Catalog Record</v>
      </c>
      <c r="AT1315" s="6" t="str">
        <f>HYPERLINK("http://www.worldcat.org/oclc/265605","WorldCat Record")</f>
        <v>WorldCat Record</v>
      </c>
      <c r="AU1315" s="3" t="s">
        <v>16855</v>
      </c>
      <c r="AV1315" s="3" t="s">
        <v>16856</v>
      </c>
      <c r="AW1315" s="3" t="s">
        <v>16857</v>
      </c>
      <c r="AX1315" s="3" t="s">
        <v>16857</v>
      </c>
      <c r="AY1315" s="3" t="s">
        <v>16858</v>
      </c>
      <c r="AZ1315" s="3" t="s">
        <v>74</v>
      </c>
      <c r="BC1315" s="3" t="s">
        <v>16859</v>
      </c>
      <c r="BD1315" s="3" t="s">
        <v>16860</v>
      </c>
    </row>
    <row r="1316" spans="1:56" ht="42.75" customHeight="1" x14ac:dyDescent="0.25">
      <c r="A1316" s="7" t="s">
        <v>58</v>
      </c>
      <c r="B1316" s="2" t="s">
        <v>16861</v>
      </c>
      <c r="C1316" s="2" t="s">
        <v>16862</v>
      </c>
      <c r="D1316" s="2" t="s">
        <v>16863</v>
      </c>
      <c r="F1316" s="3" t="s">
        <v>58</v>
      </c>
      <c r="G1316" s="3" t="s">
        <v>59</v>
      </c>
      <c r="H1316" s="3" t="s">
        <v>58</v>
      </c>
      <c r="I1316" s="3" t="s">
        <v>58</v>
      </c>
      <c r="J1316" s="3" t="s">
        <v>60</v>
      </c>
      <c r="K1316" s="2" t="s">
        <v>16864</v>
      </c>
      <c r="L1316" s="2" t="s">
        <v>16865</v>
      </c>
      <c r="M1316" s="3" t="s">
        <v>3124</v>
      </c>
      <c r="O1316" s="3" t="s">
        <v>64</v>
      </c>
      <c r="P1316" s="3" t="s">
        <v>115</v>
      </c>
      <c r="R1316" s="3" t="s">
        <v>67</v>
      </c>
      <c r="S1316" s="4">
        <v>4</v>
      </c>
      <c r="T1316" s="4">
        <v>4</v>
      </c>
      <c r="U1316" s="5" t="s">
        <v>16866</v>
      </c>
      <c r="V1316" s="5" t="s">
        <v>16866</v>
      </c>
      <c r="W1316" s="5" t="s">
        <v>16791</v>
      </c>
      <c r="X1316" s="5" t="s">
        <v>16791</v>
      </c>
      <c r="Y1316" s="4">
        <v>306</v>
      </c>
      <c r="Z1316" s="4">
        <v>283</v>
      </c>
      <c r="AA1316" s="4">
        <v>304</v>
      </c>
      <c r="AB1316" s="4">
        <v>5</v>
      </c>
      <c r="AC1316" s="4">
        <v>6</v>
      </c>
      <c r="AD1316" s="4">
        <v>8</v>
      </c>
      <c r="AE1316" s="4">
        <v>9</v>
      </c>
      <c r="AF1316" s="4">
        <v>0</v>
      </c>
      <c r="AG1316" s="4">
        <v>0</v>
      </c>
      <c r="AH1316" s="4">
        <v>1</v>
      </c>
      <c r="AI1316" s="4">
        <v>1</v>
      </c>
      <c r="AJ1316" s="4">
        <v>4</v>
      </c>
      <c r="AK1316" s="4">
        <v>4</v>
      </c>
      <c r="AL1316" s="4">
        <v>4</v>
      </c>
      <c r="AM1316" s="4">
        <v>5</v>
      </c>
      <c r="AN1316" s="4">
        <v>0</v>
      </c>
      <c r="AO1316" s="4">
        <v>0</v>
      </c>
      <c r="AP1316" s="3" t="s">
        <v>58</v>
      </c>
      <c r="AQ1316" s="3" t="s">
        <v>86</v>
      </c>
      <c r="AR1316" s="6" t="str">
        <f>HYPERLINK("http://catalog.hathitrust.org/Record/001565296","HathiTrust Record")</f>
        <v>HathiTrust Record</v>
      </c>
      <c r="AS1316" s="6" t="str">
        <f>HYPERLINK("https://creighton-primo.hosted.exlibrisgroup.com/primo-explore/search?tab=default_tab&amp;search_scope=EVERYTHING&amp;vid=01CRU&amp;lang=en_US&amp;offset=0&amp;query=any,contains,991000635949702656","Catalog Record")</f>
        <v>Catalog Record</v>
      </c>
      <c r="AT1316" s="6" t="str">
        <f>HYPERLINK("http://www.worldcat.org/oclc/107812","WorldCat Record")</f>
        <v>WorldCat Record</v>
      </c>
      <c r="AU1316" s="3" t="s">
        <v>16867</v>
      </c>
      <c r="AV1316" s="3" t="s">
        <v>16868</v>
      </c>
      <c r="AW1316" s="3" t="s">
        <v>16869</v>
      </c>
      <c r="AX1316" s="3" t="s">
        <v>16869</v>
      </c>
      <c r="AY1316" s="3" t="s">
        <v>16870</v>
      </c>
      <c r="AZ1316" s="3" t="s">
        <v>74</v>
      </c>
      <c r="BC1316" s="3" t="s">
        <v>16871</v>
      </c>
      <c r="BD1316" s="3" t="s">
        <v>16872</v>
      </c>
    </row>
    <row r="1317" spans="1:56" ht="42.75" customHeight="1" x14ac:dyDescent="0.25">
      <c r="A1317" s="7" t="s">
        <v>58</v>
      </c>
      <c r="B1317" s="2" t="s">
        <v>16873</v>
      </c>
      <c r="C1317" s="2" t="s">
        <v>16874</v>
      </c>
      <c r="D1317" s="2" t="s">
        <v>16875</v>
      </c>
      <c r="F1317" s="3" t="s">
        <v>58</v>
      </c>
      <c r="G1317" s="3" t="s">
        <v>59</v>
      </c>
      <c r="H1317" s="3" t="s">
        <v>58</v>
      </c>
      <c r="I1317" s="3" t="s">
        <v>58</v>
      </c>
      <c r="J1317" s="3" t="s">
        <v>60</v>
      </c>
      <c r="K1317" s="2" t="s">
        <v>14571</v>
      </c>
      <c r="L1317" s="2" t="s">
        <v>16876</v>
      </c>
      <c r="M1317" s="3" t="s">
        <v>163</v>
      </c>
      <c r="O1317" s="3" t="s">
        <v>64</v>
      </c>
      <c r="P1317" s="3" t="s">
        <v>208</v>
      </c>
      <c r="R1317" s="3" t="s">
        <v>67</v>
      </c>
      <c r="S1317" s="4">
        <v>1</v>
      </c>
      <c r="T1317" s="4">
        <v>1</v>
      </c>
      <c r="U1317" s="5" t="s">
        <v>11188</v>
      </c>
      <c r="V1317" s="5" t="s">
        <v>11188</v>
      </c>
      <c r="W1317" s="5" t="s">
        <v>16877</v>
      </c>
      <c r="X1317" s="5" t="s">
        <v>16877</v>
      </c>
      <c r="Y1317" s="4">
        <v>259</v>
      </c>
      <c r="Z1317" s="4">
        <v>221</v>
      </c>
      <c r="AA1317" s="4">
        <v>246</v>
      </c>
      <c r="AB1317" s="4">
        <v>1</v>
      </c>
      <c r="AC1317" s="4">
        <v>1</v>
      </c>
      <c r="AD1317" s="4">
        <v>6</v>
      </c>
      <c r="AE1317" s="4">
        <v>8</v>
      </c>
      <c r="AF1317" s="4">
        <v>3</v>
      </c>
      <c r="AG1317" s="4">
        <v>3</v>
      </c>
      <c r="AH1317" s="4">
        <v>3</v>
      </c>
      <c r="AI1317" s="4">
        <v>4</v>
      </c>
      <c r="AJ1317" s="4">
        <v>2</v>
      </c>
      <c r="AK1317" s="4">
        <v>4</v>
      </c>
      <c r="AL1317" s="4">
        <v>0</v>
      </c>
      <c r="AM1317" s="4">
        <v>0</v>
      </c>
      <c r="AN1317" s="4">
        <v>1</v>
      </c>
      <c r="AO1317" s="4">
        <v>1</v>
      </c>
      <c r="AP1317" s="3" t="s">
        <v>58</v>
      </c>
      <c r="AQ1317" s="3" t="s">
        <v>58</v>
      </c>
      <c r="AS1317" s="6" t="str">
        <f>HYPERLINK("https://creighton-primo.hosted.exlibrisgroup.com/primo-explore/search?tab=default_tab&amp;search_scope=EVERYTHING&amp;vid=01CRU&amp;lang=en_US&amp;offset=0&amp;query=any,contains,991002192279702656","Catalog Record")</f>
        <v>Catalog Record</v>
      </c>
      <c r="AT1317" s="6" t="str">
        <f>HYPERLINK("http://www.worldcat.org/oclc/281159","WorldCat Record")</f>
        <v>WorldCat Record</v>
      </c>
      <c r="AU1317" s="3" t="s">
        <v>16878</v>
      </c>
      <c r="AV1317" s="3" t="s">
        <v>16879</v>
      </c>
      <c r="AW1317" s="3" t="s">
        <v>16880</v>
      </c>
      <c r="AX1317" s="3" t="s">
        <v>16880</v>
      </c>
      <c r="AY1317" s="3" t="s">
        <v>16881</v>
      </c>
      <c r="AZ1317" s="3" t="s">
        <v>74</v>
      </c>
      <c r="BB1317" s="3" t="s">
        <v>16882</v>
      </c>
      <c r="BC1317" s="3" t="s">
        <v>16883</v>
      </c>
      <c r="BD1317" s="3" t="s">
        <v>16884</v>
      </c>
    </row>
    <row r="1318" spans="1:56" ht="42.75" customHeight="1" x14ac:dyDescent="0.25">
      <c r="A1318" s="7" t="s">
        <v>58</v>
      </c>
      <c r="B1318" s="2" t="s">
        <v>16885</v>
      </c>
      <c r="C1318" s="2" t="s">
        <v>16886</v>
      </c>
      <c r="D1318" s="2" t="s">
        <v>16887</v>
      </c>
      <c r="F1318" s="3" t="s">
        <v>58</v>
      </c>
      <c r="G1318" s="3" t="s">
        <v>59</v>
      </c>
      <c r="H1318" s="3" t="s">
        <v>58</v>
      </c>
      <c r="I1318" s="3" t="s">
        <v>58</v>
      </c>
      <c r="J1318" s="3" t="s">
        <v>60</v>
      </c>
      <c r="K1318" s="2" t="s">
        <v>16888</v>
      </c>
      <c r="L1318" s="2" t="s">
        <v>16889</v>
      </c>
      <c r="M1318" s="3" t="s">
        <v>5200</v>
      </c>
      <c r="O1318" s="3" t="s">
        <v>64</v>
      </c>
      <c r="P1318" s="3" t="s">
        <v>83</v>
      </c>
      <c r="R1318" s="3" t="s">
        <v>67</v>
      </c>
      <c r="S1318" s="4">
        <v>2</v>
      </c>
      <c r="T1318" s="4">
        <v>2</v>
      </c>
      <c r="U1318" s="5" t="s">
        <v>16767</v>
      </c>
      <c r="V1318" s="5" t="s">
        <v>16767</v>
      </c>
      <c r="W1318" s="5" t="s">
        <v>4984</v>
      </c>
      <c r="X1318" s="5" t="s">
        <v>4984</v>
      </c>
      <c r="Y1318" s="4">
        <v>324</v>
      </c>
      <c r="Z1318" s="4">
        <v>277</v>
      </c>
      <c r="AA1318" s="4">
        <v>278</v>
      </c>
      <c r="AB1318" s="4">
        <v>5</v>
      </c>
      <c r="AC1318" s="4">
        <v>5</v>
      </c>
      <c r="AD1318" s="4">
        <v>14</v>
      </c>
      <c r="AE1318" s="4">
        <v>14</v>
      </c>
      <c r="AF1318" s="4">
        <v>5</v>
      </c>
      <c r="AG1318" s="4">
        <v>5</v>
      </c>
      <c r="AH1318" s="4">
        <v>3</v>
      </c>
      <c r="AI1318" s="4">
        <v>3</v>
      </c>
      <c r="AJ1318" s="4">
        <v>6</v>
      </c>
      <c r="AK1318" s="4">
        <v>6</v>
      </c>
      <c r="AL1318" s="4">
        <v>3</v>
      </c>
      <c r="AM1318" s="4">
        <v>3</v>
      </c>
      <c r="AN1318" s="4">
        <v>1</v>
      </c>
      <c r="AO1318" s="4">
        <v>1</v>
      </c>
      <c r="AP1318" s="3" t="s">
        <v>58</v>
      </c>
      <c r="AQ1318" s="3" t="s">
        <v>86</v>
      </c>
      <c r="AR1318" s="6" t="str">
        <f>HYPERLINK("http://catalog.hathitrust.org/Record/009915465","HathiTrust Record")</f>
        <v>HathiTrust Record</v>
      </c>
      <c r="AS1318" s="6" t="str">
        <f>HYPERLINK("https://creighton-primo.hosted.exlibrisgroup.com/primo-explore/search?tab=default_tab&amp;search_scope=EVERYTHING&amp;vid=01CRU&amp;lang=en_US&amp;offset=0&amp;query=any,contains,991003002939702656","Catalog Record")</f>
        <v>Catalog Record</v>
      </c>
      <c r="AT1318" s="6" t="str">
        <f>HYPERLINK("http://www.worldcat.org/oclc/570359","WorldCat Record")</f>
        <v>WorldCat Record</v>
      </c>
      <c r="AU1318" s="3" t="s">
        <v>16890</v>
      </c>
      <c r="AV1318" s="3" t="s">
        <v>16891</v>
      </c>
      <c r="AW1318" s="3" t="s">
        <v>16892</v>
      </c>
      <c r="AX1318" s="3" t="s">
        <v>16892</v>
      </c>
      <c r="AY1318" s="3" t="s">
        <v>16893</v>
      </c>
      <c r="AZ1318" s="3" t="s">
        <v>74</v>
      </c>
      <c r="BB1318" s="3" t="s">
        <v>16894</v>
      </c>
      <c r="BC1318" s="3" t="s">
        <v>16895</v>
      </c>
      <c r="BD1318" s="3" t="s">
        <v>16896</v>
      </c>
    </row>
    <row r="1319" spans="1:56" ht="42.75" customHeight="1" x14ac:dyDescent="0.25">
      <c r="A1319" s="7" t="s">
        <v>58</v>
      </c>
      <c r="B1319" s="2" t="s">
        <v>16897</v>
      </c>
      <c r="C1319" s="2" t="s">
        <v>16898</v>
      </c>
      <c r="D1319" s="2" t="s">
        <v>16899</v>
      </c>
      <c r="F1319" s="3" t="s">
        <v>58</v>
      </c>
      <c r="G1319" s="3" t="s">
        <v>59</v>
      </c>
      <c r="H1319" s="3" t="s">
        <v>58</v>
      </c>
      <c r="I1319" s="3" t="s">
        <v>58</v>
      </c>
      <c r="J1319" s="3" t="s">
        <v>60</v>
      </c>
      <c r="L1319" s="2" t="s">
        <v>16900</v>
      </c>
      <c r="M1319" s="3" t="s">
        <v>3124</v>
      </c>
      <c r="O1319" s="3" t="s">
        <v>64</v>
      </c>
      <c r="P1319" s="3" t="s">
        <v>83</v>
      </c>
      <c r="Q1319" s="2" t="s">
        <v>8365</v>
      </c>
      <c r="R1319" s="3" t="s">
        <v>67</v>
      </c>
      <c r="S1319" s="4">
        <v>5</v>
      </c>
      <c r="T1319" s="4">
        <v>5</v>
      </c>
      <c r="U1319" s="5" t="s">
        <v>16901</v>
      </c>
      <c r="V1319" s="5" t="s">
        <v>16901</v>
      </c>
      <c r="W1319" s="5" t="s">
        <v>165</v>
      </c>
      <c r="X1319" s="5" t="s">
        <v>165</v>
      </c>
      <c r="Y1319" s="4">
        <v>334</v>
      </c>
      <c r="Z1319" s="4">
        <v>288</v>
      </c>
      <c r="AA1319" s="4">
        <v>325</v>
      </c>
      <c r="AB1319" s="4">
        <v>2</v>
      </c>
      <c r="AC1319" s="4">
        <v>2</v>
      </c>
      <c r="AD1319" s="4">
        <v>11</v>
      </c>
      <c r="AE1319" s="4">
        <v>11</v>
      </c>
      <c r="AF1319" s="4">
        <v>2</v>
      </c>
      <c r="AG1319" s="4">
        <v>2</v>
      </c>
      <c r="AH1319" s="4">
        <v>2</v>
      </c>
      <c r="AI1319" s="4">
        <v>2</v>
      </c>
      <c r="AJ1319" s="4">
        <v>8</v>
      </c>
      <c r="AK1319" s="4">
        <v>8</v>
      </c>
      <c r="AL1319" s="4">
        <v>1</v>
      </c>
      <c r="AM1319" s="4">
        <v>1</v>
      </c>
      <c r="AN1319" s="4">
        <v>0</v>
      </c>
      <c r="AO1319" s="4">
        <v>0</v>
      </c>
      <c r="AP1319" s="3" t="s">
        <v>58</v>
      </c>
      <c r="AQ1319" s="3" t="s">
        <v>86</v>
      </c>
      <c r="AR1319" s="6" t="str">
        <f>HYPERLINK("http://catalog.hathitrust.org/Record/001565310","HathiTrust Record")</f>
        <v>HathiTrust Record</v>
      </c>
      <c r="AS1319" s="6" t="str">
        <f>HYPERLINK("https://creighton-primo.hosted.exlibrisgroup.com/primo-explore/search?tab=default_tab&amp;search_scope=EVERYTHING&amp;vid=01CRU&amp;lang=en_US&amp;offset=0&amp;query=any,contains,991000616999702656","Catalog Record")</f>
        <v>Catalog Record</v>
      </c>
      <c r="AT1319" s="6" t="str">
        <f>HYPERLINK("http://www.worldcat.org/oclc/102014","WorldCat Record")</f>
        <v>WorldCat Record</v>
      </c>
      <c r="AU1319" s="3" t="s">
        <v>16902</v>
      </c>
      <c r="AV1319" s="3" t="s">
        <v>16903</v>
      </c>
      <c r="AW1319" s="3" t="s">
        <v>16904</v>
      </c>
      <c r="AX1319" s="3" t="s">
        <v>16904</v>
      </c>
      <c r="AY1319" s="3" t="s">
        <v>16905</v>
      </c>
      <c r="AZ1319" s="3" t="s">
        <v>74</v>
      </c>
      <c r="BB1319" s="3" t="s">
        <v>16906</v>
      </c>
      <c r="BC1319" s="3" t="s">
        <v>16907</v>
      </c>
      <c r="BD1319" s="3" t="s">
        <v>16908</v>
      </c>
    </row>
    <row r="1320" spans="1:56" ht="42.75" customHeight="1" x14ac:dyDescent="0.25">
      <c r="A1320" s="7" t="s">
        <v>58</v>
      </c>
      <c r="B1320" s="2" t="s">
        <v>16909</v>
      </c>
      <c r="C1320" s="2" t="s">
        <v>16910</v>
      </c>
      <c r="D1320" s="2" t="s">
        <v>16911</v>
      </c>
      <c r="F1320" s="3" t="s">
        <v>58</v>
      </c>
      <c r="G1320" s="3" t="s">
        <v>59</v>
      </c>
      <c r="H1320" s="3" t="s">
        <v>86</v>
      </c>
      <c r="I1320" s="3" t="s">
        <v>58</v>
      </c>
      <c r="J1320" s="3" t="s">
        <v>60</v>
      </c>
      <c r="L1320" s="2" t="s">
        <v>10163</v>
      </c>
      <c r="M1320" s="3" t="s">
        <v>82</v>
      </c>
      <c r="O1320" s="3" t="s">
        <v>64</v>
      </c>
      <c r="P1320" s="3" t="s">
        <v>115</v>
      </c>
      <c r="R1320" s="3" t="s">
        <v>67</v>
      </c>
      <c r="S1320" s="4">
        <v>11</v>
      </c>
      <c r="T1320" s="4">
        <v>11</v>
      </c>
      <c r="U1320" s="5" t="s">
        <v>16816</v>
      </c>
      <c r="V1320" s="5" t="s">
        <v>16816</v>
      </c>
      <c r="W1320" s="5" t="s">
        <v>16912</v>
      </c>
      <c r="X1320" s="5" t="s">
        <v>16912</v>
      </c>
      <c r="Y1320" s="4">
        <v>388</v>
      </c>
      <c r="Z1320" s="4">
        <v>332</v>
      </c>
      <c r="AA1320" s="4">
        <v>337</v>
      </c>
      <c r="AB1320" s="4">
        <v>4</v>
      </c>
      <c r="AC1320" s="4">
        <v>4</v>
      </c>
      <c r="AD1320" s="4">
        <v>16</v>
      </c>
      <c r="AE1320" s="4">
        <v>16</v>
      </c>
      <c r="AF1320" s="4">
        <v>4</v>
      </c>
      <c r="AG1320" s="4">
        <v>4</v>
      </c>
      <c r="AH1320" s="4">
        <v>3</v>
      </c>
      <c r="AI1320" s="4">
        <v>3</v>
      </c>
      <c r="AJ1320" s="4">
        <v>12</v>
      </c>
      <c r="AK1320" s="4">
        <v>12</v>
      </c>
      <c r="AL1320" s="4">
        <v>2</v>
      </c>
      <c r="AM1320" s="4">
        <v>2</v>
      </c>
      <c r="AN1320" s="4">
        <v>0</v>
      </c>
      <c r="AO1320" s="4">
        <v>0</v>
      </c>
      <c r="AP1320" s="3" t="s">
        <v>58</v>
      </c>
      <c r="AQ1320" s="3" t="s">
        <v>58</v>
      </c>
      <c r="AS1320" s="6" t="str">
        <f>HYPERLINK("https://creighton-primo.hosted.exlibrisgroup.com/primo-explore/search?tab=default_tab&amp;search_scope=EVERYTHING&amp;vid=01CRU&amp;lang=en_US&amp;offset=0&amp;query=any,contains,991000975099702656","Catalog Record")</f>
        <v>Catalog Record</v>
      </c>
      <c r="AT1320" s="6" t="str">
        <f>HYPERLINK("http://www.worldcat.org/oclc/15014885","WorldCat Record")</f>
        <v>WorldCat Record</v>
      </c>
      <c r="AU1320" s="3" t="s">
        <v>16913</v>
      </c>
      <c r="AV1320" s="3" t="s">
        <v>16914</v>
      </c>
      <c r="AW1320" s="3" t="s">
        <v>16915</v>
      </c>
      <c r="AX1320" s="3" t="s">
        <v>16915</v>
      </c>
      <c r="AY1320" s="3" t="s">
        <v>16916</v>
      </c>
      <c r="AZ1320" s="3" t="s">
        <v>74</v>
      </c>
      <c r="BB1320" s="3" t="s">
        <v>16917</v>
      </c>
      <c r="BC1320" s="3" t="s">
        <v>16918</v>
      </c>
      <c r="BD1320" s="3" t="s">
        <v>16919</v>
      </c>
    </row>
    <row r="1321" spans="1:56" ht="42.75" customHeight="1" x14ac:dyDescent="0.25">
      <c r="A1321" s="7" t="s">
        <v>58</v>
      </c>
      <c r="B1321" s="2" t="s">
        <v>16920</v>
      </c>
      <c r="C1321" s="2" t="s">
        <v>16921</v>
      </c>
      <c r="D1321" s="2" t="s">
        <v>16922</v>
      </c>
      <c r="F1321" s="3" t="s">
        <v>58</v>
      </c>
      <c r="G1321" s="3" t="s">
        <v>59</v>
      </c>
      <c r="H1321" s="3" t="s">
        <v>58</v>
      </c>
      <c r="I1321" s="3" t="s">
        <v>58</v>
      </c>
      <c r="J1321" s="3" t="s">
        <v>60</v>
      </c>
      <c r="K1321" s="2" t="s">
        <v>13809</v>
      </c>
      <c r="L1321" s="2" t="s">
        <v>16923</v>
      </c>
      <c r="M1321" s="3" t="s">
        <v>114</v>
      </c>
      <c r="O1321" s="3" t="s">
        <v>64</v>
      </c>
      <c r="P1321" s="3" t="s">
        <v>115</v>
      </c>
      <c r="R1321" s="3" t="s">
        <v>67</v>
      </c>
      <c r="S1321" s="4">
        <v>4</v>
      </c>
      <c r="T1321" s="4">
        <v>4</v>
      </c>
      <c r="U1321" s="5" t="s">
        <v>16924</v>
      </c>
      <c r="V1321" s="5" t="s">
        <v>16924</v>
      </c>
      <c r="W1321" s="5" t="s">
        <v>374</v>
      </c>
      <c r="X1321" s="5" t="s">
        <v>374</v>
      </c>
      <c r="Y1321" s="4">
        <v>408</v>
      </c>
      <c r="Z1321" s="4">
        <v>395</v>
      </c>
      <c r="AA1321" s="4">
        <v>457</v>
      </c>
      <c r="AB1321" s="4">
        <v>2</v>
      </c>
      <c r="AC1321" s="4">
        <v>3</v>
      </c>
      <c r="AD1321" s="4">
        <v>4</v>
      </c>
      <c r="AE1321" s="4">
        <v>4</v>
      </c>
      <c r="AF1321" s="4">
        <v>2</v>
      </c>
      <c r="AG1321" s="4">
        <v>2</v>
      </c>
      <c r="AH1321" s="4">
        <v>0</v>
      </c>
      <c r="AI1321" s="4">
        <v>0</v>
      </c>
      <c r="AJ1321" s="4">
        <v>3</v>
      </c>
      <c r="AK1321" s="4">
        <v>3</v>
      </c>
      <c r="AL1321" s="4">
        <v>0</v>
      </c>
      <c r="AM1321" s="4">
        <v>0</v>
      </c>
      <c r="AN1321" s="4">
        <v>0</v>
      </c>
      <c r="AO1321" s="4">
        <v>0</v>
      </c>
      <c r="AP1321" s="3" t="s">
        <v>58</v>
      </c>
      <c r="AQ1321" s="3" t="s">
        <v>58</v>
      </c>
      <c r="AS1321" s="6" t="str">
        <f>HYPERLINK("https://creighton-primo.hosted.exlibrisgroup.com/primo-explore/search?tab=default_tab&amp;search_scope=EVERYTHING&amp;vid=01CRU&amp;lang=en_US&amp;offset=0&amp;query=any,contains,991000400839702656","Catalog Record")</f>
        <v>Catalog Record</v>
      </c>
      <c r="AT1321" s="6" t="str">
        <f>HYPERLINK("http://www.worldcat.org/oclc/10606316","WorldCat Record")</f>
        <v>WorldCat Record</v>
      </c>
      <c r="AU1321" s="3" t="s">
        <v>16925</v>
      </c>
      <c r="AV1321" s="3" t="s">
        <v>16926</v>
      </c>
      <c r="AW1321" s="3" t="s">
        <v>16927</v>
      </c>
      <c r="AX1321" s="3" t="s">
        <v>16927</v>
      </c>
      <c r="AY1321" s="3" t="s">
        <v>16928</v>
      </c>
      <c r="AZ1321" s="3" t="s">
        <v>74</v>
      </c>
      <c r="BB1321" s="3" t="s">
        <v>16929</v>
      </c>
      <c r="BC1321" s="3" t="s">
        <v>16930</v>
      </c>
      <c r="BD1321" s="3" t="s">
        <v>16931</v>
      </c>
    </row>
    <row r="1322" spans="1:56" ht="42.75" customHeight="1" x14ac:dyDescent="0.25">
      <c r="A1322" s="7" t="s">
        <v>58</v>
      </c>
      <c r="B1322" s="2" t="s">
        <v>16932</v>
      </c>
      <c r="C1322" s="2" t="s">
        <v>16933</v>
      </c>
      <c r="D1322" s="2" t="s">
        <v>16934</v>
      </c>
      <c r="F1322" s="3" t="s">
        <v>58</v>
      </c>
      <c r="G1322" s="3" t="s">
        <v>59</v>
      </c>
      <c r="H1322" s="3" t="s">
        <v>58</v>
      </c>
      <c r="I1322" s="3" t="s">
        <v>58</v>
      </c>
      <c r="J1322" s="3" t="s">
        <v>60</v>
      </c>
      <c r="K1322" s="2" t="s">
        <v>16935</v>
      </c>
      <c r="L1322" s="2" t="s">
        <v>16936</v>
      </c>
      <c r="M1322" s="3" t="s">
        <v>996</v>
      </c>
      <c r="O1322" s="3" t="s">
        <v>64</v>
      </c>
      <c r="P1322" s="3" t="s">
        <v>99</v>
      </c>
      <c r="R1322" s="3" t="s">
        <v>67</v>
      </c>
      <c r="S1322" s="4">
        <v>6</v>
      </c>
      <c r="T1322" s="4">
        <v>6</v>
      </c>
      <c r="U1322" s="5" t="s">
        <v>13535</v>
      </c>
      <c r="V1322" s="5" t="s">
        <v>13535</v>
      </c>
      <c r="W1322" s="5" t="s">
        <v>13535</v>
      </c>
      <c r="X1322" s="5" t="s">
        <v>13535</v>
      </c>
      <c r="Y1322" s="4">
        <v>44</v>
      </c>
      <c r="Z1322" s="4">
        <v>38</v>
      </c>
      <c r="AA1322" s="4">
        <v>38</v>
      </c>
      <c r="AB1322" s="4">
        <v>2</v>
      </c>
      <c r="AC1322" s="4">
        <v>2</v>
      </c>
      <c r="AD1322" s="4">
        <v>0</v>
      </c>
      <c r="AE1322" s="4">
        <v>0</v>
      </c>
      <c r="AF1322" s="4">
        <v>0</v>
      </c>
      <c r="AG1322" s="4">
        <v>0</v>
      </c>
      <c r="AH1322" s="4">
        <v>0</v>
      </c>
      <c r="AI1322" s="4">
        <v>0</v>
      </c>
      <c r="AJ1322" s="4">
        <v>0</v>
      </c>
      <c r="AK1322" s="4">
        <v>0</v>
      </c>
      <c r="AL1322" s="4">
        <v>0</v>
      </c>
      <c r="AM1322" s="4">
        <v>0</v>
      </c>
      <c r="AN1322" s="4">
        <v>0</v>
      </c>
      <c r="AO1322" s="4">
        <v>0</v>
      </c>
      <c r="AP1322" s="3" t="s">
        <v>58</v>
      </c>
      <c r="AQ1322" s="3" t="s">
        <v>58</v>
      </c>
      <c r="AS1322" s="6" t="str">
        <f>HYPERLINK("https://creighton-primo.hosted.exlibrisgroup.com/primo-explore/search?tab=default_tab&amp;search_scope=EVERYTHING&amp;vid=01CRU&amp;lang=en_US&amp;offset=0&amp;query=any,contains,991003933509702656","Catalog Record")</f>
        <v>Catalog Record</v>
      </c>
      <c r="AT1322" s="6" t="str">
        <f>HYPERLINK("http://www.worldcat.org/oclc/45905636","WorldCat Record")</f>
        <v>WorldCat Record</v>
      </c>
      <c r="AU1322" s="3" t="s">
        <v>16937</v>
      </c>
      <c r="AV1322" s="3" t="s">
        <v>16938</v>
      </c>
      <c r="AW1322" s="3" t="s">
        <v>16939</v>
      </c>
      <c r="AX1322" s="3" t="s">
        <v>16939</v>
      </c>
      <c r="AY1322" s="3" t="s">
        <v>16940</v>
      </c>
      <c r="AZ1322" s="3" t="s">
        <v>74</v>
      </c>
      <c r="BB1322" s="3" t="s">
        <v>16941</v>
      </c>
      <c r="BC1322" s="3" t="s">
        <v>16942</v>
      </c>
      <c r="BD1322" s="3" t="s">
        <v>16943</v>
      </c>
    </row>
    <row r="1323" spans="1:56" ht="42.75" customHeight="1" x14ac:dyDescent="0.25">
      <c r="A1323" s="7" t="s">
        <v>58</v>
      </c>
      <c r="B1323" s="2" t="s">
        <v>16944</v>
      </c>
      <c r="C1323" s="2" t="s">
        <v>16945</v>
      </c>
      <c r="D1323" s="2" t="s">
        <v>16946</v>
      </c>
      <c r="F1323" s="3" t="s">
        <v>58</v>
      </c>
      <c r="G1323" s="3" t="s">
        <v>59</v>
      </c>
      <c r="H1323" s="3" t="s">
        <v>58</v>
      </c>
      <c r="I1323" s="3" t="s">
        <v>58</v>
      </c>
      <c r="J1323" s="3" t="s">
        <v>60</v>
      </c>
      <c r="K1323" s="2" t="s">
        <v>16947</v>
      </c>
      <c r="L1323" s="2" t="s">
        <v>16948</v>
      </c>
      <c r="M1323" s="3" t="s">
        <v>314</v>
      </c>
      <c r="O1323" s="3" t="s">
        <v>64</v>
      </c>
      <c r="P1323" s="3" t="s">
        <v>83</v>
      </c>
      <c r="R1323" s="3" t="s">
        <v>67</v>
      </c>
      <c r="S1323" s="4">
        <v>8</v>
      </c>
      <c r="T1323" s="4">
        <v>8</v>
      </c>
      <c r="U1323" s="5" t="s">
        <v>8835</v>
      </c>
      <c r="V1323" s="5" t="s">
        <v>8835</v>
      </c>
      <c r="W1323" s="5" t="s">
        <v>12912</v>
      </c>
      <c r="X1323" s="5" t="s">
        <v>12912</v>
      </c>
      <c r="Y1323" s="4">
        <v>771</v>
      </c>
      <c r="Z1323" s="4">
        <v>681</v>
      </c>
      <c r="AA1323" s="4">
        <v>731</v>
      </c>
      <c r="AB1323" s="4">
        <v>8</v>
      </c>
      <c r="AC1323" s="4">
        <v>8</v>
      </c>
      <c r="AD1323" s="4">
        <v>32</v>
      </c>
      <c r="AE1323" s="4">
        <v>32</v>
      </c>
      <c r="AF1323" s="4">
        <v>9</v>
      </c>
      <c r="AG1323" s="4">
        <v>9</v>
      </c>
      <c r="AH1323" s="4">
        <v>6</v>
      </c>
      <c r="AI1323" s="4">
        <v>6</v>
      </c>
      <c r="AJ1323" s="4">
        <v>15</v>
      </c>
      <c r="AK1323" s="4">
        <v>15</v>
      </c>
      <c r="AL1323" s="4">
        <v>7</v>
      </c>
      <c r="AM1323" s="4">
        <v>7</v>
      </c>
      <c r="AN1323" s="4">
        <v>3</v>
      </c>
      <c r="AO1323" s="4">
        <v>3</v>
      </c>
      <c r="AP1323" s="3" t="s">
        <v>58</v>
      </c>
      <c r="AQ1323" s="3" t="s">
        <v>86</v>
      </c>
      <c r="AR1323" s="6" t="str">
        <f>HYPERLINK("http://catalog.hathitrust.org/Record/001133718","HathiTrust Record")</f>
        <v>HathiTrust Record</v>
      </c>
      <c r="AS1323" s="6" t="str">
        <f>HYPERLINK("https://creighton-primo.hosted.exlibrisgroup.com/primo-explore/search?tab=default_tab&amp;search_scope=EVERYTHING&amp;vid=01CRU&amp;lang=en_US&amp;offset=0&amp;query=any,contains,991001903559702656","Catalog Record")</f>
        <v>Catalog Record</v>
      </c>
      <c r="AT1323" s="6" t="str">
        <f>HYPERLINK("http://www.worldcat.org/oclc/239558","WorldCat Record")</f>
        <v>WorldCat Record</v>
      </c>
      <c r="AU1323" s="3" t="s">
        <v>16949</v>
      </c>
      <c r="AV1323" s="3" t="s">
        <v>16950</v>
      </c>
      <c r="AW1323" s="3" t="s">
        <v>16951</v>
      </c>
      <c r="AX1323" s="3" t="s">
        <v>16951</v>
      </c>
      <c r="AY1323" s="3" t="s">
        <v>16952</v>
      </c>
      <c r="AZ1323" s="3" t="s">
        <v>74</v>
      </c>
      <c r="BC1323" s="3" t="s">
        <v>16953</v>
      </c>
      <c r="BD1323" s="3" t="s">
        <v>16954</v>
      </c>
    </row>
    <row r="1324" spans="1:56" ht="42.75" customHeight="1" x14ac:dyDescent="0.25">
      <c r="A1324" s="7" t="s">
        <v>58</v>
      </c>
      <c r="B1324" s="2" t="s">
        <v>16955</v>
      </c>
      <c r="C1324" s="2" t="s">
        <v>16956</v>
      </c>
      <c r="D1324" s="2" t="s">
        <v>16957</v>
      </c>
      <c r="F1324" s="3" t="s">
        <v>58</v>
      </c>
      <c r="G1324" s="3" t="s">
        <v>59</v>
      </c>
      <c r="H1324" s="3" t="s">
        <v>58</v>
      </c>
      <c r="I1324" s="3" t="s">
        <v>58</v>
      </c>
      <c r="J1324" s="3" t="s">
        <v>60</v>
      </c>
      <c r="L1324" s="2" t="s">
        <v>9755</v>
      </c>
      <c r="M1324" s="3" t="s">
        <v>642</v>
      </c>
      <c r="O1324" s="3" t="s">
        <v>64</v>
      </c>
      <c r="P1324" s="3" t="s">
        <v>115</v>
      </c>
      <c r="R1324" s="3" t="s">
        <v>67</v>
      </c>
      <c r="S1324" s="4">
        <v>7</v>
      </c>
      <c r="T1324" s="4">
        <v>7</v>
      </c>
      <c r="U1324" s="5" t="s">
        <v>16958</v>
      </c>
      <c r="V1324" s="5" t="s">
        <v>16958</v>
      </c>
      <c r="W1324" s="5" t="s">
        <v>16959</v>
      </c>
      <c r="X1324" s="5" t="s">
        <v>16959</v>
      </c>
      <c r="Y1324" s="4">
        <v>463</v>
      </c>
      <c r="Z1324" s="4">
        <v>368</v>
      </c>
      <c r="AA1324" s="4">
        <v>369</v>
      </c>
      <c r="AB1324" s="4">
        <v>5</v>
      </c>
      <c r="AC1324" s="4">
        <v>5</v>
      </c>
      <c r="AD1324" s="4">
        <v>16</v>
      </c>
      <c r="AE1324" s="4">
        <v>16</v>
      </c>
      <c r="AF1324" s="4">
        <v>6</v>
      </c>
      <c r="AG1324" s="4">
        <v>6</v>
      </c>
      <c r="AH1324" s="4">
        <v>2</v>
      </c>
      <c r="AI1324" s="4">
        <v>2</v>
      </c>
      <c r="AJ1324" s="4">
        <v>7</v>
      </c>
      <c r="AK1324" s="4">
        <v>7</v>
      </c>
      <c r="AL1324" s="4">
        <v>4</v>
      </c>
      <c r="AM1324" s="4">
        <v>4</v>
      </c>
      <c r="AN1324" s="4">
        <v>0</v>
      </c>
      <c r="AO1324" s="4">
        <v>0</v>
      </c>
      <c r="AP1324" s="3" t="s">
        <v>58</v>
      </c>
      <c r="AQ1324" s="3" t="s">
        <v>58</v>
      </c>
      <c r="AS1324" s="6" t="str">
        <f>HYPERLINK("https://creighton-primo.hosted.exlibrisgroup.com/primo-explore/search?tab=default_tab&amp;search_scope=EVERYTHING&amp;vid=01CRU&amp;lang=en_US&amp;offset=0&amp;query=any,contains,991001966839702656","Catalog Record")</f>
        <v>Catalog Record</v>
      </c>
      <c r="AT1324" s="6" t="str">
        <f>HYPERLINK("http://www.worldcat.org/oclc/24913591","WorldCat Record")</f>
        <v>WorldCat Record</v>
      </c>
      <c r="AU1324" s="3" t="s">
        <v>16960</v>
      </c>
      <c r="AV1324" s="3" t="s">
        <v>16961</v>
      </c>
      <c r="AW1324" s="3" t="s">
        <v>16962</v>
      </c>
      <c r="AX1324" s="3" t="s">
        <v>16962</v>
      </c>
      <c r="AY1324" s="3" t="s">
        <v>16963</v>
      </c>
      <c r="AZ1324" s="3" t="s">
        <v>74</v>
      </c>
      <c r="BB1324" s="3" t="s">
        <v>16964</v>
      </c>
      <c r="BC1324" s="3" t="s">
        <v>16965</v>
      </c>
      <c r="BD1324" s="3" t="s">
        <v>16966</v>
      </c>
    </row>
    <row r="1325" spans="1:56" ht="42.75" customHeight="1" x14ac:dyDescent="0.25">
      <c r="A1325" s="7" t="s">
        <v>58</v>
      </c>
      <c r="B1325" s="2" t="s">
        <v>16967</v>
      </c>
      <c r="C1325" s="2" t="s">
        <v>16968</v>
      </c>
      <c r="D1325" s="2" t="s">
        <v>16969</v>
      </c>
      <c r="F1325" s="3" t="s">
        <v>58</v>
      </c>
      <c r="G1325" s="3" t="s">
        <v>59</v>
      </c>
      <c r="H1325" s="3" t="s">
        <v>86</v>
      </c>
      <c r="I1325" s="3" t="s">
        <v>58</v>
      </c>
      <c r="J1325" s="3" t="s">
        <v>60</v>
      </c>
      <c r="K1325" s="2" t="s">
        <v>16970</v>
      </c>
      <c r="L1325" s="2" t="s">
        <v>16971</v>
      </c>
      <c r="M1325" s="3" t="s">
        <v>586</v>
      </c>
      <c r="N1325" s="2" t="s">
        <v>1736</v>
      </c>
      <c r="O1325" s="3" t="s">
        <v>64</v>
      </c>
      <c r="P1325" s="3" t="s">
        <v>145</v>
      </c>
      <c r="R1325" s="3" t="s">
        <v>67</v>
      </c>
      <c r="S1325" s="4">
        <v>12</v>
      </c>
      <c r="T1325" s="4">
        <v>14</v>
      </c>
      <c r="U1325" s="5" t="s">
        <v>16972</v>
      </c>
      <c r="V1325" s="5" t="s">
        <v>16973</v>
      </c>
      <c r="W1325" s="5" t="s">
        <v>16974</v>
      </c>
      <c r="X1325" s="5" t="s">
        <v>16975</v>
      </c>
      <c r="Y1325" s="4">
        <v>405</v>
      </c>
      <c r="Z1325" s="4">
        <v>347</v>
      </c>
      <c r="AA1325" s="4">
        <v>773</v>
      </c>
      <c r="AB1325" s="4">
        <v>3</v>
      </c>
      <c r="AC1325" s="4">
        <v>5</v>
      </c>
      <c r="AD1325" s="4">
        <v>22</v>
      </c>
      <c r="AE1325" s="4">
        <v>38</v>
      </c>
      <c r="AF1325" s="4">
        <v>6</v>
      </c>
      <c r="AG1325" s="4">
        <v>10</v>
      </c>
      <c r="AH1325" s="4">
        <v>0</v>
      </c>
      <c r="AI1325" s="4">
        <v>2</v>
      </c>
      <c r="AJ1325" s="4">
        <v>5</v>
      </c>
      <c r="AK1325" s="4">
        <v>13</v>
      </c>
      <c r="AL1325" s="4">
        <v>1</v>
      </c>
      <c r="AM1325" s="4">
        <v>3</v>
      </c>
      <c r="AN1325" s="4">
        <v>11</v>
      </c>
      <c r="AO1325" s="4">
        <v>14</v>
      </c>
      <c r="AP1325" s="3" t="s">
        <v>58</v>
      </c>
      <c r="AQ1325" s="3" t="s">
        <v>58</v>
      </c>
      <c r="AS1325" s="6" t="str">
        <f>HYPERLINK("https://creighton-primo.hosted.exlibrisgroup.com/primo-explore/search?tab=default_tab&amp;search_scope=EVERYTHING&amp;vid=01CRU&amp;lang=en_US&amp;offset=0&amp;query=any,contains,991001648319702656","Catalog Record")</f>
        <v>Catalog Record</v>
      </c>
      <c r="AT1325" s="6" t="str">
        <f>HYPERLINK("http://www.worldcat.org/oclc/23218979","WorldCat Record")</f>
        <v>WorldCat Record</v>
      </c>
      <c r="AU1325" s="3" t="s">
        <v>16976</v>
      </c>
      <c r="AV1325" s="3" t="s">
        <v>16977</v>
      </c>
      <c r="AW1325" s="3" t="s">
        <v>16978</v>
      </c>
      <c r="AX1325" s="3" t="s">
        <v>16978</v>
      </c>
      <c r="AY1325" s="3" t="s">
        <v>16979</v>
      </c>
      <c r="AZ1325" s="3" t="s">
        <v>74</v>
      </c>
      <c r="BB1325" s="3" t="s">
        <v>16980</v>
      </c>
      <c r="BC1325" s="3" t="s">
        <v>16981</v>
      </c>
      <c r="BD1325" s="3" t="s">
        <v>16982</v>
      </c>
    </row>
    <row r="1326" spans="1:56" ht="42.75" customHeight="1" x14ac:dyDescent="0.25">
      <c r="A1326" s="7" t="s">
        <v>58</v>
      </c>
      <c r="B1326" s="2" t="s">
        <v>16983</v>
      </c>
      <c r="C1326" s="2" t="s">
        <v>16984</v>
      </c>
      <c r="D1326" s="2" t="s">
        <v>16985</v>
      </c>
      <c r="F1326" s="3" t="s">
        <v>58</v>
      </c>
      <c r="G1326" s="3" t="s">
        <v>59</v>
      </c>
      <c r="H1326" s="3" t="s">
        <v>58</v>
      </c>
      <c r="I1326" s="3" t="s">
        <v>58</v>
      </c>
      <c r="J1326" s="3" t="s">
        <v>60</v>
      </c>
      <c r="L1326" s="2" t="s">
        <v>16986</v>
      </c>
      <c r="M1326" s="3" t="s">
        <v>63</v>
      </c>
      <c r="O1326" s="3" t="s">
        <v>64</v>
      </c>
      <c r="P1326" s="3" t="s">
        <v>208</v>
      </c>
      <c r="R1326" s="3" t="s">
        <v>67</v>
      </c>
      <c r="S1326" s="4">
        <v>4</v>
      </c>
      <c r="T1326" s="4">
        <v>4</v>
      </c>
      <c r="U1326" s="5" t="s">
        <v>16987</v>
      </c>
      <c r="V1326" s="5" t="s">
        <v>16987</v>
      </c>
      <c r="W1326" s="5" t="s">
        <v>10138</v>
      </c>
      <c r="X1326" s="5" t="s">
        <v>10138</v>
      </c>
      <c r="Y1326" s="4">
        <v>322</v>
      </c>
      <c r="Z1326" s="4">
        <v>253</v>
      </c>
      <c r="AA1326" s="4">
        <v>256</v>
      </c>
      <c r="AB1326" s="4">
        <v>3</v>
      </c>
      <c r="AC1326" s="4">
        <v>3</v>
      </c>
      <c r="AD1326" s="4">
        <v>8</v>
      </c>
      <c r="AE1326" s="4">
        <v>8</v>
      </c>
      <c r="AF1326" s="4">
        <v>4</v>
      </c>
      <c r="AG1326" s="4">
        <v>4</v>
      </c>
      <c r="AH1326" s="4">
        <v>1</v>
      </c>
      <c r="AI1326" s="4">
        <v>1</v>
      </c>
      <c r="AJ1326" s="4">
        <v>3</v>
      </c>
      <c r="AK1326" s="4">
        <v>3</v>
      </c>
      <c r="AL1326" s="4">
        <v>2</v>
      </c>
      <c r="AM1326" s="4">
        <v>2</v>
      </c>
      <c r="AN1326" s="4">
        <v>0</v>
      </c>
      <c r="AO1326" s="4">
        <v>0</v>
      </c>
      <c r="AP1326" s="3" t="s">
        <v>58</v>
      </c>
      <c r="AQ1326" s="3" t="s">
        <v>86</v>
      </c>
      <c r="AR1326" s="6" t="str">
        <f>HYPERLINK("http://catalog.hathitrust.org/Record/000766542","HathiTrust Record")</f>
        <v>HathiTrust Record</v>
      </c>
      <c r="AS1326" s="6" t="str">
        <f>HYPERLINK("https://creighton-primo.hosted.exlibrisgroup.com/primo-explore/search?tab=default_tab&amp;search_scope=EVERYTHING&amp;vid=01CRU&amp;lang=en_US&amp;offset=0&amp;query=any,contains,991000082379702656","Catalog Record")</f>
        <v>Catalog Record</v>
      </c>
      <c r="AT1326" s="6" t="str">
        <f>HYPERLINK("http://www.worldcat.org/oclc/8845656","WorldCat Record")</f>
        <v>WorldCat Record</v>
      </c>
      <c r="AU1326" s="3" t="s">
        <v>16988</v>
      </c>
      <c r="AV1326" s="3" t="s">
        <v>16989</v>
      </c>
      <c r="AW1326" s="3" t="s">
        <v>16990</v>
      </c>
      <c r="AX1326" s="3" t="s">
        <v>16990</v>
      </c>
      <c r="AY1326" s="3" t="s">
        <v>16991</v>
      </c>
      <c r="AZ1326" s="3" t="s">
        <v>74</v>
      </c>
      <c r="BB1326" s="3" t="s">
        <v>16992</v>
      </c>
      <c r="BC1326" s="3" t="s">
        <v>16993</v>
      </c>
      <c r="BD1326" s="3" t="s">
        <v>16994</v>
      </c>
    </row>
    <row r="1327" spans="1:56" ht="42.75" customHeight="1" x14ac:dyDescent="0.25">
      <c r="A1327" s="7" t="s">
        <v>58</v>
      </c>
      <c r="B1327" s="2" t="s">
        <v>16995</v>
      </c>
      <c r="C1327" s="2" t="s">
        <v>16996</v>
      </c>
      <c r="D1327" s="2" t="s">
        <v>16997</v>
      </c>
      <c r="F1327" s="3" t="s">
        <v>58</v>
      </c>
      <c r="G1327" s="3" t="s">
        <v>59</v>
      </c>
      <c r="H1327" s="3" t="s">
        <v>58</v>
      </c>
      <c r="I1327" s="3" t="s">
        <v>58</v>
      </c>
      <c r="J1327" s="3" t="s">
        <v>60</v>
      </c>
      <c r="K1327" s="2" t="s">
        <v>16998</v>
      </c>
      <c r="L1327" s="2" t="s">
        <v>16999</v>
      </c>
      <c r="M1327" s="3" t="s">
        <v>2227</v>
      </c>
      <c r="O1327" s="3" t="s">
        <v>64</v>
      </c>
      <c r="P1327" s="3" t="s">
        <v>115</v>
      </c>
      <c r="R1327" s="3" t="s">
        <v>67</v>
      </c>
      <c r="S1327" s="4">
        <v>10</v>
      </c>
      <c r="T1327" s="4">
        <v>10</v>
      </c>
      <c r="U1327" s="5" t="s">
        <v>17000</v>
      </c>
      <c r="V1327" s="5" t="s">
        <v>17000</v>
      </c>
      <c r="W1327" s="5" t="s">
        <v>7681</v>
      </c>
      <c r="X1327" s="5" t="s">
        <v>7681</v>
      </c>
      <c r="Y1327" s="4">
        <v>537</v>
      </c>
      <c r="Z1327" s="4">
        <v>470</v>
      </c>
      <c r="AA1327" s="4">
        <v>494</v>
      </c>
      <c r="AB1327" s="4">
        <v>4</v>
      </c>
      <c r="AC1327" s="4">
        <v>4</v>
      </c>
      <c r="AD1327" s="4">
        <v>18</v>
      </c>
      <c r="AE1327" s="4">
        <v>18</v>
      </c>
      <c r="AF1327" s="4">
        <v>5</v>
      </c>
      <c r="AG1327" s="4">
        <v>5</v>
      </c>
      <c r="AH1327" s="4">
        <v>5</v>
      </c>
      <c r="AI1327" s="4">
        <v>5</v>
      </c>
      <c r="AJ1327" s="4">
        <v>10</v>
      </c>
      <c r="AK1327" s="4">
        <v>10</v>
      </c>
      <c r="AL1327" s="4">
        <v>3</v>
      </c>
      <c r="AM1327" s="4">
        <v>3</v>
      </c>
      <c r="AN1327" s="4">
        <v>0</v>
      </c>
      <c r="AO1327" s="4">
        <v>0</v>
      </c>
      <c r="AP1327" s="3" t="s">
        <v>58</v>
      </c>
      <c r="AQ1327" s="3" t="s">
        <v>86</v>
      </c>
      <c r="AR1327" s="6" t="str">
        <f>HYPERLINK("http://catalog.hathitrust.org/Record/000352531","HathiTrust Record")</f>
        <v>HathiTrust Record</v>
      </c>
      <c r="AS1327" s="6" t="str">
        <f>HYPERLINK("https://creighton-primo.hosted.exlibrisgroup.com/primo-explore/search?tab=default_tab&amp;search_scope=EVERYTHING&amp;vid=01CRU&amp;lang=en_US&amp;offset=0&amp;query=any,contains,991000497749702656","Catalog Record")</f>
        <v>Catalog Record</v>
      </c>
      <c r="AT1327" s="6" t="str">
        <f>HYPERLINK("http://www.worldcat.org/oclc/11158620","WorldCat Record")</f>
        <v>WorldCat Record</v>
      </c>
      <c r="AU1327" s="3" t="s">
        <v>17001</v>
      </c>
      <c r="AV1327" s="3" t="s">
        <v>17002</v>
      </c>
      <c r="AW1327" s="3" t="s">
        <v>17003</v>
      </c>
      <c r="AX1327" s="3" t="s">
        <v>17003</v>
      </c>
      <c r="AY1327" s="3" t="s">
        <v>17004</v>
      </c>
      <c r="AZ1327" s="3" t="s">
        <v>74</v>
      </c>
      <c r="BB1327" s="3" t="s">
        <v>17005</v>
      </c>
      <c r="BC1327" s="3" t="s">
        <v>17006</v>
      </c>
      <c r="BD1327" s="3" t="s">
        <v>17007</v>
      </c>
    </row>
    <row r="1328" spans="1:56" ht="42.75" customHeight="1" x14ac:dyDescent="0.25">
      <c r="A1328" s="7" t="s">
        <v>58</v>
      </c>
      <c r="B1328" s="2" t="s">
        <v>17008</v>
      </c>
      <c r="C1328" s="2" t="s">
        <v>17009</v>
      </c>
      <c r="D1328" s="2" t="s">
        <v>17010</v>
      </c>
      <c r="F1328" s="3" t="s">
        <v>58</v>
      </c>
      <c r="G1328" s="3" t="s">
        <v>59</v>
      </c>
      <c r="H1328" s="3" t="s">
        <v>58</v>
      </c>
      <c r="I1328" s="3" t="s">
        <v>58</v>
      </c>
      <c r="J1328" s="3" t="s">
        <v>60</v>
      </c>
      <c r="K1328" s="2" t="s">
        <v>17011</v>
      </c>
      <c r="L1328" s="2" t="s">
        <v>12362</v>
      </c>
      <c r="M1328" s="3" t="s">
        <v>737</v>
      </c>
      <c r="O1328" s="3" t="s">
        <v>64</v>
      </c>
      <c r="P1328" s="3" t="s">
        <v>115</v>
      </c>
      <c r="R1328" s="3" t="s">
        <v>67</v>
      </c>
      <c r="S1328" s="4">
        <v>4</v>
      </c>
      <c r="T1328" s="4">
        <v>4</v>
      </c>
      <c r="U1328" s="5" t="s">
        <v>17012</v>
      </c>
      <c r="V1328" s="5" t="s">
        <v>17012</v>
      </c>
      <c r="W1328" s="5" t="s">
        <v>3946</v>
      </c>
      <c r="X1328" s="5" t="s">
        <v>3946</v>
      </c>
      <c r="Y1328" s="4">
        <v>404</v>
      </c>
      <c r="Z1328" s="4">
        <v>379</v>
      </c>
      <c r="AA1328" s="4">
        <v>431</v>
      </c>
      <c r="AB1328" s="4">
        <v>5</v>
      </c>
      <c r="AC1328" s="4">
        <v>5</v>
      </c>
      <c r="AD1328" s="4">
        <v>8</v>
      </c>
      <c r="AE1328" s="4">
        <v>8</v>
      </c>
      <c r="AF1328" s="4">
        <v>2</v>
      </c>
      <c r="AG1328" s="4">
        <v>2</v>
      </c>
      <c r="AH1328" s="4">
        <v>3</v>
      </c>
      <c r="AI1328" s="4">
        <v>3</v>
      </c>
      <c r="AJ1328" s="4">
        <v>2</v>
      </c>
      <c r="AK1328" s="4">
        <v>2</v>
      </c>
      <c r="AL1328" s="4">
        <v>3</v>
      </c>
      <c r="AM1328" s="4">
        <v>3</v>
      </c>
      <c r="AN1328" s="4">
        <v>0</v>
      </c>
      <c r="AO1328" s="4">
        <v>0</v>
      </c>
      <c r="AP1328" s="3" t="s">
        <v>58</v>
      </c>
      <c r="AQ1328" s="3" t="s">
        <v>86</v>
      </c>
      <c r="AR1328" s="6" t="str">
        <f>HYPERLINK("http://catalog.hathitrust.org/Record/101960974","HathiTrust Record")</f>
        <v>HathiTrust Record</v>
      </c>
      <c r="AS1328" s="6" t="str">
        <f>HYPERLINK("https://creighton-primo.hosted.exlibrisgroup.com/primo-explore/search?tab=default_tab&amp;search_scope=EVERYTHING&amp;vid=01CRU&amp;lang=en_US&amp;offset=0&amp;query=any,contains,991002291369702656","Catalog Record")</f>
        <v>Catalog Record</v>
      </c>
      <c r="AT1328" s="6" t="str">
        <f>HYPERLINK("http://www.worldcat.org/oclc/29702752","WorldCat Record")</f>
        <v>WorldCat Record</v>
      </c>
      <c r="AU1328" s="3" t="s">
        <v>17013</v>
      </c>
      <c r="AV1328" s="3" t="s">
        <v>17014</v>
      </c>
      <c r="AW1328" s="3" t="s">
        <v>17015</v>
      </c>
      <c r="AX1328" s="3" t="s">
        <v>17015</v>
      </c>
      <c r="AY1328" s="3" t="s">
        <v>17016</v>
      </c>
      <c r="AZ1328" s="3" t="s">
        <v>74</v>
      </c>
      <c r="BB1328" s="3" t="s">
        <v>17017</v>
      </c>
      <c r="BC1328" s="3" t="s">
        <v>17018</v>
      </c>
      <c r="BD1328" s="3" t="s">
        <v>17019</v>
      </c>
    </row>
    <row r="1329" spans="1:56" ht="42.75" customHeight="1" x14ac:dyDescent="0.25">
      <c r="A1329" s="7" t="s">
        <v>58</v>
      </c>
      <c r="B1329" s="2" t="s">
        <v>17020</v>
      </c>
      <c r="C1329" s="2" t="s">
        <v>17021</v>
      </c>
      <c r="D1329" s="2" t="s">
        <v>17022</v>
      </c>
      <c r="F1329" s="3" t="s">
        <v>58</v>
      </c>
      <c r="G1329" s="3" t="s">
        <v>59</v>
      </c>
      <c r="H1329" s="3" t="s">
        <v>58</v>
      </c>
      <c r="I1329" s="3" t="s">
        <v>58</v>
      </c>
      <c r="J1329" s="3" t="s">
        <v>60</v>
      </c>
      <c r="K1329" s="2" t="s">
        <v>9428</v>
      </c>
      <c r="L1329" s="2" t="s">
        <v>1883</v>
      </c>
      <c r="M1329" s="3" t="s">
        <v>238</v>
      </c>
      <c r="O1329" s="3" t="s">
        <v>64</v>
      </c>
      <c r="P1329" s="3" t="s">
        <v>83</v>
      </c>
      <c r="R1329" s="3" t="s">
        <v>67</v>
      </c>
      <c r="S1329" s="4">
        <v>7</v>
      </c>
      <c r="T1329" s="4">
        <v>7</v>
      </c>
      <c r="U1329" s="5" t="s">
        <v>4513</v>
      </c>
      <c r="V1329" s="5" t="s">
        <v>4513</v>
      </c>
      <c r="W1329" s="5" t="s">
        <v>6542</v>
      </c>
      <c r="X1329" s="5" t="s">
        <v>6542</v>
      </c>
      <c r="Y1329" s="4">
        <v>346</v>
      </c>
      <c r="Z1329" s="4">
        <v>310</v>
      </c>
      <c r="AA1329" s="4">
        <v>312</v>
      </c>
      <c r="AB1329" s="4">
        <v>2</v>
      </c>
      <c r="AC1329" s="4">
        <v>2</v>
      </c>
      <c r="AD1329" s="4">
        <v>13</v>
      </c>
      <c r="AE1329" s="4">
        <v>13</v>
      </c>
      <c r="AF1329" s="4">
        <v>5</v>
      </c>
      <c r="AG1329" s="4">
        <v>5</v>
      </c>
      <c r="AH1329" s="4">
        <v>4</v>
      </c>
      <c r="AI1329" s="4">
        <v>4</v>
      </c>
      <c r="AJ1329" s="4">
        <v>8</v>
      </c>
      <c r="AK1329" s="4">
        <v>8</v>
      </c>
      <c r="AL1329" s="4">
        <v>1</v>
      </c>
      <c r="AM1329" s="4">
        <v>1</v>
      </c>
      <c r="AN1329" s="4">
        <v>0</v>
      </c>
      <c r="AO1329" s="4">
        <v>0</v>
      </c>
      <c r="AP1329" s="3" t="s">
        <v>58</v>
      </c>
      <c r="AQ1329" s="3" t="s">
        <v>86</v>
      </c>
      <c r="AR1329" s="6" t="str">
        <f>HYPERLINK("http://catalog.hathitrust.org/Record/006221760","HathiTrust Record")</f>
        <v>HathiTrust Record</v>
      </c>
      <c r="AS1329" s="6" t="str">
        <f>HYPERLINK("https://creighton-primo.hosted.exlibrisgroup.com/primo-explore/search?tab=default_tab&amp;search_scope=EVERYTHING&amp;vid=01CRU&amp;lang=en_US&amp;offset=0&amp;query=any,contains,991004651599702656","Catalog Record")</f>
        <v>Catalog Record</v>
      </c>
      <c r="AT1329" s="6" t="str">
        <f>HYPERLINK("http://www.worldcat.org/oclc/4494210","WorldCat Record")</f>
        <v>WorldCat Record</v>
      </c>
      <c r="AU1329" s="3" t="s">
        <v>17023</v>
      </c>
      <c r="AV1329" s="3" t="s">
        <v>17024</v>
      </c>
      <c r="AW1329" s="3" t="s">
        <v>17025</v>
      </c>
      <c r="AX1329" s="3" t="s">
        <v>17025</v>
      </c>
      <c r="AY1329" s="3" t="s">
        <v>17026</v>
      </c>
      <c r="AZ1329" s="3" t="s">
        <v>74</v>
      </c>
      <c r="BB1329" s="3" t="s">
        <v>17027</v>
      </c>
      <c r="BC1329" s="3" t="s">
        <v>17028</v>
      </c>
      <c r="BD1329" s="3" t="s">
        <v>17029</v>
      </c>
    </row>
    <row r="1330" spans="1:56" ht="42.75" customHeight="1" x14ac:dyDescent="0.25">
      <c r="A1330" s="7" t="s">
        <v>58</v>
      </c>
      <c r="B1330" s="2" t="s">
        <v>17030</v>
      </c>
      <c r="C1330" s="2" t="s">
        <v>17031</v>
      </c>
      <c r="D1330" s="2" t="s">
        <v>17032</v>
      </c>
      <c r="F1330" s="3" t="s">
        <v>58</v>
      </c>
      <c r="G1330" s="3" t="s">
        <v>59</v>
      </c>
      <c r="H1330" s="3" t="s">
        <v>58</v>
      </c>
      <c r="I1330" s="3" t="s">
        <v>58</v>
      </c>
      <c r="J1330" s="3" t="s">
        <v>60</v>
      </c>
      <c r="K1330" s="2" t="s">
        <v>17033</v>
      </c>
      <c r="L1330" s="2" t="s">
        <v>7639</v>
      </c>
      <c r="M1330" s="3" t="s">
        <v>82</v>
      </c>
      <c r="O1330" s="3" t="s">
        <v>64</v>
      </c>
      <c r="P1330" s="3" t="s">
        <v>115</v>
      </c>
      <c r="R1330" s="3" t="s">
        <v>67</v>
      </c>
      <c r="S1330" s="4">
        <v>7</v>
      </c>
      <c r="T1330" s="4">
        <v>7</v>
      </c>
      <c r="U1330" s="5" t="s">
        <v>16958</v>
      </c>
      <c r="V1330" s="5" t="s">
        <v>16958</v>
      </c>
      <c r="W1330" s="5" t="s">
        <v>10340</v>
      </c>
      <c r="X1330" s="5" t="s">
        <v>10340</v>
      </c>
      <c r="Y1330" s="4">
        <v>430</v>
      </c>
      <c r="Z1330" s="4">
        <v>375</v>
      </c>
      <c r="AA1330" s="4">
        <v>375</v>
      </c>
      <c r="AB1330" s="4">
        <v>3</v>
      </c>
      <c r="AC1330" s="4">
        <v>3</v>
      </c>
      <c r="AD1330" s="4">
        <v>15</v>
      </c>
      <c r="AE1330" s="4">
        <v>15</v>
      </c>
      <c r="AF1330" s="4">
        <v>4</v>
      </c>
      <c r="AG1330" s="4">
        <v>4</v>
      </c>
      <c r="AH1330" s="4">
        <v>3</v>
      </c>
      <c r="AI1330" s="4">
        <v>3</v>
      </c>
      <c r="AJ1330" s="4">
        <v>8</v>
      </c>
      <c r="AK1330" s="4">
        <v>8</v>
      </c>
      <c r="AL1330" s="4">
        <v>2</v>
      </c>
      <c r="AM1330" s="4">
        <v>2</v>
      </c>
      <c r="AN1330" s="4">
        <v>2</v>
      </c>
      <c r="AO1330" s="4">
        <v>2</v>
      </c>
      <c r="AP1330" s="3" t="s">
        <v>58</v>
      </c>
      <c r="AQ1330" s="3" t="s">
        <v>58</v>
      </c>
      <c r="AS1330" s="6" t="str">
        <f>HYPERLINK("https://creighton-primo.hosted.exlibrisgroup.com/primo-explore/search?tab=default_tab&amp;search_scope=EVERYTHING&amp;vid=01CRU&amp;lang=en_US&amp;offset=0&amp;query=any,contains,991001051689702656","Catalog Record")</f>
        <v>Catalog Record</v>
      </c>
      <c r="AT1330" s="6" t="str">
        <f>HYPERLINK("http://www.worldcat.org/oclc/15656185","WorldCat Record")</f>
        <v>WorldCat Record</v>
      </c>
      <c r="AU1330" s="3" t="s">
        <v>17034</v>
      </c>
      <c r="AV1330" s="3" t="s">
        <v>17035</v>
      </c>
      <c r="AW1330" s="3" t="s">
        <v>17036</v>
      </c>
      <c r="AX1330" s="3" t="s">
        <v>17036</v>
      </c>
      <c r="AY1330" s="3" t="s">
        <v>17037</v>
      </c>
      <c r="AZ1330" s="3" t="s">
        <v>74</v>
      </c>
      <c r="BB1330" s="3" t="s">
        <v>17038</v>
      </c>
      <c r="BC1330" s="3" t="s">
        <v>17039</v>
      </c>
      <c r="BD1330" s="3" t="s">
        <v>17040</v>
      </c>
    </row>
    <row r="1331" spans="1:56" ht="42.75" customHeight="1" x14ac:dyDescent="0.25">
      <c r="A1331" s="7" t="s">
        <v>58</v>
      </c>
      <c r="B1331" s="2" t="s">
        <v>17041</v>
      </c>
      <c r="C1331" s="2" t="s">
        <v>17042</v>
      </c>
      <c r="D1331" s="2" t="s">
        <v>17043</v>
      </c>
      <c r="F1331" s="3" t="s">
        <v>58</v>
      </c>
      <c r="G1331" s="3" t="s">
        <v>59</v>
      </c>
      <c r="H1331" s="3" t="s">
        <v>58</v>
      </c>
      <c r="I1331" s="3" t="s">
        <v>58</v>
      </c>
      <c r="J1331" s="3" t="s">
        <v>60</v>
      </c>
      <c r="K1331" s="2" t="s">
        <v>15499</v>
      </c>
      <c r="L1331" s="2" t="s">
        <v>16503</v>
      </c>
      <c r="M1331" s="3" t="s">
        <v>98</v>
      </c>
      <c r="O1331" s="3" t="s">
        <v>64</v>
      </c>
      <c r="P1331" s="3" t="s">
        <v>83</v>
      </c>
      <c r="R1331" s="3" t="s">
        <v>67</v>
      </c>
      <c r="S1331" s="4">
        <v>5</v>
      </c>
      <c r="T1331" s="4">
        <v>5</v>
      </c>
      <c r="U1331" s="5" t="s">
        <v>17044</v>
      </c>
      <c r="V1331" s="5" t="s">
        <v>17044</v>
      </c>
      <c r="W1331" s="5" t="s">
        <v>10340</v>
      </c>
      <c r="X1331" s="5" t="s">
        <v>10340</v>
      </c>
      <c r="Y1331" s="4">
        <v>166</v>
      </c>
      <c r="Z1331" s="4">
        <v>136</v>
      </c>
      <c r="AA1331" s="4">
        <v>138</v>
      </c>
      <c r="AB1331" s="4">
        <v>2</v>
      </c>
      <c r="AC1331" s="4">
        <v>2</v>
      </c>
      <c r="AD1331" s="4">
        <v>6</v>
      </c>
      <c r="AE1331" s="4">
        <v>6</v>
      </c>
      <c r="AF1331" s="4">
        <v>1</v>
      </c>
      <c r="AG1331" s="4">
        <v>1</v>
      </c>
      <c r="AH1331" s="4">
        <v>1</v>
      </c>
      <c r="AI1331" s="4">
        <v>1</v>
      </c>
      <c r="AJ1331" s="4">
        <v>4</v>
      </c>
      <c r="AK1331" s="4">
        <v>4</v>
      </c>
      <c r="AL1331" s="4">
        <v>1</v>
      </c>
      <c r="AM1331" s="4">
        <v>1</v>
      </c>
      <c r="AN1331" s="4">
        <v>0</v>
      </c>
      <c r="AO1331" s="4">
        <v>0</v>
      </c>
      <c r="AP1331" s="3" t="s">
        <v>58</v>
      </c>
      <c r="AQ1331" s="3" t="s">
        <v>86</v>
      </c>
      <c r="AR1331" s="6" t="str">
        <f>HYPERLINK("http://catalog.hathitrust.org/Record/000914147","HathiTrust Record")</f>
        <v>HathiTrust Record</v>
      </c>
      <c r="AS1331" s="6" t="str">
        <f>HYPERLINK("https://creighton-primo.hosted.exlibrisgroup.com/primo-explore/search?tab=default_tab&amp;search_scope=EVERYTHING&amp;vid=01CRU&amp;lang=en_US&amp;offset=0&amp;query=any,contains,991001194619702656","Catalog Record")</f>
        <v>Catalog Record</v>
      </c>
      <c r="AT1331" s="6" t="str">
        <f>HYPERLINK("http://www.worldcat.org/oclc/17265210","WorldCat Record")</f>
        <v>WorldCat Record</v>
      </c>
      <c r="AU1331" s="3" t="s">
        <v>17045</v>
      </c>
      <c r="AV1331" s="3" t="s">
        <v>17046</v>
      </c>
      <c r="AW1331" s="3" t="s">
        <v>17047</v>
      </c>
      <c r="AX1331" s="3" t="s">
        <v>17047</v>
      </c>
      <c r="AY1331" s="3" t="s">
        <v>17048</v>
      </c>
      <c r="AZ1331" s="3" t="s">
        <v>74</v>
      </c>
      <c r="BB1331" s="3" t="s">
        <v>17049</v>
      </c>
      <c r="BC1331" s="3" t="s">
        <v>17050</v>
      </c>
      <c r="BD1331" s="3" t="s">
        <v>17051</v>
      </c>
    </row>
    <row r="1332" spans="1:56" ht="42.75" customHeight="1" x14ac:dyDescent="0.25">
      <c r="A1332" s="7" t="s">
        <v>58</v>
      </c>
      <c r="B1332" s="2" t="s">
        <v>17052</v>
      </c>
      <c r="C1332" s="2" t="s">
        <v>17053</v>
      </c>
      <c r="D1332" s="2" t="s">
        <v>17054</v>
      </c>
      <c r="F1332" s="3" t="s">
        <v>58</v>
      </c>
      <c r="G1332" s="3" t="s">
        <v>59</v>
      </c>
      <c r="H1332" s="3" t="s">
        <v>58</v>
      </c>
      <c r="I1332" s="3" t="s">
        <v>58</v>
      </c>
      <c r="J1332" s="3" t="s">
        <v>60</v>
      </c>
      <c r="K1332" s="2" t="s">
        <v>17055</v>
      </c>
      <c r="L1332" s="2" t="s">
        <v>17056</v>
      </c>
      <c r="M1332" s="3" t="s">
        <v>371</v>
      </c>
      <c r="O1332" s="3" t="s">
        <v>64</v>
      </c>
      <c r="P1332" s="3" t="s">
        <v>115</v>
      </c>
      <c r="R1332" s="3" t="s">
        <v>67</v>
      </c>
      <c r="S1332" s="4">
        <v>20</v>
      </c>
      <c r="T1332" s="4">
        <v>20</v>
      </c>
      <c r="U1332" s="5" t="s">
        <v>17057</v>
      </c>
      <c r="V1332" s="5" t="s">
        <v>17057</v>
      </c>
      <c r="W1332" s="5" t="s">
        <v>12722</v>
      </c>
      <c r="X1332" s="5" t="s">
        <v>12722</v>
      </c>
      <c r="Y1332" s="4">
        <v>453</v>
      </c>
      <c r="Z1332" s="4">
        <v>394</v>
      </c>
      <c r="AA1332" s="4">
        <v>400</v>
      </c>
      <c r="AB1332" s="4">
        <v>3</v>
      </c>
      <c r="AC1332" s="4">
        <v>3</v>
      </c>
      <c r="AD1332" s="4">
        <v>15</v>
      </c>
      <c r="AE1332" s="4">
        <v>15</v>
      </c>
      <c r="AF1332" s="4">
        <v>3</v>
      </c>
      <c r="AG1332" s="4">
        <v>3</v>
      </c>
      <c r="AH1332" s="4">
        <v>3</v>
      </c>
      <c r="AI1332" s="4">
        <v>3</v>
      </c>
      <c r="AJ1332" s="4">
        <v>11</v>
      </c>
      <c r="AK1332" s="4">
        <v>11</v>
      </c>
      <c r="AL1332" s="4">
        <v>2</v>
      </c>
      <c r="AM1332" s="4">
        <v>2</v>
      </c>
      <c r="AN1332" s="4">
        <v>0</v>
      </c>
      <c r="AO1332" s="4">
        <v>0</v>
      </c>
      <c r="AP1332" s="3" t="s">
        <v>58</v>
      </c>
      <c r="AQ1332" s="3" t="s">
        <v>58</v>
      </c>
      <c r="AS1332" s="6" t="str">
        <f>HYPERLINK("https://creighton-primo.hosted.exlibrisgroup.com/primo-explore/search?tab=default_tab&amp;search_scope=EVERYTHING&amp;vid=01CRU&amp;lang=en_US&amp;offset=0&amp;query=any,contains,991000792079702656","Catalog Record")</f>
        <v>Catalog Record</v>
      </c>
      <c r="AT1332" s="6" t="str">
        <f>HYPERLINK("http://www.worldcat.org/oclc/13159091","WorldCat Record")</f>
        <v>WorldCat Record</v>
      </c>
      <c r="AU1332" s="3" t="s">
        <v>17058</v>
      </c>
      <c r="AV1332" s="3" t="s">
        <v>17059</v>
      </c>
      <c r="AW1332" s="3" t="s">
        <v>17060</v>
      </c>
      <c r="AX1332" s="3" t="s">
        <v>17060</v>
      </c>
      <c r="AY1332" s="3" t="s">
        <v>17061</v>
      </c>
      <c r="AZ1332" s="3" t="s">
        <v>74</v>
      </c>
      <c r="BB1332" s="3" t="s">
        <v>17062</v>
      </c>
      <c r="BC1332" s="3" t="s">
        <v>17063</v>
      </c>
      <c r="BD1332" s="3" t="s">
        <v>17064</v>
      </c>
    </row>
    <row r="1333" spans="1:56" ht="42.75" customHeight="1" x14ac:dyDescent="0.25">
      <c r="A1333" s="7" t="s">
        <v>58</v>
      </c>
      <c r="B1333" s="2" t="s">
        <v>17065</v>
      </c>
      <c r="C1333" s="2" t="s">
        <v>17066</v>
      </c>
      <c r="D1333" s="2" t="s">
        <v>17067</v>
      </c>
      <c r="F1333" s="3" t="s">
        <v>58</v>
      </c>
      <c r="G1333" s="3" t="s">
        <v>59</v>
      </c>
      <c r="H1333" s="3" t="s">
        <v>58</v>
      </c>
      <c r="I1333" s="3" t="s">
        <v>58</v>
      </c>
      <c r="J1333" s="3" t="s">
        <v>60</v>
      </c>
      <c r="K1333" s="2" t="s">
        <v>17068</v>
      </c>
      <c r="L1333" s="2" t="s">
        <v>17069</v>
      </c>
      <c r="M1333" s="3" t="s">
        <v>371</v>
      </c>
      <c r="O1333" s="3" t="s">
        <v>64</v>
      </c>
      <c r="P1333" s="3" t="s">
        <v>115</v>
      </c>
      <c r="Q1333" s="2" t="s">
        <v>17070</v>
      </c>
      <c r="R1333" s="3" t="s">
        <v>67</v>
      </c>
      <c r="S1333" s="4">
        <v>6</v>
      </c>
      <c r="T1333" s="4">
        <v>6</v>
      </c>
      <c r="U1333" s="5" t="s">
        <v>17071</v>
      </c>
      <c r="V1333" s="5" t="s">
        <v>17071</v>
      </c>
      <c r="W1333" s="5" t="s">
        <v>17072</v>
      </c>
      <c r="X1333" s="5" t="s">
        <v>17072</v>
      </c>
      <c r="Y1333" s="4">
        <v>606</v>
      </c>
      <c r="Z1333" s="4">
        <v>535</v>
      </c>
      <c r="AA1333" s="4">
        <v>541</v>
      </c>
      <c r="AB1333" s="4">
        <v>4</v>
      </c>
      <c r="AC1333" s="4">
        <v>4</v>
      </c>
      <c r="AD1333" s="4">
        <v>21</v>
      </c>
      <c r="AE1333" s="4">
        <v>21</v>
      </c>
      <c r="AF1333" s="4">
        <v>6</v>
      </c>
      <c r="AG1333" s="4">
        <v>6</v>
      </c>
      <c r="AH1333" s="4">
        <v>5</v>
      </c>
      <c r="AI1333" s="4">
        <v>5</v>
      </c>
      <c r="AJ1333" s="4">
        <v>11</v>
      </c>
      <c r="AK1333" s="4">
        <v>11</v>
      </c>
      <c r="AL1333" s="4">
        <v>3</v>
      </c>
      <c r="AM1333" s="4">
        <v>3</v>
      </c>
      <c r="AN1333" s="4">
        <v>0</v>
      </c>
      <c r="AO1333" s="4">
        <v>0</v>
      </c>
      <c r="AP1333" s="3" t="s">
        <v>58</v>
      </c>
      <c r="AQ1333" s="3" t="s">
        <v>86</v>
      </c>
      <c r="AR1333" s="6" t="str">
        <f>HYPERLINK("http://catalog.hathitrust.org/Record/000468884","HathiTrust Record")</f>
        <v>HathiTrust Record</v>
      </c>
      <c r="AS1333" s="6" t="str">
        <f>HYPERLINK("https://creighton-primo.hosted.exlibrisgroup.com/primo-explore/search?tab=default_tab&amp;search_scope=EVERYTHING&amp;vid=01CRU&amp;lang=en_US&amp;offset=0&amp;query=any,contains,991000685889702656","Catalog Record")</f>
        <v>Catalog Record</v>
      </c>
      <c r="AT1333" s="6" t="str">
        <f>HYPERLINK("http://www.worldcat.org/oclc/12420786","WorldCat Record")</f>
        <v>WorldCat Record</v>
      </c>
      <c r="AU1333" s="3" t="s">
        <v>17073</v>
      </c>
      <c r="AV1333" s="3" t="s">
        <v>17074</v>
      </c>
      <c r="AW1333" s="3" t="s">
        <v>17075</v>
      </c>
      <c r="AX1333" s="3" t="s">
        <v>17075</v>
      </c>
      <c r="AY1333" s="3" t="s">
        <v>17076</v>
      </c>
      <c r="AZ1333" s="3" t="s">
        <v>74</v>
      </c>
      <c r="BB1333" s="3" t="s">
        <v>17077</v>
      </c>
      <c r="BC1333" s="3" t="s">
        <v>17078</v>
      </c>
      <c r="BD1333" s="3" t="s">
        <v>17079</v>
      </c>
    </row>
    <row r="1334" spans="1:56" ht="42.75" customHeight="1" x14ac:dyDescent="0.25">
      <c r="A1334" s="7" t="s">
        <v>58</v>
      </c>
      <c r="B1334" s="2" t="s">
        <v>17080</v>
      </c>
      <c r="C1334" s="2" t="s">
        <v>17081</v>
      </c>
      <c r="D1334" s="2" t="s">
        <v>17082</v>
      </c>
      <c r="F1334" s="3" t="s">
        <v>58</v>
      </c>
      <c r="G1334" s="3" t="s">
        <v>59</v>
      </c>
      <c r="H1334" s="3" t="s">
        <v>58</v>
      </c>
      <c r="I1334" s="3" t="s">
        <v>58</v>
      </c>
      <c r="J1334" s="3" t="s">
        <v>60</v>
      </c>
      <c r="L1334" s="2" t="s">
        <v>17083</v>
      </c>
      <c r="M1334" s="3" t="s">
        <v>238</v>
      </c>
      <c r="O1334" s="3" t="s">
        <v>64</v>
      </c>
      <c r="P1334" s="3" t="s">
        <v>208</v>
      </c>
      <c r="R1334" s="3" t="s">
        <v>67</v>
      </c>
      <c r="S1334" s="4">
        <v>11</v>
      </c>
      <c r="T1334" s="4">
        <v>11</v>
      </c>
      <c r="U1334" s="5" t="s">
        <v>16987</v>
      </c>
      <c r="V1334" s="5" t="s">
        <v>16987</v>
      </c>
      <c r="W1334" s="5" t="s">
        <v>17084</v>
      </c>
      <c r="X1334" s="5" t="s">
        <v>17084</v>
      </c>
      <c r="Y1334" s="4">
        <v>413</v>
      </c>
      <c r="Z1334" s="4">
        <v>352</v>
      </c>
      <c r="AA1334" s="4">
        <v>356</v>
      </c>
      <c r="AB1334" s="4">
        <v>3</v>
      </c>
      <c r="AC1334" s="4">
        <v>3</v>
      </c>
      <c r="AD1334" s="4">
        <v>14</v>
      </c>
      <c r="AE1334" s="4">
        <v>14</v>
      </c>
      <c r="AF1334" s="4">
        <v>4</v>
      </c>
      <c r="AG1334" s="4">
        <v>4</v>
      </c>
      <c r="AH1334" s="4">
        <v>3</v>
      </c>
      <c r="AI1334" s="4">
        <v>3</v>
      </c>
      <c r="AJ1334" s="4">
        <v>8</v>
      </c>
      <c r="AK1334" s="4">
        <v>8</v>
      </c>
      <c r="AL1334" s="4">
        <v>2</v>
      </c>
      <c r="AM1334" s="4">
        <v>2</v>
      </c>
      <c r="AN1334" s="4">
        <v>0</v>
      </c>
      <c r="AO1334" s="4">
        <v>0</v>
      </c>
      <c r="AP1334" s="3" t="s">
        <v>58</v>
      </c>
      <c r="AQ1334" s="3" t="s">
        <v>86</v>
      </c>
      <c r="AR1334" s="6" t="str">
        <f>HYPERLINK("http://catalog.hathitrust.org/Record/000031764","HathiTrust Record")</f>
        <v>HathiTrust Record</v>
      </c>
      <c r="AS1334" s="6" t="str">
        <f>HYPERLINK("https://creighton-primo.hosted.exlibrisgroup.com/primo-explore/search?tab=default_tab&amp;search_scope=EVERYTHING&amp;vid=01CRU&amp;lang=en_US&amp;offset=0&amp;query=any,contains,991004572139702656","Catalog Record")</f>
        <v>Catalog Record</v>
      </c>
      <c r="AT1334" s="6" t="str">
        <f>HYPERLINK("http://www.worldcat.org/oclc/4036310","WorldCat Record")</f>
        <v>WorldCat Record</v>
      </c>
      <c r="AU1334" s="3" t="s">
        <v>17085</v>
      </c>
      <c r="AV1334" s="3" t="s">
        <v>17086</v>
      </c>
      <c r="AW1334" s="3" t="s">
        <v>17087</v>
      </c>
      <c r="AX1334" s="3" t="s">
        <v>17087</v>
      </c>
      <c r="AY1334" s="3" t="s">
        <v>17088</v>
      </c>
      <c r="AZ1334" s="3" t="s">
        <v>74</v>
      </c>
      <c r="BB1334" s="3" t="s">
        <v>17089</v>
      </c>
      <c r="BC1334" s="3" t="s">
        <v>17090</v>
      </c>
      <c r="BD1334" s="3" t="s">
        <v>17091</v>
      </c>
    </row>
    <row r="1335" spans="1:56" ht="42.75" customHeight="1" x14ac:dyDescent="0.25">
      <c r="A1335" s="7" t="s">
        <v>58</v>
      </c>
      <c r="B1335" s="2" t="s">
        <v>17092</v>
      </c>
      <c r="C1335" s="2" t="s">
        <v>17093</v>
      </c>
      <c r="D1335" s="2" t="s">
        <v>17094</v>
      </c>
      <c r="F1335" s="3" t="s">
        <v>58</v>
      </c>
      <c r="G1335" s="3" t="s">
        <v>59</v>
      </c>
      <c r="H1335" s="3" t="s">
        <v>86</v>
      </c>
      <c r="I1335" s="3" t="s">
        <v>58</v>
      </c>
      <c r="J1335" s="3" t="s">
        <v>60</v>
      </c>
      <c r="L1335" s="2" t="s">
        <v>17095</v>
      </c>
      <c r="M1335" s="3" t="s">
        <v>3914</v>
      </c>
      <c r="O1335" s="3" t="s">
        <v>64</v>
      </c>
      <c r="P1335" s="3" t="s">
        <v>115</v>
      </c>
      <c r="Q1335" s="2" t="s">
        <v>17096</v>
      </c>
      <c r="R1335" s="3" t="s">
        <v>67</v>
      </c>
      <c r="S1335" s="4">
        <v>4</v>
      </c>
      <c r="T1335" s="4">
        <v>4</v>
      </c>
      <c r="U1335" s="5" t="s">
        <v>17097</v>
      </c>
      <c r="V1335" s="5" t="s">
        <v>17097</v>
      </c>
      <c r="W1335" s="5" t="s">
        <v>5073</v>
      </c>
      <c r="X1335" s="5" t="s">
        <v>5073</v>
      </c>
      <c r="Y1335" s="4">
        <v>428</v>
      </c>
      <c r="Z1335" s="4">
        <v>319</v>
      </c>
      <c r="AA1335" s="4">
        <v>326</v>
      </c>
      <c r="AB1335" s="4">
        <v>3</v>
      </c>
      <c r="AC1335" s="4">
        <v>3</v>
      </c>
      <c r="AD1335" s="4">
        <v>9</v>
      </c>
      <c r="AE1335" s="4">
        <v>9</v>
      </c>
      <c r="AF1335" s="4">
        <v>3</v>
      </c>
      <c r="AG1335" s="4">
        <v>3</v>
      </c>
      <c r="AH1335" s="4">
        <v>1</v>
      </c>
      <c r="AI1335" s="4">
        <v>1</v>
      </c>
      <c r="AJ1335" s="4">
        <v>6</v>
      </c>
      <c r="AK1335" s="4">
        <v>6</v>
      </c>
      <c r="AL1335" s="4">
        <v>1</v>
      </c>
      <c r="AM1335" s="4">
        <v>1</v>
      </c>
      <c r="AN1335" s="4">
        <v>0</v>
      </c>
      <c r="AO1335" s="4">
        <v>0</v>
      </c>
      <c r="AP1335" s="3" t="s">
        <v>58</v>
      </c>
      <c r="AQ1335" s="3" t="s">
        <v>86</v>
      </c>
      <c r="AR1335" s="6" t="str">
        <f>HYPERLINK("http://catalog.hathitrust.org/Record/000736181","HathiTrust Record")</f>
        <v>HathiTrust Record</v>
      </c>
      <c r="AS1335" s="6" t="str">
        <f>HYPERLINK("https://creighton-primo.hosted.exlibrisgroup.com/primo-explore/search?tab=default_tab&amp;search_scope=EVERYTHING&amp;vid=01CRU&amp;lang=en_US&amp;offset=0&amp;query=any,contains,991001767289702656","Catalog Record")</f>
        <v>Catalog Record</v>
      </c>
      <c r="AT1335" s="6" t="str">
        <f>HYPERLINK("http://www.worldcat.org/oclc/2326408","WorldCat Record")</f>
        <v>WorldCat Record</v>
      </c>
      <c r="AU1335" s="3" t="s">
        <v>17098</v>
      </c>
      <c r="AV1335" s="3" t="s">
        <v>17099</v>
      </c>
      <c r="AW1335" s="3" t="s">
        <v>17100</v>
      </c>
      <c r="AX1335" s="3" t="s">
        <v>17100</v>
      </c>
      <c r="AY1335" s="3" t="s">
        <v>17101</v>
      </c>
      <c r="AZ1335" s="3" t="s">
        <v>74</v>
      </c>
      <c r="BB1335" s="3" t="s">
        <v>17102</v>
      </c>
      <c r="BC1335" s="3" t="s">
        <v>17103</v>
      </c>
      <c r="BD1335" s="3" t="s">
        <v>17104</v>
      </c>
    </row>
    <row r="1336" spans="1:56" ht="42.75" customHeight="1" x14ac:dyDescent="0.25">
      <c r="A1336" s="7" t="s">
        <v>58</v>
      </c>
      <c r="B1336" s="2" t="s">
        <v>17105</v>
      </c>
      <c r="C1336" s="2" t="s">
        <v>17106</v>
      </c>
      <c r="D1336" s="2" t="s">
        <v>17107</v>
      </c>
      <c r="F1336" s="3" t="s">
        <v>58</v>
      </c>
      <c r="G1336" s="3" t="s">
        <v>59</v>
      </c>
      <c r="H1336" s="3" t="s">
        <v>58</v>
      </c>
      <c r="I1336" s="3" t="s">
        <v>58</v>
      </c>
      <c r="J1336" s="3" t="s">
        <v>60</v>
      </c>
      <c r="K1336" s="2" t="s">
        <v>17108</v>
      </c>
      <c r="L1336" s="2" t="s">
        <v>7692</v>
      </c>
      <c r="M1336" s="3" t="s">
        <v>238</v>
      </c>
      <c r="O1336" s="3" t="s">
        <v>64</v>
      </c>
      <c r="P1336" s="3" t="s">
        <v>115</v>
      </c>
      <c r="R1336" s="3" t="s">
        <v>67</v>
      </c>
      <c r="S1336" s="4">
        <v>3</v>
      </c>
      <c r="T1336" s="4">
        <v>3</v>
      </c>
      <c r="U1336" s="5" t="s">
        <v>5690</v>
      </c>
      <c r="V1336" s="5" t="s">
        <v>5690</v>
      </c>
      <c r="W1336" s="5" t="s">
        <v>2584</v>
      </c>
      <c r="X1336" s="5" t="s">
        <v>2584</v>
      </c>
      <c r="Y1336" s="4">
        <v>580</v>
      </c>
      <c r="Z1336" s="4">
        <v>467</v>
      </c>
      <c r="AA1336" s="4">
        <v>474</v>
      </c>
      <c r="AB1336" s="4">
        <v>5</v>
      </c>
      <c r="AC1336" s="4">
        <v>5</v>
      </c>
      <c r="AD1336" s="4">
        <v>20</v>
      </c>
      <c r="AE1336" s="4">
        <v>20</v>
      </c>
      <c r="AF1336" s="4">
        <v>5</v>
      </c>
      <c r="AG1336" s="4">
        <v>5</v>
      </c>
      <c r="AH1336" s="4">
        <v>4</v>
      </c>
      <c r="AI1336" s="4">
        <v>4</v>
      </c>
      <c r="AJ1336" s="4">
        <v>12</v>
      </c>
      <c r="AK1336" s="4">
        <v>12</v>
      </c>
      <c r="AL1336" s="4">
        <v>4</v>
      </c>
      <c r="AM1336" s="4">
        <v>4</v>
      </c>
      <c r="AN1336" s="4">
        <v>0</v>
      </c>
      <c r="AO1336" s="4">
        <v>0</v>
      </c>
      <c r="AP1336" s="3" t="s">
        <v>58</v>
      </c>
      <c r="AQ1336" s="3" t="s">
        <v>86</v>
      </c>
      <c r="AR1336" s="6" t="str">
        <f>HYPERLINK("http://catalog.hathitrust.org/Record/000037377","HathiTrust Record")</f>
        <v>HathiTrust Record</v>
      </c>
      <c r="AS1336" s="6" t="str">
        <f>HYPERLINK("https://creighton-primo.hosted.exlibrisgroup.com/primo-explore/search?tab=default_tab&amp;search_scope=EVERYTHING&amp;vid=01CRU&amp;lang=en_US&amp;offset=0&amp;query=any,contains,991004812049702656","Catalog Record")</f>
        <v>Catalog Record</v>
      </c>
      <c r="AT1336" s="6" t="str">
        <f>HYPERLINK("http://www.worldcat.org/oclc/5285972","WorldCat Record")</f>
        <v>WorldCat Record</v>
      </c>
      <c r="AU1336" s="3" t="s">
        <v>17109</v>
      </c>
      <c r="AV1336" s="3" t="s">
        <v>17110</v>
      </c>
      <c r="AW1336" s="3" t="s">
        <v>17111</v>
      </c>
      <c r="AX1336" s="3" t="s">
        <v>17111</v>
      </c>
      <c r="AY1336" s="3" t="s">
        <v>17112</v>
      </c>
      <c r="AZ1336" s="3" t="s">
        <v>74</v>
      </c>
      <c r="BB1336" s="3" t="s">
        <v>17113</v>
      </c>
      <c r="BC1336" s="3" t="s">
        <v>17114</v>
      </c>
      <c r="BD1336" s="3" t="s">
        <v>17115</v>
      </c>
    </row>
    <row r="1337" spans="1:56" ht="42.75" customHeight="1" x14ac:dyDescent="0.25">
      <c r="A1337" s="7" t="s">
        <v>58</v>
      </c>
      <c r="B1337" s="2" t="s">
        <v>17116</v>
      </c>
      <c r="C1337" s="2" t="s">
        <v>17117</v>
      </c>
      <c r="D1337" s="2" t="s">
        <v>17118</v>
      </c>
      <c r="F1337" s="3" t="s">
        <v>58</v>
      </c>
      <c r="G1337" s="3" t="s">
        <v>59</v>
      </c>
      <c r="H1337" s="3" t="s">
        <v>58</v>
      </c>
      <c r="I1337" s="3" t="s">
        <v>86</v>
      </c>
      <c r="J1337" s="3" t="s">
        <v>60</v>
      </c>
      <c r="K1337" s="2" t="s">
        <v>17119</v>
      </c>
      <c r="L1337" s="2" t="s">
        <v>17120</v>
      </c>
      <c r="M1337" s="3" t="s">
        <v>144</v>
      </c>
      <c r="N1337" s="2" t="s">
        <v>17121</v>
      </c>
      <c r="O1337" s="3" t="s">
        <v>64</v>
      </c>
      <c r="P1337" s="3" t="s">
        <v>115</v>
      </c>
      <c r="R1337" s="3" t="s">
        <v>67</v>
      </c>
      <c r="S1337" s="4">
        <v>2</v>
      </c>
      <c r="T1337" s="4">
        <v>2</v>
      </c>
      <c r="U1337" s="5" t="s">
        <v>17122</v>
      </c>
      <c r="V1337" s="5" t="s">
        <v>17122</v>
      </c>
      <c r="W1337" s="5" t="s">
        <v>17123</v>
      </c>
      <c r="X1337" s="5" t="s">
        <v>17123</v>
      </c>
      <c r="Y1337" s="4">
        <v>120</v>
      </c>
      <c r="Z1337" s="4">
        <v>105</v>
      </c>
      <c r="AA1337" s="4">
        <v>598</v>
      </c>
      <c r="AB1337" s="4">
        <v>1</v>
      </c>
      <c r="AC1337" s="4">
        <v>4</v>
      </c>
      <c r="AD1337" s="4">
        <v>2</v>
      </c>
      <c r="AE1337" s="4">
        <v>16</v>
      </c>
      <c r="AF1337" s="4">
        <v>0</v>
      </c>
      <c r="AG1337" s="4">
        <v>4</v>
      </c>
      <c r="AH1337" s="4">
        <v>0</v>
      </c>
      <c r="AI1337" s="4">
        <v>4</v>
      </c>
      <c r="AJ1337" s="4">
        <v>2</v>
      </c>
      <c r="AK1337" s="4">
        <v>9</v>
      </c>
      <c r="AL1337" s="4">
        <v>0</v>
      </c>
      <c r="AM1337" s="4">
        <v>2</v>
      </c>
      <c r="AN1337" s="4">
        <v>0</v>
      </c>
      <c r="AO1337" s="4">
        <v>0</v>
      </c>
      <c r="AP1337" s="3" t="s">
        <v>58</v>
      </c>
      <c r="AQ1337" s="3" t="s">
        <v>58</v>
      </c>
      <c r="AS1337" s="6" t="str">
        <f>HYPERLINK("https://creighton-primo.hosted.exlibrisgroup.com/primo-explore/search?tab=default_tab&amp;search_scope=EVERYTHING&amp;vid=01CRU&amp;lang=en_US&amp;offset=0&amp;query=any,contains,991002695139702656","Catalog Record")</f>
        <v>Catalog Record</v>
      </c>
      <c r="AT1337" s="6" t="str">
        <f>HYPERLINK("http://www.worldcat.org/oclc/35192311","WorldCat Record")</f>
        <v>WorldCat Record</v>
      </c>
      <c r="AU1337" s="3" t="s">
        <v>17124</v>
      </c>
      <c r="AV1337" s="3" t="s">
        <v>17125</v>
      </c>
      <c r="AW1337" s="3" t="s">
        <v>17126</v>
      </c>
      <c r="AX1337" s="3" t="s">
        <v>17126</v>
      </c>
      <c r="AY1337" s="3" t="s">
        <v>17127</v>
      </c>
      <c r="AZ1337" s="3" t="s">
        <v>74</v>
      </c>
      <c r="BB1337" s="3" t="s">
        <v>17128</v>
      </c>
      <c r="BC1337" s="3" t="s">
        <v>17129</v>
      </c>
      <c r="BD1337" s="3" t="s">
        <v>17130</v>
      </c>
    </row>
    <row r="1338" spans="1:56" ht="42.75" customHeight="1" x14ac:dyDescent="0.25">
      <c r="A1338" s="7" t="s">
        <v>58</v>
      </c>
      <c r="B1338" s="2" t="s">
        <v>17131</v>
      </c>
      <c r="C1338" s="2" t="s">
        <v>17132</v>
      </c>
      <c r="D1338" s="2" t="s">
        <v>17133</v>
      </c>
      <c r="F1338" s="3" t="s">
        <v>58</v>
      </c>
      <c r="G1338" s="3" t="s">
        <v>59</v>
      </c>
      <c r="H1338" s="3" t="s">
        <v>58</v>
      </c>
      <c r="I1338" s="3" t="s">
        <v>58</v>
      </c>
      <c r="J1338" s="3" t="s">
        <v>60</v>
      </c>
      <c r="K1338" s="2" t="s">
        <v>17134</v>
      </c>
      <c r="L1338" s="2" t="s">
        <v>17135</v>
      </c>
      <c r="M1338" s="3" t="s">
        <v>586</v>
      </c>
      <c r="N1338" s="2" t="s">
        <v>1736</v>
      </c>
      <c r="O1338" s="3" t="s">
        <v>64</v>
      </c>
      <c r="P1338" s="3" t="s">
        <v>115</v>
      </c>
      <c r="R1338" s="3" t="s">
        <v>67</v>
      </c>
      <c r="S1338" s="4">
        <v>10</v>
      </c>
      <c r="T1338" s="4">
        <v>10</v>
      </c>
      <c r="U1338" s="5" t="s">
        <v>17136</v>
      </c>
      <c r="V1338" s="5" t="s">
        <v>17136</v>
      </c>
      <c r="W1338" s="5" t="s">
        <v>4552</v>
      </c>
      <c r="X1338" s="5" t="s">
        <v>4552</v>
      </c>
      <c r="Y1338" s="4">
        <v>659</v>
      </c>
      <c r="Z1338" s="4">
        <v>553</v>
      </c>
      <c r="AA1338" s="4">
        <v>569</v>
      </c>
      <c r="AB1338" s="4">
        <v>6</v>
      </c>
      <c r="AC1338" s="4">
        <v>6</v>
      </c>
      <c r="AD1338" s="4">
        <v>16</v>
      </c>
      <c r="AE1338" s="4">
        <v>16</v>
      </c>
      <c r="AF1338" s="4">
        <v>5</v>
      </c>
      <c r="AG1338" s="4">
        <v>5</v>
      </c>
      <c r="AH1338" s="4">
        <v>3</v>
      </c>
      <c r="AI1338" s="4">
        <v>3</v>
      </c>
      <c r="AJ1338" s="4">
        <v>8</v>
      </c>
      <c r="AK1338" s="4">
        <v>8</v>
      </c>
      <c r="AL1338" s="4">
        <v>4</v>
      </c>
      <c r="AM1338" s="4">
        <v>4</v>
      </c>
      <c r="AN1338" s="4">
        <v>0</v>
      </c>
      <c r="AO1338" s="4">
        <v>0</v>
      </c>
      <c r="AP1338" s="3" t="s">
        <v>58</v>
      </c>
      <c r="AQ1338" s="3" t="s">
        <v>58</v>
      </c>
      <c r="AS1338" s="6" t="str">
        <f>HYPERLINK("https://creighton-primo.hosted.exlibrisgroup.com/primo-explore/search?tab=default_tab&amp;search_scope=EVERYTHING&amp;vid=01CRU&amp;lang=en_US&amp;offset=0&amp;query=any,contains,991001855989702656","Catalog Record")</f>
        <v>Catalog Record</v>
      </c>
      <c r="AT1338" s="6" t="str">
        <f>HYPERLINK("http://www.worldcat.org/oclc/23287102","WorldCat Record")</f>
        <v>WorldCat Record</v>
      </c>
      <c r="AU1338" s="3" t="s">
        <v>17137</v>
      </c>
      <c r="AV1338" s="3" t="s">
        <v>17138</v>
      </c>
      <c r="AW1338" s="3" t="s">
        <v>17139</v>
      </c>
      <c r="AX1338" s="3" t="s">
        <v>17139</v>
      </c>
      <c r="AY1338" s="3" t="s">
        <v>17140</v>
      </c>
      <c r="AZ1338" s="3" t="s">
        <v>74</v>
      </c>
      <c r="BB1338" s="3" t="s">
        <v>17141</v>
      </c>
      <c r="BC1338" s="3" t="s">
        <v>17142</v>
      </c>
      <c r="BD1338" s="3" t="s">
        <v>17143</v>
      </c>
    </row>
    <row r="1339" spans="1:56" ht="42.75" customHeight="1" x14ac:dyDescent="0.25">
      <c r="A1339" s="7" t="s">
        <v>58</v>
      </c>
      <c r="B1339" s="2" t="s">
        <v>17144</v>
      </c>
      <c r="C1339" s="2" t="s">
        <v>17145</v>
      </c>
      <c r="D1339" s="2" t="s">
        <v>17146</v>
      </c>
      <c r="F1339" s="3" t="s">
        <v>58</v>
      </c>
      <c r="G1339" s="3" t="s">
        <v>59</v>
      </c>
      <c r="H1339" s="3" t="s">
        <v>58</v>
      </c>
      <c r="I1339" s="3" t="s">
        <v>58</v>
      </c>
      <c r="J1339" s="3" t="s">
        <v>60</v>
      </c>
      <c r="K1339" s="2" t="s">
        <v>17147</v>
      </c>
      <c r="L1339" s="2" t="s">
        <v>17148</v>
      </c>
      <c r="M1339" s="3" t="s">
        <v>1035</v>
      </c>
      <c r="N1339" s="2" t="s">
        <v>9332</v>
      </c>
      <c r="O1339" s="3" t="s">
        <v>64</v>
      </c>
      <c r="P1339" s="3" t="s">
        <v>115</v>
      </c>
      <c r="R1339" s="3" t="s">
        <v>67</v>
      </c>
      <c r="S1339" s="4">
        <v>2</v>
      </c>
      <c r="T1339" s="4">
        <v>2</v>
      </c>
      <c r="U1339" s="5" t="s">
        <v>16718</v>
      </c>
      <c r="V1339" s="5" t="s">
        <v>16718</v>
      </c>
      <c r="W1339" s="5" t="s">
        <v>6317</v>
      </c>
      <c r="X1339" s="5" t="s">
        <v>6317</v>
      </c>
      <c r="Y1339" s="4">
        <v>269</v>
      </c>
      <c r="Z1339" s="4">
        <v>240</v>
      </c>
      <c r="AA1339" s="4">
        <v>995</v>
      </c>
      <c r="AB1339" s="4">
        <v>3</v>
      </c>
      <c r="AC1339" s="4">
        <v>13</v>
      </c>
      <c r="AD1339" s="4">
        <v>6</v>
      </c>
      <c r="AE1339" s="4">
        <v>17</v>
      </c>
      <c r="AF1339" s="4">
        <v>2</v>
      </c>
      <c r="AG1339" s="4">
        <v>4</v>
      </c>
      <c r="AH1339" s="4">
        <v>0</v>
      </c>
      <c r="AI1339" s="4">
        <v>1</v>
      </c>
      <c r="AJ1339" s="4">
        <v>3</v>
      </c>
      <c r="AK1339" s="4">
        <v>7</v>
      </c>
      <c r="AL1339" s="4">
        <v>2</v>
      </c>
      <c r="AM1339" s="4">
        <v>7</v>
      </c>
      <c r="AN1339" s="4">
        <v>0</v>
      </c>
      <c r="AO1339" s="4">
        <v>0</v>
      </c>
      <c r="AP1339" s="3" t="s">
        <v>58</v>
      </c>
      <c r="AQ1339" s="3" t="s">
        <v>58</v>
      </c>
      <c r="AS1339" s="6" t="str">
        <f>HYPERLINK("https://creighton-primo.hosted.exlibrisgroup.com/primo-explore/search?tab=default_tab&amp;search_scope=EVERYTHING&amp;vid=01CRU&amp;lang=en_US&amp;offset=0&amp;query=any,contains,991005049599702656","Catalog Record")</f>
        <v>Catalog Record</v>
      </c>
      <c r="AT1339" s="6" t="str">
        <f>HYPERLINK("http://www.worldcat.org/oclc/46402842","WorldCat Record")</f>
        <v>WorldCat Record</v>
      </c>
      <c r="AU1339" s="3" t="s">
        <v>17149</v>
      </c>
      <c r="AV1339" s="3" t="s">
        <v>17150</v>
      </c>
      <c r="AW1339" s="3" t="s">
        <v>17151</v>
      </c>
      <c r="AX1339" s="3" t="s">
        <v>17151</v>
      </c>
      <c r="AY1339" s="3" t="s">
        <v>17152</v>
      </c>
      <c r="AZ1339" s="3" t="s">
        <v>74</v>
      </c>
      <c r="BB1339" s="3" t="s">
        <v>17153</v>
      </c>
      <c r="BC1339" s="3" t="s">
        <v>17154</v>
      </c>
      <c r="BD1339" s="3" t="s">
        <v>17155</v>
      </c>
    </row>
    <row r="1340" spans="1:56" ht="42.75" customHeight="1" x14ac:dyDescent="0.25">
      <c r="A1340" s="7" t="s">
        <v>58</v>
      </c>
      <c r="B1340" s="2" t="s">
        <v>17156</v>
      </c>
      <c r="C1340" s="2" t="s">
        <v>17157</v>
      </c>
      <c r="D1340" s="2" t="s">
        <v>17158</v>
      </c>
      <c r="F1340" s="3" t="s">
        <v>58</v>
      </c>
      <c r="G1340" s="3" t="s">
        <v>59</v>
      </c>
      <c r="H1340" s="3" t="s">
        <v>58</v>
      </c>
      <c r="I1340" s="3" t="s">
        <v>58</v>
      </c>
      <c r="J1340" s="3" t="s">
        <v>60</v>
      </c>
      <c r="K1340" s="2" t="s">
        <v>9598</v>
      </c>
      <c r="L1340" s="2" t="s">
        <v>17159</v>
      </c>
      <c r="M1340" s="3" t="s">
        <v>805</v>
      </c>
      <c r="N1340" s="2" t="s">
        <v>1736</v>
      </c>
      <c r="O1340" s="3" t="s">
        <v>64</v>
      </c>
      <c r="P1340" s="3" t="s">
        <v>145</v>
      </c>
      <c r="R1340" s="3" t="s">
        <v>67</v>
      </c>
      <c r="S1340" s="4">
        <v>4</v>
      </c>
      <c r="T1340" s="4">
        <v>4</v>
      </c>
      <c r="U1340" s="5" t="s">
        <v>17160</v>
      </c>
      <c r="V1340" s="5" t="s">
        <v>17160</v>
      </c>
      <c r="W1340" s="5" t="s">
        <v>17161</v>
      </c>
      <c r="X1340" s="5" t="s">
        <v>17161</v>
      </c>
      <c r="Y1340" s="4">
        <v>779</v>
      </c>
      <c r="Z1340" s="4">
        <v>684</v>
      </c>
      <c r="AA1340" s="4">
        <v>742</v>
      </c>
      <c r="AB1340" s="4">
        <v>4</v>
      </c>
      <c r="AC1340" s="4">
        <v>5</v>
      </c>
      <c r="AD1340" s="4">
        <v>38</v>
      </c>
      <c r="AE1340" s="4">
        <v>41</v>
      </c>
      <c r="AF1340" s="4">
        <v>15</v>
      </c>
      <c r="AG1340" s="4">
        <v>17</v>
      </c>
      <c r="AH1340" s="4">
        <v>6</v>
      </c>
      <c r="AI1340" s="4">
        <v>6</v>
      </c>
      <c r="AJ1340" s="4">
        <v>18</v>
      </c>
      <c r="AK1340" s="4">
        <v>18</v>
      </c>
      <c r="AL1340" s="4">
        <v>3</v>
      </c>
      <c r="AM1340" s="4">
        <v>4</v>
      </c>
      <c r="AN1340" s="4">
        <v>5</v>
      </c>
      <c r="AO1340" s="4">
        <v>5</v>
      </c>
      <c r="AP1340" s="3" t="s">
        <v>58</v>
      </c>
      <c r="AQ1340" s="3" t="s">
        <v>58</v>
      </c>
      <c r="AS1340" s="6" t="str">
        <f>HYPERLINK("https://creighton-primo.hosted.exlibrisgroup.com/primo-explore/search?tab=default_tab&amp;search_scope=EVERYTHING&amp;vid=01CRU&amp;lang=en_US&amp;offset=0&amp;query=any,contains,991004265339702656","Catalog Record")</f>
        <v>Catalog Record</v>
      </c>
      <c r="AT1340" s="6" t="str">
        <f>HYPERLINK("http://www.worldcat.org/oclc/35121783","WorldCat Record")</f>
        <v>WorldCat Record</v>
      </c>
      <c r="AU1340" s="3" t="s">
        <v>17162</v>
      </c>
      <c r="AV1340" s="3" t="s">
        <v>17163</v>
      </c>
      <c r="AW1340" s="3" t="s">
        <v>17164</v>
      </c>
      <c r="AX1340" s="3" t="s">
        <v>17164</v>
      </c>
      <c r="AY1340" s="3" t="s">
        <v>17165</v>
      </c>
      <c r="AZ1340" s="3" t="s">
        <v>74</v>
      </c>
      <c r="BB1340" s="3" t="s">
        <v>17166</v>
      </c>
      <c r="BC1340" s="3" t="s">
        <v>17167</v>
      </c>
      <c r="BD1340" s="3" t="s">
        <v>17168</v>
      </c>
    </row>
    <row r="1341" spans="1:56" ht="42.75" customHeight="1" x14ac:dyDescent="0.25">
      <c r="A1341" s="7" t="s">
        <v>58</v>
      </c>
      <c r="B1341" s="2" t="s">
        <v>17169</v>
      </c>
      <c r="C1341" s="2" t="s">
        <v>17170</v>
      </c>
      <c r="D1341" s="2" t="s">
        <v>17171</v>
      </c>
      <c r="F1341" s="3" t="s">
        <v>58</v>
      </c>
      <c r="G1341" s="3" t="s">
        <v>59</v>
      </c>
      <c r="H1341" s="3" t="s">
        <v>58</v>
      </c>
      <c r="I1341" s="3" t="s">
        <v>58</v>
      </c>
      <c r="J1341" s="3" t="s">
        <v>60</v>
      </c>
      <c r="K1341" s="2" t="s">
        <v>17172</v>
      </c>
      <c r="L1341" s="2" t="s">
        <v>17173</v>
      </c>
      <c r="M1341" s="3" t="s">
        <v>737</v>
      </c>
      <c r="O1341" s="3" t="s">
        <v>64</v>
      </c>
      <c r="P1341" s="3" t="s">
        <v>83</v>
      </c>
      <c r="R1341" s="3" t="s">
        <v>67</v>
      </c>
      <c r="S1341" s="4">
        <v>6</v>
      </c>
      <c r="T1341" s="4">
        <v>6</v>
      </c>
      <c r="U1341" s="5" t="s">
        <v>17174</v>
      </c>
      <c r="V1341" s="5" t="s">
        <v>17174</v>
      </c>
      <c r="W1341" s="5" t="s">
        <v>3946</v>
      </c>
      <c r="X1341" s="5" t="s">
        <v>3946</v>
      </c>
      <c r="Y1341" s="4">
        <v>579</v>
      </c>
      <c r="Z1341" s="4">
        <v>511</v>
      </c>
      <c r="AA1341" s="4">
        <v>518</v>
      </c>
      <c r="AB1341" s="4">
        <v>6</v>
      </c>
      <c r="AC1341" s="4">
        <v>6</v>
      </c>
      <c r="AD1341" s="4">
        <v>32</v>
      </c>
      <c r="AE1341" s="4">
        <v>32</v>
      </c>
      <c r="AF1341" s="4">
        <v>12</v>
      </c>
      <c r="AG1341" s="4">
        <v>12</v>
      </c>
      <c r="AH1341" s="4">
        <v>4</v>
      </c>
      <c r="AI1341" s="4">
        <v>4</v>
      </c>
      <c r="AJ1341" s="4">
        <v>16</v>
      </c>
      <c r="AK1341" s="4">
        <v>16</v>
      </c>
      <c r="AL1341" s="4">
        <v>4</v>
      </c>
      <c r="AM1341" s="4">
        <v>4</v>
      </c>
      <c r="AN1341" s="4">
        <v>5</v>
      </c>
      <c r="AO1341" s="4">
        <v>5</v>
      </c>
      <c r="AP1341" s="3" t="s">
        <v>58</v>
      </c>
      <c r="AQ1341" s="3" t="s">
        <v>86</v>
      </c>
      <c r="AR1341" s="6" t="str">
        <f>HYPERLINK("http://catalog.hathitrust.org/Record/002896692","HathiTrust Record")</f>
        <v>HathiTrust Record</v>
      </c>
      <c r="AS1341" s="6" t="str">
        <f>HYPERLINK("https://creighton-primo.hosted.exlibrisgroup.com/primo-explore/search?tab=default_tab&amp;search_scope=EVERYTHING&amp;vid=01CRU&amp;lang=en_US&amp;offset=0&amp;query=any,contains,991002376469702656","Catalog Record")</f>
        <v>Catalog Record</v>
      </c>
      <c r="AT1341" s="6" t="str">
        <f>HYPERLINK("http://www.worldcat.org/oclc/30894975","WorldCat Record")</f>
        <v>WorldCat Record</v>
      </c>
      <c r="AU1341" s="3" t="s">
        <v>17175</v>
      </c>
      <c r="AV1341" s="3" t="s">
        <v>17176</v>
      </c>
      <c r="AW1341" s="3" t="s">
        <v>17177</v>
      </c>
      <c r="AX1341" s="3" t="s">
        <v>17177</v>
      </c>
      <c r="AY1341" s="3" t="s">
        <v>17178</v>
      </c>
      <c r="AZ1341" s="3" t="s">
        <v>74</v>
      </c>
      <c r="BB1341" s="3" t="s">
        <v>17179</v>
      </c>
      <c r="BC1341" s="3" t="s">
        <v>17180</v>
      </c>
      <c r="BD1341" s="3" t="s">
        <v>17181</v>
      </c>
    </row>
    <row r="1342" spans="1:56" ht="42.75" customHeight="1" x14ac:dyDescent="0.25">
      <c r="A1342" s="7" t="s">
        <v>58</v>
      </c>
      <c r="B1342" s="2" t="s">
        <v>17182</v>
      </c>
      <c r="C1342" s="2" t="s">
        <v>17183</v>
      </c>
      <c r="D1342" s="2" t="s">
        <v>17184</v>
      </c>
      <c r="F1342" s="3" t="s">
        <v>58</v>
      </c>
      <c r="G1342" s="3" t="s">
        <v>59</v>
      </c>
      <c r="H1342" s="3" t="s">
        <v>58</v>
      </c>
      <c r="I1342" s="3" t="s">
        <v>58</v>
      </c>
      <c r="J1342" s="3" t="s">
        <v>60</v>
      </c>
      <c r="K1342" s="2" t="s">
        <v>17185</v>
      </c>
      <c r="L1342" s="2" t="s">
        <v>17186</v>
      </c>
      <c r="M1342" s="3" t="s">
        <v>586</v>
      </c>
      <c r="O1342" s="3" t="s">
        <v>64</v>
      </c>
      <c r="P1342" s="3" t="s">
        <v>115</v>
      </c>
      <c r="R1342" s="3" t="s">
        <v>67</v>
      </c>
      <c r="S1342" s="4">
        <v>22</v>
      </c>
      <c r="T1342" s="4">
        <v>22</v>
      </c>
      <c r="U1342" s="5" t="s">
        <v>17187</v>
      </c>
      <c r="V1342" s="5" t="s">
        <v>17187</v>
      </c>
      <c r="W1342" s="5" t="s">
        <v>11655</v>
      </c>
      <c r="X1342" s="5" t="s">
        <v>11655</v>
      </c>
      <c r="Y1342" s="4">
        <v>59</v>
      </c>
      <c r="Z1342" s="4">
        <v>55</v>
      </c>
      <c r="AA1342" s="4">
        <v>672</v>
      </c>
      <c r="AB1342" s="4">
        <v>1</v>
      </c>
      <c r="AC1342" s="4">
        <v>4</v>
      </c>
      <c r="AD1342" s="4">
        <v>4</v>
      </c>
      <c r="AE1342" s="4">
        <v>16</v>
      </c>
      <c r="AF1342" s="4">
        <v>2</v>
      </c>
      <c r="AG1342" s="4">
        <v>8</v>
      </c>
      <c r="AH1342" s="4">
        <v>1</v>
      </c>
      <c r="AI1342" s="4">
        <v>3</v>
      </c>
      <c r="AJ1342" s="4">
        <v>1</v>
      </c>
      <c r="AK1342" s="4">
        <v>9</v>
      </c>
      <c r="AL1342" s="4">
        <v>0</v>
      </c>
      <c r="AM1342" s="4">
        <v>1</v>
      </c>
      <c r="AN1342" s="4">
        <v>0</v>
      </c>
      <c r="AO1342" s="4">
        <v>0</v>
      </c>
      <c r="AP1342" s="3" t="s">
        <v>58</v>
      </c>
      <c r="AQ1342" s="3" t="s">
        <v>86</v>
      </c>
      <c r="AR1342" s="6" t="str">
        <f>HYPERLINK("http://catalog.hathitrust.org/Record/007050417","HathiTrust Record")</f>
        <v>HathiTrust Record</v>
      </c>
      <c r="AS1342" s="6" t="str">
        <f>HYPERLINK("https://creighton-primo.hosted.exlibrisgroup.com/primo-explore/search?tab=default_tab&amp;search_scope=EVERYTHING&amp;vid=01CRU&amp;lang=en_US&amp;offset=0&amp;query=any,contains,991001994599702656","Catalog Record")</f>
        <v>Catalog Record</v>
      </c>
      <c r="AT1342" s="6" t="str">
        <f>HYPERLINK("http://www.worldcat.org/oclc/25333177","WorldCat Record")</f>
        <v>WorldCat Record</v>
      </c>
      <c r="AU1342" s="3" t="s">
        <v>17188</v>
      </c>
      <c r="AV1342" s="3" t="s">
        <v>17189</v>
      </c>
      <c r="AW1342" s="3" t="s">
        <v>17190</v>
      </c>
      <c r="AX1342" s="3" t="s">
        <v>17190</v>
      </c>
      <c r="AY1342" s="3" t="s">
        <v>17191</v>
      </c>
      <c r="AZ1342" s="3" t="s">
        <v>74</v>
      </c>
      <c r="BB1342" s="3" t="s">
        <v>17192</v>
      </c>
      <c r="BC1342" s="3" t="s">
        <v>17193</v>
      </c>
      <c r="BD1342" s="3" t="s">
        <v>17194</v>
      </c>
    </row>
    <row r="1343" spans="1:56" ht="42.75" customHeight="1" x14ac:dyDescent="0.25">
      <c r="A1343" s="7" t="s">
        <v>58</v>
      </c>
      <c r="B1343" s="2" t="s">
        <v>17195</v>
      </c>
      <c r="C1343" s="2" t="s">
        <v>17196</v>
      </c>
      <c r="D1343" s="2" t="s">
        <v>17197</v>
      </c>
      <c r="F1343" s="3" t="s">
        <v>58</v>
      </c>
      <c r="G1343" s="3" t="s">
        <v>59</v>
      </c>
      <c r="H1343" s="3" t="s">
        <v>58</v>
      </c>
      <c r="I1343" s="3" t="s">
        <v>58</v>
      </c>
      <c r="J1343" s="3" t="s">
        <v>60</v>
      </c>
      <c r="K1343" s="2" t="s">
        <v>17198</v>
      </c>
      <c r="L1343" s="2" t="s">
        <v>17199</v>
      </c>
      <c r="M1343" s="3" t="s">
        <v>586</v>
      </c>
      <c r="O1343" s="3" t="s">
        <v>64</v>
      </c>
      <c r="P1343" s="3" t="s">
        <v>115</v>
      </c>
      <c r="R1343" s="3" t="s">
        <v>67</v>
      </c>
      <c r="S1343" s="4">
        <v>20</v>
      </c>
      <c r="T1343" s="4">
        <v>20</v>
      </c>
      <c r="U1343" s="5" t="s">
        <v>17187</v>
      </c>
      <c r="V1343" s="5" t="s">
        <v>17187</v>
      </c>
      <c r="W1343" s="5" t="s">
        <v>17200</v>
      </c>
      <c r="X1343" s="5" t="s">
        <v>17200</v>
      </c>
      <c r="Y1343" s="4">
        <v>320</v>
      </c>
      <c r="Z1343" s="4">
        <v>300</v>
      </c>
      <c r="AA1343" s="4">
        <v>305</v>
      </c>
      <c r="AB1343" s="4">
        <v>2</v>
      </c>
      <c r="AC1343" s="4">
        <v>2</v>
      </c>
      <c r="AD1343" s="4">
        <v>8</v>
      </c>
      <c r="AE1343" s="4">
        <v>8</v>
      </c>
      <c r="AF1343" s="4">
        <v>4</v>
      </c>
      <c r="AG1343" s="4">
        <v>4</v>
      </c>
      <c r="AH1343" s="4">
        <v>1</v>
      </c>
      <c r="AI1343" s="4">
        <v>1</v>
      </c>
      <c r="AJ1343" s="4">
        <v>5</v>
      </c>
      <c r="AK1343" s="4">
        <v>5</v>
      </c>
      <c r="AL1343" s="4">
        <v>0</v>
      </c>
      <c r="AM1343" s="4">
        <v>0</v>
      </c>
      <c r="AN1343" s="4">
        <v>0</v>
      </c>
      <c r="AO1343" s="4">
        <v>0</v>
      </c>
      <c r="AP1343" s="3" t="s">
        <v>58</v>
      </c>
      <c r="AQ1343" s="3" t="s">
        <v>58</v>
      </c>
      <c r="AS1343" s="6" t="str">
        <f>HYPERLINK("https://creighton-primo.hosted.exlibrisgroup.com/primo-explore/search?tab=default_tab&amp;search_scope=EVERYTHING&amp;vid=01CRU&amp;lang=en_US&amp;offset=0&amp;query=any,contains,991001768549702656","Catalog Record")</f>
        <v>Catalog Record</v>
      </c>
      <c r="AT1343" s="6" t="str">
        <f>HYPERLINK("http://www.worldcat.org/oclc/22345298","WorldCat Record")</f>
        <v>WorldCat Record</v>
      </c>
      <c r="AU1343" s="3" t="s">
        <v>17201</v>
      </c>
      <c r="AV1343" s="3" t="s">
        <v>17202</v>
      </c>
      <c r="AW1343" s="3" t="s">
        <v>17203</v>
      </c>
      <c r="AX1343" s="3" t="s">
        <v>17203</v>
      </c>
      <c r="AY1343" s="3" t="s">
        <v>17204</v>
      </c>
      <c r="AZ1343" s="3" t="s">
        <v>74</v>
      </c>
      <c r="BB1343" s="3" t="s">
        <v>17205</v>
      </c>
      <c r="BC1343" s="3" t="s">
        <v>17206</v>
      </c>
      <c r="BD1343" s="3" t="s">
        <v>17207</v>
      </c>
    </row>
    <row r="1344" spans="1:56" ht="42.75" customHeight="1" x14ac:dyDescent="0.25">
      <c r="A1344" s="7" t="s">
        <v>58</v>
      </c>
      <c r="B1344" s="2" t="s">
        <v>17208</v>
      </c>
      <c r="C1344" s="2" t="s">
        <v>17209</v>
      </c>
      <c r="D1344" s="2" t="s">
        <v>17210</v>
      </c>
      <c r="F1344" s="3" t="s">
        <v>58</v>
      </c>
      <c r="G1344" s="3" t="s">
        <v>59</v>
      </c>
      <c r="H1344" s="3" t="s">
        <v>58</v>
      </c>
      <c r="I1344" s="3" t="s">
        <v>58</v>
      </c>
      <c r="J1344" s="3" t="s">
        <v>60</v>
      </c>
      <c r="K1344" s="2" t="s">
        <v>13433</v>
      </c>
      <c r="L1344" s="2" t="s">
        <v>17211</v>
      </c>
      <c r="M1344" s="3" t="s">
        <v>586</v>
      </c>
      <c r="O1344" s="3" t="s">
        <v>64</v>
      </c>
      <c r="P1344" s="3" t="s">
        <v>178</v>
      </c>
      <c r="R1344" s="3" t="s">
        <v>67</v>
      </c>
      <c r="S1344" s="4">
        <v>10</v>
      </c>
      <c r="T1344" s="4">
        <v>10</v>
      </c>
      <c r="U1344" s="5" t="s">
        <v>17187</v>
      </c>
      <c r="V1344" s="5" t="s">
        <v>17187</v>
      </c>
      <c r="W1344" s="5" t="s">
        <v>17212</v>
      </c>
      <c r="X1344" s="5" t="s">
        <v>17212</v>
      </c>
      <c r="Y1344" s="4">
        <v>89</v>
      </c>
      <c r="Z1344" s="4">
        <v>84</v>
      </c>
      <c r="AA1344" s="4">
        <v>89</v>
      </c>
      <c r="AB1344" s="4">
        <v>2</v>
      </c>
      <c r="AC1344" s="4">
        <v>2</v>
      </c>
      <c r="AD1344" s="4">
        <v>0</v>
      </c>
      <c r="AE1344" s="4">
        <v>0</v>
      </c>
      <c r="AF1344" s="4">
        <v>0</v>
      </c>
      <c r="AG1344" s="4">
        <v>0</v>
      </c>
      <c r="AH1344" s="4">
        <v>0</v>
      </c>
      <c r="AI1344" s="4">
        <v>0</v>
      </c>
      <c r="AJ1344" s="4">
        <v>0</v>
      </c>
      <c r="AK1344" s="4">
        <v>0</v>
      </c>
      <c r="AL1344" s="4">
        <v>0</v>
      </c>
      <c r="AM1344" s="4">
        <v>0</v>
      </c>
      <c r="AN1344" s="4">
        <v>0</v>
      </c>
      <c r="AO1344" s="4">
        <v>0</v>
      </c>
      <c r="AP1344" s="3" t="s">
        <v>58</v>
      </c>
      <c r="AQ1344" s="3" t="s">
        <v>58</v>
      </c>
      <c r="AS1344" s="6" t="str">
        <f>HYPERLINK("https://creighton-primo.hosted.exlibrisgroup.com/primo-explore/search?tab=default_tab&amp;search_scope=EVERYTHING&amp;vid=01CRU&amp;lang=en_US&amp;offset=0&amp;query=any,contains,991001893129702656","Catalog Record")</f>
        <v>Catalog Record</v>
      </c>
      <c r="AT1344" s="6" t="str">
        <f>HYPERLINK("http://www.worldcat.org/oclc/23901872","WorldCat Record")</f>
        <v>WorldCat Record</v>
      </c>
      <c r="AU1344" s="3" t="s">
        <v>17213</v>
      </c>
      <c r="AV1344" s="3" t="s">
        <v>17214</v>
      </c>
      <c r="AW1344" s="3" t="s">
        <v>17215</v>
      </c>
      <c r="AX1344" s="3" t="s">
        <v>17215</v>
      </c>
      <c r="AY1344" s="3" t="s">
        <v>17216</v>
      </c>
      <c r="AZ1344" s="3" t="s">
        <v>74</v>
      </c>
      <c r="BB1344" s="3" t="s">
        <v>17217</v>
      </c>
      <c r="BC1344" s="3" t="s">
        <v>17218</v>
      </c>
      <c r="BD1344" s="3" t="s">
        <v>17219</v>
      </c>
    </row>
    <row r="1345" spans="1:56" ht="42.75" customHeight="1" x14ac:dyDescent="0.25">
      <c r="A1345" s="7" t="s">
        <v>58</v>
      </c>
      <c r="B1345" s="2" t="s">
        <v>17220</v>
      </c>
      <c r="C1345" s="2" t="s">
        <v>17221</v>
      </c>
      <c r="D1345" s="2" t="s">
        <v>17222</v>
      </c>
      <c r="F1345" s="3" t="s">
        <v>58</v>
      </c>
      <c r="G1345" s="3" t="s">
        <v>59</v>
      </c>
      <c r="H1345" s="3" t="s">
        <v>58</v>
      </c>
      <c r="I1345" s="3" t="s">
        <v>58</v>
      </c>
      <c r="J1345" s="3" t="s">
        <v>60</v>
      </c>
      <c r="K1345" s="2" t="s">
        <v>5518</v>
      </c>
      <c r="L1345" s="2" t="s">
        <v>13823</v>
      </c>
      <c r="M1345" s="3" t="s">
        <v>82</v>
      </c>
      <c r="N1345" s="2" t="s">
        <v>1736</v>
      </c>
      <c r="O1345" s="3" t="s">
        <v>64</v>
      </c>
      <c r="P1345" s="3" t="s">
        <v>115</v>
      </c>
      <c r="Q1345" s="2" t="s">
        <v>4445</v>
      </c>
      <c r="R1345" s="3" t="s">
        <v>67</v>
      </c>
      <c r="S1345" s="4">
        <v>7</v>
      </c>
      <c r="T1345" s="4">
        <v>7</v>
      </c>
      <c r="U1345" s="5" t="s">
        <v>17223</v>
      </c>
      <c r="V1345" s="5" t="s">
        <v>17223</v>
      </c>
      <c r="W1345" s="5" t="s">
        <v>17224</v>
      </c>
      <c r="X1345" s="5" t="s">
        <v>17224</v>
      </c>
      <c r="Y1345" s="4">
        <v>395</v>
      </c>
      <c r="Z1345" s="4">
        <v>286</v>
      </c>
      <c r="AA1345" s="4">
        <v>293</v>
      </c>
      <c r="AB1345" s="4">
        <v>5</v>
      </c>
      <c r="AC1345" s="4">
        <v>5</v>
      </c>
      <c r="AD1345" s="4">
        <v>15</v>
      </c>
      <c r="AE1345" s="4">
        <v>15</v>
      </c>
      <c r="AF1345" s="4">
        <v>5</v>
      </c>
      <c r="AG1345" s="4">
        <v>5</v>
      </c>
      <c r="AH1345" s="4">
        <v>2</v>
      </c>
      <c r="AI1345" s="4">
        <v>2</v>
      </c>
      <c r="AJ1345" s="4">
        <v>7</v>
      </c>
      <c r="AK1345" s="4">
        <v>7</v>
      </c>
      <c r="AL1345" s="4">
        <v>4</v>
      </c>
      <c r="AM1345" s="4">
        <v>4</v>
      </c>
      <c r="AN1345" s="4">
        <v>0</v>
      </c>
      <c r="AO1345" s="4">
        <v>0</v>
      </c>
      <c r="AP1345" s="3" t="s">
        <v>58</v>
      </c>
      <c r="AQ1345" s="3" t="s">
        <v>86</v>
      </c>
      <c r="AR1345" s="6" t="str">
        <f>HYPERLINK("http://catalog.hathitrust.org/Record/000883973","HathiTrust Record")</f>
        <v>HathiTrust Record</v>
      </c>
      <c r="AS1345" s="6" t="str">
        <f>HYPERLINK("https://creighton-primo.hosted.exlibrisgroup.com/primo-explore/search?tab=default_tab&amp;search_scope=EVERYTHING&amp;vid=01CRU&amp;lang=en_US&amp;offset=0&amp;query=any,contains,991001024379702656","Catalog Record")</f>
        <v>Catalog Record</v>
      </c>
      <c r="AT1345" s="6" t="str">
        <f>HYPERLINK("http://www.worldcat.org/oclc/15428469","WorldCat Record")</f>
        <v>WorldCat Record</v>
      </c>
      <c r="AU1345" s="3" t="s">
        <v>17225</v>
      </c>
      <c r="AV1345" s="3" t="s">
        <v>17226</v>
      </c>
      <c r="AW1345" s="3" t="s">
        <v>17227</v>
      </c>
      <c r="AX1345" s="3" t="s">
        <v>17227</v>
      </c>
      <c r="AY1345" s="3" t="s">
        <v>17228</v>
      </c>
      <c r="AZ1345" s="3" t="s">
        <v>74</v>
      </c>
      <c r="BB1345" s="3" t="s">
        <v>17229</v>
      </c>
      <c r="BC1345" s="3" t="s">
        <v>17230</v>
      </c>
      <c r="BD1345" s="3" t="s">
        <v>17231</v>
      </c>
    </row>
    <row r="1346" spans="1:56" ht="42.75" customHeight="1" x14ac:dyDescent="0.25">
      <c r="A1346" s="7" t="s">
        <v>58</v>
      </c>
      <c r="B1346" s="2" t="s">
        <v>17232</v>
      </c>
      <c r="C1346" s="2" t="s">
        <v>17233</v>
      </c>
      <c r="D1346" s="2" t="s">
        <v>17234</v>
      </c>
      <c r="F1346" s="3" t="s">
        <v>58</v>
      </c>
      <c r="G1346" s="3" t="s">
        <v>59</v>
      </c>
      <c r="H1346" s="3" t="s">
        <v>58</v>
      </c>
      <c r="I1346" s="3" t="s">
        <v>58</v>
      </c>
      <c r="J1346" s="3" t="s">
        <v>60</v>
      </c>
      <c r="L1346" s="2" t="s">
        <v>9755</v>
      </c>
      <c r="M1346" s="3" t="s">
        <v>642</v>
      </c>
      <c r="O1346" s="3" t="s">
        <v>64</v>
      </c>
      <c r="P1346" s="3" t="s">
        <v>115</v>
      </c>
      <c r="Q1346" s="2" t="s">
        <v>17235</v>
      </c>
      <c r="R1346" s="3" t="s">
        <v>67</v>
      </c>
      <c r="S1346" s="4">
        <v>19</v>
      </c>
      <c r="T1346" s="4">
        <v>19</v>
      </c>
      <c r="U1346" s="5" t="s">
        <v>17236</v>
      </c>
      <c r="V1346" s="5" t="s">
        <v>17236</v>
      </c>
      <c r="W1346" s="5" t="s">
        <v>5462</v>
      </c>
      <c r="X1346" s="5" t="s">
        <v>5462</v>
      </c>
      <c r="Y1346" s="4">
        <v>351</v>
      </c>
      <c r="Z1346" s="4">
        <v>290</v>
      </c>
      <c r="AA1346" s="4">
        <v>295</v>
      </c>
      <c r="AB1346" s="4">
        <v>3</v>
      </c>
      <c r="AC1346" s="4">
        <v>3</v>
      </c>
      <c r="AD1346" s="4">
        <v>12</v>
      </c>
      <c r="AE1346" s="4">
        <v>12</v>
      </c>
      <c r="AF1346" s="4">
        <v>5</v>
      </c>
      <c r="AG1346" s="4">
        <v>5</v>
      </c>
      <c r="AH1346" s="4">
        <v>2</v>
      </c>
      <c r="AI1346" s="4">
        <v>2</v>
      </c>
      <c r="AJ1346" s="4">
        <v>7</v>
      </c>
      <c r="AK1346" s="4">
        <v>7</v>
      </c>
      <c r="AL1346" s="4">
        <v>2</v>
      </c>
      <c r="AM1346" s="4">
        <v>2</v>
      </c>
      <c r="AN1346" s="4">
        <v>0</v>
      </c>
      <c r="AO1346" s="4">
        <v>0</v>
      </c>
      <c r="AP1346" s="3" t="s">
        <v>58</v>
      </c>
      <c r="AQ1346" s="3" t="s">
        <v>58</v>
      </c>
      <c r="AS1346" s="6" t="str">
        <f>HYPERLINK("https://creighton-primo.hosted.exlibrisgroup.com/primo-explore/search?tab=default_tab&amp;search_scope=EVERYTHING&amp;vid=01CRU&amp;lang=en_US&amp;offset=0&amp;query=any,contains,991001920219702656","Catalog Record")</f>
        <v>Catalog Record</v>
      </c>
      <c r="AT1346" s="6" t="str">
        <f>HYPERLINK("http://www.worldcat.org/oclc/24246479","WorldCat Record")</f>
        <v>WorldCat Record</v>
      </c>
      <c r="AU1346" s="3" t="s">
        <v>17237</v>
      </c>
      <c r="AV1346" s="3" t="s">
        <v>17238</v>
      </c>
      <c r="AW1346" s="3" t="s">
        <v>17239</v>
      </c>
      <c r="AX1346" s="3" t="s">
        <v>17239</v>
      </c>
      <c r="AY1346" s="3" t="s">
        <v>17240</v>
      </c>
      <c r="AZ1346" s="3" t="s">
        <v>74</v>
      </c>
      <c r="BB1346" s="3" t="s">
        <v>17241</v>
      </c>
      <c r="BC1346" s="3" t="s">
        <v>17242</v>
      </c>
      <c r="BD1346" s="3" t="s">
        <v>17243</v>
      </c>
    </row>
    <row r="1347" spans="1:56" ht="42.75" customHeight="1" x14ac:dyDescent="0.25">
      <c r="A1347" s="7" t="s">
        <v>58</v>
      </c>
      <c r="B1347" s="2" t="s">
        <v>17244</v>
      </c>
      <c r="C1347" s="2" t="s">
        <v>17245</v>
      </c>
      <c r="D1347" s="2" t="s">
        <v>17246</v>
      </c>
      <c r="F1347" s="3" t="s">
        <v>58</v>
      </c>
      <c r="G1347" s="3" t="s">
        <v>59</v>
      </c>
      <c r="H1347" s="3" t="s">
        <v>86</v>
      </c>
      <c r="I1347" s="3" t="s">
        <v>58</v>
      </c>
      <c r="J1347" s="3" t="s">
        <v>60</v>
      </c>
      <c r="K1347" s="2" t="s">
        <v>17247</v>
      </c>
      <c r="L1347" s="2" t="s">
        <v>10137</v>
      </c>
      <c r="M1347" s="3" t="s">
        <v>98</v>
      </c>
      <c r="N1347" s="2" t="s">
        <v>1736</v>
      </c>
      <c r="O1347" s="3" t="s">
        <v>64</v>
      </c>
      <c r="P1347" s="3" t="s">
        <v>115</v>
      </c>
      <c r="R1347" s="3" t="s">
        <v>67</v>
      </c>
      <c r="S1347" s="4">
        <v>10</v>
      </c>
      <c r="T1347" s="4">
        <v>10</v>
      </c>
      <c r="U1347" s="5" t="s">
        <v>17248</v>
      </c>
      <c r="V1347" s="5" t="s">
        <v>17248</v>
      </c>
      <c r="W1347" s="5" t="s">
        <v>17249</v>
      </c>
      <c r="X1347" s="5" t="s">
        <v>17249</v>
      </c>
      <c r="Y1347" s="4">
        <v>352</v>
      </c>
      <c r="Z1347" s="4">
        <v>308</v>
      </c>
      <c r="AA1347" s="4">
        <v>318</v>
      </c>
      <c r="AB1347" s="4">
        <v>4</v>
      </c>
      <c r="AC1347" s="4">
        <v>4</v>
      </c>
      <c r="AD1347" s="4">
        <v>8</v>
      </c>
      <c r="AE1347" s="4">
        <v>8</v>
      </c>
      <c r="AF1347" s="4">
        <v>4</v>
      </c>
      <c r="AG1347" s="4">
        <v>4</v>
      </c>
      <c r="AH1347" s="4">
        <v>0</v>
      </c>
      <c r="AI1347" s="4">
        <v>0</v>
      </c>
      <c r="AJ1347" s="4">
        <v>4</v>
      </c>
      <c r="AK1347" s="4">
        <v>4</v>
      </c>
      <c r="AL1347" s="4">
        <v>2</v>
      </c>
      <c r="AM1347" s="4">
        <v>2</v>
      </c>
      <c r="AN1347" s="4">
        <v>0</v>
      </c>
      <c r="AO1347" s="4">
        <v>0</v>
      </c>
      <c r="AP1347" s="3" t="s">
        <v>58</v>
      </c>
      <c r="AQ1347" s="3" t="s">
        <v>58</v>
      </c>
      <c r="AS1347" s="6" t="str">
        <f>HYPERLINK("https://creighton-primo.hosted.exlibrisgroup.com/primo-explore/search?tab=default_tab&amp;search_scope=EVERYTHING&amp;vid=01CRU&amp;lang=en_US&amp;offset=0&amp;query=any,contains,991001137259702656","Catalog Record")</f>
        <v>Catalog Record</v>
      </c>
      <c r="AT1347" s="6" t="str">
        <f>HYPERLINK("http://www.worldcat.org/oclc/16717595","WorldCat Record")</f>
        <v>WorldCat Record</v>
      </c>
      <c r="AU1347" s="3" t="s">
        <v>17250</v>
      </c>
      <c r="AV1347" s="3" t="s">
        <v>17251</v>
      </c>
      <c r="AW1347" s="3" t="s">
        <v>17252</v>
      </c>
      <c r="AX1347" s="3" t="s">
        <v>17252</v>
      </c>
      <c r="AY1347" s="3" t="s">
        <v>17253</v>
      </c>
      <c r="AZ1347" s="3" t="s">
        <v>74</v>
      </c>
      <c r="BB1347" s="3" t="s">
        <v>17254</v>
      </c>
      <c r="BC1347" s="3" t="s">
        <v>17255</v>
      </c>
      <c r="BD1347" s="3" t="s">
        <v>17256</v>
      </c>
    </row>
    <row r="1348" spans="1:56" ht="42.75" customHeight="1" x14ac:dyDescent="0.25">
      <c r="A1348" s="7" t="s">
        <v>58</v>
      </c>
      <c r="B1348" s="2" t="s">
        <v>17257</v>
      </c>
      <c r="C1348" s="2" t="s">
        <v>17258</v>
      </c>
      <c r="D1348" s="2" t="s">
        <v>17259</v>
      </c>
      <c r="F1348" s="3" t="s">
        <v>58</v>
      </c>
      <c r="G1348" s="3" t="s">
        <v>59</v>
      </c>
      <c r="H1348" s="3" t="s">
        <v>58</v>
      </c>
      <c r="I1348" s="3" t="s">
        <v>58</v>
      </c>
      <c r="J1348" s="3" t="s">
        <v>60</v>
      </c>
      <c r="K1348" s="2" t="s">
        <v>17260</v>
      </c>
      <c r="L1348" s="2" t="s">
        <v>17261</v>
      </c>
      <c r="M1348" s="3" t="s">
        <v>805</v>
      </c>
      <c r="O1348" s="3" t="s">
        <v>64</v>
      </c>
      <c r="P1348" s="3" t="s">
        <v>3070</v>
      </c>
      <c r="R1348" s="3" t="s">
        <v>67</v>
      </c>
      <c r="S1348" s="4">
        <v>15</v>
      </c>
      <c r="T1348" s="4">
        <v>15</v>
      </c>
      <c r="U1348" s="5" t="s">
        <v>17236</v>
      </c>
      <c r="V1348" s="5" t="s">
        <v>17236</v>
      </c>
      <c r="W1348" s="5" t="s">
        <v>17262</v>
      </c>
      <c r="X1348" s="5" t="s">
        <v>17262</v>
      </c>
      <c r="Y1348" s="4">
        <v>246</v>
      </c>
      <c r="Z1348" s="4">
        <v>229</v>
      </c>
      <c r="AA1348" s="4">
        <v>499</v>
      </c>
      <c r="AB1348" s="4">
        <v>2</v>
      </c>
      <c r="AC1348" s="4">
        <v>2</v>
      </c>
      <c r="AD1348" s="4">
        <v>1</v>
      </c>
      <c r="AE1348" s="4">
        <v>6</v>
      </c>
      <c r="AF1348" s="4">
        <v>0</v>
      </c>
      <c r="AG1348" s="4">
        <v>3</v>
      </c>
      <c r="AH1348" s="4">
        <v>0</v>
      </c>
      <c r="AI1348" s="4">
        <v>2</v>
      </c>
      <c r="AJ1348" s="4">
        <v>1</v>
      </c>
      <c r="AK1348" s="4">
        <v>3</v>
      </c>
      <c r="AL1348" s="4">
        <v>0</v>
      </c>
      <c r="AM1348" s="4">
        <v>0</v>
      </c>
      <c r="AN1348" s="4">
        <v>0</v>
      </c>
      <c r="AO1348" s="4">
        <v>0</v>
      </c>
      <c r="AP1348" s="3" t="s">
        <v>58</v>
      </c>
      <c r="AQ1348" s="3" t="s">
        <v>86</v>
      </c>
      <c r="AR1348" s="6" t="str">
        <f>HYPERLINK("http://catalog.hathitrust.org/Record/007050439","HathiTrust Record")</f>
        <v>HathiTrust Record</v>
      </c>
      <c r="AS1348" s="6" t="str">
        <f>HYPERLINK("https://creighton-primo.hosted.exlibrisgroup.com/primo-explore/search?tab=default_tab&amp;search_scope=EVERYTHING&amp;vid=01CRU&amp;lang=en_US&amp;offset=0&amp;query=any,contains,991002624909702656","Catalog Record")</f>
        <v>Catalog Record</v>
      </c>
      <c r="AT1348" s="6" t="str">
        <f>HYPERLINK("http://www.worldcat.org/oclc/34410811","WorldCat Record")</f>
        <v>WorldCat Record</v>
      </c>
      <c r="AU1348" s="3" t="s">
        <v>17263</v>
      </c>
      <c r="AV1348" s="3" t="s">
        <v>17264</v>
      </c>
      <c r="AW1348" s="3" t="s">
        <v>17265</v>
      </c>
      <c r="AX1348" s="3" t="s">
        <v>17265</v>
      </c>
      <c r="AY1348" s="3" t="s">
        <v>17266</v>
      </c>
      <c r="AZ1348" s="3" t="s">
        <v>74</v>
      </c>
      <c r="BB1348" s="3" t="s">
        <v>17267</v>
      </c>
      <c r="BC1348" s="3" t="s">
        <v>17268</v>
      </c>
      <c r="BD1348" s="3" t="s">
        <v>17269</v>
      </c>
    </row>
    <row r="1349" spans="1:56" ht="42.75" customHeight="1" x14ac:dyDescent="0.25">
      <c r="A1349" s="7" t="s">
        <v>58</v>
      </c>
      <c r="B1349" s="2" t="s">
        <v>17270</v>
      </c>
      <c r="C1349" s="2" t="s">
        <v>17271</v>
      </c>
      <c r="D1349" s="2" t="s">
        <v>17272</v>
      </c>
      <c r="F1349" s="3" t="s">
        <v>58</v>
      </c>
      <c r="G1349" s="3" t="s">
        <v>59</v>
      </c>
      <c r="H1349" s="3" t="s">
        <v>58</v>
      </c>
      <c r="I1349" s="3" t="s">
        <v>58</v>
      </c>
      <c r="J1349" s="3" t="s">
        <v>60</v>
      </c>
      <c r="L1349" s="2" t="s">
        <v>17273</v>
      </c>
      <c r="M1349" s="3" t="s">
        <v>480</v>
      </c>
      <c r="O1349" s="3" t="s">
        <v>64</v>
      </c>
      <c r="P1349" s="3" t="s">
        <v>115</v>
      </c>
      <c r="R1349" s="3" t="s">
        <v>67</v>
      </c>
      <c r="S1349" s="4">
        <v>4</v>
      </c>
      <c r="T1349" s="4">
        <v>4</v>
      </c>
      <c r="U1349" s="5" t="s">
        <v>12448</v>
      </c>
      <c r="V1349" s="5" t="s">
        <v>12448</v>
      </c>
      <c r="W1349" s="5" t="s">
        <v>13712</v>
      </c>
      <c r="X1349" s="5" t="s">
        <v>13712</v>
      </c>
      <c r="Y1349" s="4">
        <v>381</v>
      </c>
      <c r="Z1349" s="4">
        <v>316</v>
      </c>
      <c r="AA1349" s="4">
        <v>318</v>
      </c>
      <c r="AB1349" s="4">
        <v>1</v>
      </c>
      <c r="AC1349" s="4">
        <v>1</v>
      </c>
      <c r="AD1349" s="4">
        <v>18</v>
      </c>
      <c r="AE1349" s="4">
        <v>18</v>
      </c>
      <c r="AF1349" s="4">
        <v>7</v>
      </c>
      <c r="AG1349" s="4">
        <v>7</v>
      </c>
      <c r="AH1349" s="4">
        <v>4</v>
      </c>
      <c r="AI1349" s="4">
        <v>4</v>
      </c>
      <c r="AJ1349" s="4">
        <v>13</v>
      </c>
      <c r="AK1349" s="4">
        <v>13</v>
      </c>
      <c r="AL1349" s="4">
        <v>0</v>
      </c>
      <c r="AM1349" s="4">
        <v>0</v>
      </c>
      <c r="AN1349" s="4">
        <v>0</v>
      </c>
      <c r="AO1349" s="4">
        <v>0</v>
      </c>
      <c r="AP1349" s="3" t="s">
        <v>58</v>
      </c>
      <c r="AQ1349" s="3" t="s">
        <v>86</v>
      </c>
      <c r="AR1349" s="6" t="str">
        <f>HYPERLINK("http://catalog.hathitrust.org/Record/001822816","HathiTrust Record")</f>
        <v>HathiTrust Record</v>
      </c>
      <c r="AS1349" s="6" t="str">
        <f>HYPERLINK("https://creighton-primo.hosted.exlibrisgroup.com/primo-explore/search?tab=default_tab&amp;search_scope=EVERYTHING&amp;vid=01CRU&amp;lang=en_US&amp;offset=0&amp;query=any,contains,991001475409702656","Catalog Record")</f>
        <v>Catalog Record</v>
      </c>
      <c r="AT1349" s="6" t="str">
        <f>HYPERLINK("http://www.worldcat.org/oclc/19556151","WorldCat Record")</f>
        <v>WorldCat Record</v>
      </c>
      <c r="AU1349" s="3" t="s">
        <v>17274</v>
      </c>
      <c r="AV1349" s="3" t="s">
        <v>17275</v>
      </c>
      <c r="AW1349" s="3" t="s">
        <v>17276</v>
      </c>
      <c r="AX1349" s="3" t="s">
        <v>17276</v>
      </c>
      <c r="AY1349" s="3" t="s">
        <v>17277</v>
      </c>
      <c r="AZ1349" s="3" t="s">
        <v>74</v>
      </c>
      <c r="BB1349" s="3" t="s">
        <v>17278</v>
      </c>
      <c r="BC1349" s="3" t="s">
        <v>17279</v>
      </c>
      <c r="BD1349" s="3" t="s">
        <v>17280</v>
      </c>
    </row>
    <row r="1350" spans="1:56" ht="42.75" customHeight="1" x14ac:dyDescent="0.25">
      <c r="A1350" s="7" t="s">
        <v>58</v>
      </c>
      <c r="B1350" s="2" t="s">
        <v>17281</v>
      </c>
      <c r="C1350" s="2" t="s">
        <v>17282</v>
      </c>
      <c r="D1350" s="2" t="s">
        <v>17283</v>
      </c>
      <c r="F1350" s="3" t="s">
        <v>58</v>
      </c>
      <c r="G1350" s="3" t="s">
        <v>59</v>
      </c>
      <c r="H1350" s="3" t="s">
        <v>58</v>
      </c>
      <c r="I1350" s="3" t="s">
        <v>58</v>
      </c>
      <c r="J1350" s="3" t="s">
        <v>60</v>
      </c>
      <c r="K1350" s="2" t="s">
        <v>17284</v>
      </c>
      <c r="L1350" s="2" t="s">
        <v>12020</v>
      </c>
      <c r="M1350" s="3" t="s">
        <v>534</v>
      </c>
      <c r="O1350" s="3" t="s">
        <v>64</v>
      </c>
      <c r="P1350" s="3" t="s">
        <v>115</v>
      </c>
      <c r="Q1350" s="2" t="s">
        <v>15081</v>
      </c>
      <c r="R1350" s="3" t="s">
        <v>67</v>
      </c>
      <c r="S1350" s="4">
        <v>15</v>
      </c>
      <c r="T1350" s="4">
        <v>15</v>
      </c>
      <c r="U1350" s="5" t="s">
        <v>6317</v>
      </c>
      <c r="V1350" s="5" t="s">
        <v>6317</v>
      </c>
      <c r="W1350" s="5" t="s">
        <v>17285</v>
      </c>
      <c r="X1350" s="5" t="s">
        <v>17285</v>
      </c>
      <c r="Y1350" s="4">
        <v>282</v>
      </c>
      <c r="Z1350" s="4">
        <v>238</v>
      </c>
      <c r="AA1350" s="4">
        <v>239</v>
      </c>
      <c r="AB1350" s="4">
        <v>3</v>
      </c>
      <c r="AC1350" s="4">
        <v>3</v>
      </c>
      <c r="AD1350" s="4">
        <v>16</v>
      </c>
      <c r="AE1350" s="4">
        <v>16</v>
      </c>
      <c r="AF1350" s="4">
        <v>6</v>
      </c>
      <c r="AG1350" s="4">
        <v>6</v>
      </c>
      <c r="AH1350" s="4">
        <v>2</v>
      </c>
      <c r="AI1350" s="4">
        <v>2</v>
      </c>
      <c r="AJ1350" s="4">
        <v>10</v>
      </c>
      <c r="AK1350" s="4">
        <v>10</v>
      </c>
      <c r="AL1350" s="4">
        <v>2</v>
      </c>
      <c r="AM1350" s="4">
        <v>2</v>
      </c>
      <c r="AN1350" s="4">
        <v>0</v>
      </c>
      <c r="AO1350" s="4">
        <v>0</v>
      </c>
      <c r="AP1350" s="3" t="s">
        <v>58</v>
      </c>
      <c r="AQ1350" s="3" t="s">
        <v>58</v>
      </c>
      <c r="AS1350" s="6" t="str">
        <f>HYPERLINK("https://creighton-primo.hosted.exlibrisgroup.com/primo-explore/search?tab=default_tab&amp;search_scope=EVERYTHING&amp;vid=01CRU&amp;lang=en_US&amp;offset=0&amp;query=any,contains,991001671469702656","Catalog Record")</f>
        <v>Catalog Record</v>
      </c>
      <c r="AT1350" s="6" t="str">
        <f>HYPERLINK("http://www.worldcat.org/oclc/21294549","WorldCat Record")</f>
        <v>WorldCat Record</v>
      </c>
      <c r="AU1350" s="3" t="s">
        <v>17286</v>
      </c>
      <c r="AV1350" s="3" t="s">
        <v>17287</v>
      </c>
      <c r="AW1350" s="3" t="s">
        <v>17288</v>
      </c>
      <c r="AX1350" s="3" t="s">
        <v>17288</v>
      </c>
      <c r="AY1350" s="3" t="s">
        <v>17289</v>
      </c>
      <c r="AZ1350" s="3" t="s">
        <v>74</v>
      </c>
      <c r="BB1350" s="3" t="s">
        <v>17290</v>
      </c>
      <c r="BC1350" s="3" t="s">
        <v>17291</v>
      </c>
      <c r="BD1350" s="3" t="s">
        <v>17292</v>
      </c>
    </row>
    <row r="1351" spans="1:56" ht="42.75" customHeight="1" x14ac:dyDescent="0.25">
      <c r="A1351" s="7" t="s">
        <v>58</v>
      </c>
      <c r="B1351" s="2" t="s">
        <v>17293</v>
      </c>
      <c r="C1351" s="2" t="s">
        <v>17294</v>
      </c>
      <c r="D1351" s="2" t="s">
        <v>17295</v>
      </c>
      <c r="F1351" s="3" t="s">
        <v>58</v>
      </c>
      <c r="G1351" s="3" t="s">
        <v>59</v>
      </c>
      <c r="H1351" s="3" t="s">
        <v>58</v>
      </c>
      <c r="I1351" s="3" t="s">
        <v>58</v>
      </c>
      <c r="J1351" s="3" t="s">
        <v>60</v>
      </c>
      <c r="K1351" s="2" t="s">
        <v>17296</v>
      </c>
      <c r="L1351" s="2" t="s">
        <v>17297</v>
      </c>
      <c r="M1351" s="3" t="s">
        <v>1141</v>
      </c>
      <c r="O1351" s="3" t="s">
        <v>64</v>
      </c>
      <c r="P1351" s="3" t="s">
        <v>208</v>
      </c>
      <c r="R1351" s="3" t="s">
        <v>67</v>
      </c>
      <c r="S1351" s="4">
        <v>1</v>
      </c>
      <c r="T1351" s="4">
        <v>1</v>
      </c>
      <c r="U1351" s="5" t="s">
        <v>17161</v>
      </c>
      <c r="V1351" s="5" t="s">
        <v>17161</v>
      </c>
      <c r="W1351" s="5" t="s">
        <v>17161</v>
      </c>
      <c r="X1351" s="5" t="s">
        <v>17161</v>
      </c>
      <c r="Y1351" s="4">
        <v>585</v>
      </c>
      <c r="Z1351" s="4">
        <v>524</v>
      </c>
      <c r="AA1351" s="4">
        <v>530</v>
      </c>
      <c r="AB1351" s="4">
        <v>4</v>
      </c>
      <c r="AC1351" s="4">
        <v>4</v>
      </c>
      <c r="AD1351" s="4">
        <v>19</v>
      </c>
      <c r="AE1351" s="4">
        <v>19</v>
      </c>
      <c r="AF1351" s="4">
        <v>8</v>
      </c>
      <c r="AG1351" s="4">
        <v>8</v>
      </c>
      <c r="AH1351" s="4">
        <v>4</v>
      </c>
      <c r="AI1351" s="4">
        <v>4</v>
      </c>
      <c r="AJ1351" s="4">
        <v>8</v>
      </c>
      <c r="AK1351" s="4">
        <v>8</v>
      </c>
      <c r="AL1351" s="4">
        <v>3</v>
      </c>
      <c r="AM1351" s="4">
        <v>3</v>
      </c>
      <c r="AN1351" s="4">
        <v>1</v>
      </c>
      <c r="AO1351" s="4">
        <v>1</v>
      </c>
      <c r="AP1351" s="3" t="s">
        <v>58</v>
      </c>
      <c r="AQ1351" s="3" t="s">
        <v>86</v>
      </c>
      <c r="AR1351" s="6" t="str">
        <f>HYPERLINK("http://catalog.hathitrust.org/Record/003882860","HathiTrust Record")</f>
        <v>HathiTrust Record</v>
      </c>
      <c r="AS1351" s="6" t="str">
        <f>HYPERLINK("https://creighton-primo.hosted.exlibrisgroup.com/primo-explore/search?tab=default_tab&amp;search_scope=EVERYTHING&amp;vid=01CRU&amp;lang=en_US&amp;offset=0&amp;query=any,contains,991004284509702656","Catalog Record")</f>
        <v>Catalog Record</v>
      </c>
      <c r="AT1351" s="6" t="str">
        <f>HYPERLINK("http://www.worldcat.org/oclc/52127511","WorldCat Record")</f>
        <v>WorldCat Record</v>
      </c>
      <c r="AU1351" s="3" t="s">
        <v>17298</v>
      </c>
      <c r="AV1351" s="3" t="s">
        <v>17299</v>
      </c>
      <c r="AW1351" s="3" t="s">
        <v>17300</v>
      </c>
      <c r="AX1351" s="3" t="s">
        <v>17300</v>
      </c>
      <c r="AY1351" s="3" t="s">
        <v>17301</v>
      </c>
      <c r="AZ1351" s="3" t="s">
        <v>74</v>
      </c>
      <c r="BB1351" s="3" t="s">
        <v>17302</v>
      </c>
      <c r="BC1351" s="3" t="s">
        <v>17303</v>
      </c>
      <c r="BD1351" s="3" t="s">
        <v>17304</v>
      </c>
    </row>
    <row r="1352" spans="1:56" ht="42.75" customHeight="1" x14ac:dyDescent="0.25">
      <c r="A1352" s="7" t="s">
        <v>58</v>
      </c>
      <c r="B1352" s="2" t="s">
        <v>17305</v>
      </c>
      <c r="C1352" s="2" t="s">
        <v>17306</v>
      </c>
      <c r="D1352" s="2" t="s">
        <v>17307</v>
      </c>
      <c r="F1352" s="3" t="s">
        <v>58</v>
      </c>
      <c r="G1352" s="3" t="s">
        <v>59</v>
      </c>
      <c r="H1352" s="3" t="s">
        <v>58</v>
      </c>
      <c r="I1352" s="3" t="s">
        <v>58</v>
      </c>
      <c r="J1352" s="3" t="s">
        <v>60</v>
      </c>
      <c r="K1352" s="2" t="s">
        <v>17308</v>
      </c>
      <c r="L1352" s="2" t="s">
        <v>17309</v>
      </c>
      <c r="M1352" s="3" t="s">
        <v>144</v>
      </c>
      <c r="O1352" s="3" t="s">
        <v>64</v>
      </c>
      <c r="P1352" s="3" t="s">
        <v>115</v>
      </c>
      <c r="R1352" s="3" t="s">
        <v>67</v>
      </c>
      <c r="S1352" s="4">
        <v>2</v>
      </c>
      <c r="T1352" s="4">
        <v>2</v>
      </c>
      <c r="U1352" s="5" t="s">
        <v>17310</v>
      </c>
      <c r="V1352" s="5" t="s">
        <v>17310</v>
      </c>
      <c r="W1352" s="5" t="s">
        <v>17311</v>
      </c>
      <c r="X1352" s="5" t="s">
        <v>17311</v>
      </c>
      <c r="Y1352" s="4">
        <v>372</v>
      </c>
      <c r="Z1352" s="4">
        <v>312</v>
      </c>
      <c r="AA1352" s="4">
        <v>673</v>
      </c>
      <c r="AB1352" s="4">
        <v>2</v>
      </c>
      <c r="AC1352" s="4">
        <v>6</v>
      </c>
      <c r="AD1352" s="4">
        <v>15</v>
      </c>
      <c r="AE1352" s="4">
        <v>32</v>
      </c>
      <c r="AF1352" s="4">
        <v>5</v>
      </c>
      <c r="AG1352" s="4">
        <v>12</v>
      </c>
      <c r="AH1352" s="4">
        <v>4</v>
      </c>
      <c r="AI1352" s="4">
        <v>7</v>
      </c>
      <c r="AJ1352" s="4">
        <v>10</v>
      </c>
      <c r="AK1352" s="4">
        <v>14</v>
      </c>
      <c r="AL1352" s="4">
        <v>1</v>
      </c>
      <c r="AM1352" s="4">
        <v>5</v>
      </c>
      <c r="AN1352" s="4">
        <v>0</v>
      </c>
      <c r="AO1352" s="4">
        <v>1</v>
      </c>
      <c r="AP1352" s="3" t="s">
        <v>58</v>
      </c>
      <c r="AQ1352" s="3" t="s">
        <v>58</v>
      </c>
      <c r="AS1352" s="6" t="str">
        <f>HYPERLINK("https://creighton-primo.hosted.exlibrisgroup.com/primo-explore/search?tab=default_tab&amp;search_scope=EVERYTHING&amp;vid=01CRU&amp;lang=en_US&amp;offset=0&amp;query=any,contains,991002737849702656","Catalog Record")</f>
        <v>Catalog Record</v>
      </c>
      <c r="AT1352" s="6" t="str">
        <f>HYPERLINK("http://www.worldcat.org/oclc/35955107","WorldCat Record")</f>
        <v>WorldCat Record</v>
      </c>
      <c r="AU1352" s="3" t="s">
        <v>17312</v>
      </c>
      <c r="AV1352" s="3" t="s">
        <v>17313</v>
      </c>
      <c r="AW1352" s="3" t="s">
        <v>17314</v>
      </c>
      <c r="AX1352" s="3" t="s">
        <v>17314</v>
      </c>
      <c r="AY1352" s="3" t="s">
        <v>17315</v>
      </c>
      <c r="AZ1352" s="3" t="s">
        <v>74</v>
      </c>
      <c r="BB1352" s="3" t="s">
        <v>17316</v>
      </c>
      <c r="BC1352" s="3" t="s">
        <v>17317</v>
      </c>
      <c r="BD1352" s="3" t="s">
        <v>17318</v>
      </c>
    </row>
    <row r="1353" spans="1:56" ht="42.75" customHeight="1" x14ac:dyDescent="0.25">
      <c r="A1353" s="7" t="s">
        <v>58</v>
      </c>
      <c r="B1353" s="2" t="s">
        <v>17319</v>
      </c>
      <c r="C1353" s="2" t="s">
        <v>17320</v>
      </c>
      <c r="D1353" s="2" t="s">
        <v>17321</v>
      </c>
      <c r="F1353" s="3" t="s">
        <v>58</v>
      </c>
      <c r="G1353" s="3" t="s">
        <v>59</v>
      </c>
      <c r="H1353" s="3" t="s">
        <v>58</v>
      </c>
      <c r="I1353" s="3" t="s">
        <v>58</v>
      </c>
      <c r="J1353" s="3" t="s">
        <v>60</v>
      </c>
      <c r="L1353" s="2" t="s">
        <v>17322</v>
      </c>
      <c r="M1353" s="3" t="s">
        <v>63</v>
      </c>
      <c r="O1353" s="3" t="s">
        <v>64</v>
      </c>
      <c r="P1353" s="3" t="s">
        <v>115</v>
      </c>
      <c r="Q1353" s="2" t="s">
        <v>17323</v>
      </c>
      <c r="R1353" s="3" t="s">
        <v>67</v>
      </c>
      <c r="S1353" s="4">
        <v>12</v>
      </c>
      <c r="T1353" s="4">
        <v>12</v>
      </c>
      <c r="U1353" s="5" t="s">
        <v>17324</v>
      </c>
      <c r="V1353" s="5" t="s">
        <v>17324</v>
      </c>
      <c r="W1353" s="5" t="s">
        <v>8352</v>
      </c>
      <c r="X1353" s="5" t="s">
        <v>8352</v>
      </c>
      <c r="Y1353" s="4">
        <v>239</v>
      </c>
      <c r="Z1353" s="4">
        <v>197</v>
      </c>
      <c r="AA1353" s="4">
        <v>204</v>
      </c>
      <c r="AB1353" s="4">
        <v>2</v>
      </c>
      <c r="AC1353" s="4">
        <v>2</v>
      </c>
      <c r="AD1353" s="4">
        <v>7</v>
      </c>
      <c r="AE1353" s="4">
        <v>7</v>
      </c>
      <c r="AF1353" s="4">
        <v>0</v>
      </c>
      <c r="AG1353" s="4">
        <v>0</v>
      </c>
      <c r="AH1353" s="4">
        <v>3</v>
      </c>
      <c r="AI1353" s="4">
        <v>3</v>
      </c>
      <c r="AJ1353" s="4">
        <v>4</v>
      </c>
      <c r="AK1353" s="4">
        <v>4</v>
      </c>
      <c r="AL1353" s="4">
        <v>1</v>
      </c>
      <c r="AM1353" s="4">
        <v>1</v>
      </c>
      <c r="AN1353" s="4">
        <v>0</v>
      </c>
      <c r="AO1353" s="4">
        <v>0</v>
      </c>
      <c r="AP1353" s="3" t="s">
        <v>58</v>
      </c>
      <c r="AQ1353" s="3" t="s">
        <v>86</v>
      </c>
      <c r="AR1353" s="6" t="str">
        <f>HYPERLINK("http://catalog.hathitrust.org/Record/000288074","HathiTrust Record")</f>
        <v>HathiTrust Record</v>
      </c>
      <c r="AS1353" s="6" t="str">
        <f>HYPERLINK("https://creighton-primo.hosted.exlibrisgroup.com/primo-explore/search?tab=default_tab&amp;search_scope=EVERYTHING&amp;vid=01CRU&amp;lang=en_US&amp;offset=0&amp;query=any,contains,991000157989702656","Catalog Record")</f>
        <v>Catalog Record</v>
      </c>
      <c r="AT1353" s="6" t="str">
        <f>HYPERLINK("http://www.worldcat.org/oclc/9254635","WorldCat Record")</f>
        <v>WorldCat Record</v>
      </c>
      <c r="AU1353" s="3" t="s">
        <v>17325</v>
      </c>
      <c r="AV1353" s="3" t="s">
        <v>17326</v>
      </c>
      <c r="AW1353" s="3" t="s">
        <v>17327</v>
      </c>
      <c r="AX1353" s="3" t="s">
        <v>17327</v>
      </c>
      <c r="AY1353" s="3" t="s">
        <v>17328</v>
      </c>
      <c r="AZ1353" s="3" t="s">
        <v>74</v>
      </c>
      <c r="BB1353" s="3" t="s">
        <v>17329</v>
      </c>
      <c r="BC1353" s="3" t="s">
        <v>17330</v>
      </c>
      <c r="BD1353" s="3" t="s">
        <v>17331</v>
      </c>
    </row>
    <row r="1354" spans="1:56" ht="42.75" customHeight="1" x14ac:dyDescent="0.25">
      <c r="A1354" s="7" t="s">
        <v>58</v>
      </c>
      <c r="B1354" s="2" t="s">
        <v>17332</v>
      </c>
      <c r="C1354" s="2" t="s">
        <v>17333</v>
      </c>
      <c r="D1354" s="2" t="s">
        <v>17334</v>
      </c>
      <c r="F1354" s="3" t="s">
        <v>58</v>
      </c>
      <c r="G1354" s="3" t="s">
        <v>59</v>
      </c>
      <c r="H1354" s="3" t="s">
        <v>58</v>
      </c>
      <c r="I1354" s="3" t="s">
        <v>58</v>
      </c>
      <c r="J1354" s="3" t="s">
        <v>60</v>
      </c>
      <c r="K1354" s="2" t="s">
        <v>17335</v>
      </c>
      <c r="L1354" s="2" t="s">
        <v>17336</v>
      </c>
      <c r="M1354" s="3" t="s">
        <v>98</v>
      </c>
      <c r="O1354" s="3" t="s">
        <v>64</v>
      </c>
      <c r="P1354" s="3" t="s">
        <v>65</v>
      </c>
      <c r="Q1354" s="2" t="s">
        <v>17337</v>
      </c>
      <c r="R1354" s="3" t="s">
        <v>67</v>
      </c>
      <c r="S1354" s="4">
        <v>15</v>
      </c>
      <c r="T1354" s="4">
        <v>15</v>
      </c>
      <c r="U1354" s="5" t="s">
        <v>9138</v>
      </c>
      <c r="V1354" s="5" t="s">
        <v>9138</v>
      </c>
      <c r="W1354" s="5" t="s">
        <v>17285</v>
      </c>
      <c r="X1354" s="5" t="s">
        <v>17285</v>
      </c>
      <c r="Y1354" s="4">
        <v>490</v>
      </c>
      <c r="Z1354" s="4">
        <v>354</v>
      </c>
      <c r="AA1354" s="4">
        <v>356</v>
      </c>
      <c r="AB1354" s="4">
        <v>4</v>
      </c>
      <c r="AC1354" s="4">
        <v>4</v>
      </c>
      <c r="AD1354" s="4">
        <v>22</v>
      </c>
      <c r="AE1354" s="4">
        <v>22</v>
      </c>
      <c r="AF1354" s="4">
        <v>7</v>
      </c>
      <c r="AG1354" s="4">
        <v>7</v>
      </c>
      <c r="AH1354" s="4">
        <v>5</v>
      </c>
      <c r="AI1354" s="4">
        <v>5</v>
      </c>
      <c r="AJ1354" s="4">
        <v>14</v>
      </c>
      <c r="AK1354" s="4">
        <v>14</v>
      </c>
      <c r="AL1354" s="4">
        <v>3</v>
      </c>
      <c r="AM1354" s="4">
        <v>3</v>
      </c>
      <c r="AN1354" s="4">
        <v>0</v>
      </c>
      <c r="AO1354" s="4">
        <v>0</v>
      </c>
      <c r="AP1354" s="3" t="s">
        <v>58</v>
      </c>
      <c r="AQ1354" s="3" t="s">
        <v>86</v>
      </c>
      <c r="AR1354" s="6" t="str">
        <f>HYPERLINK("http://catalog.hathitrust.org/Record/001071253","HathiTrust Record")</f>
        <v>HathiTrust Record</v>
      </c>
      <c r="AS1354" s="6" t="str">
        <f>HYPERLINK("https://creighton-primo.hosted.exlibrisgroup.com/primo-explore/search?tab=default_tab&amp;search_scope=EVERYTHING&amp;vid=01CRU&amp;lang=en_US&amp;offset=0&amp;query=any,contains,991001289689702656","Catalog Record")</f>
        <v>Catalog Record</v>
      </c>
      <c r="AT1354" s="6" t="str">
        <f>HYPERLINK("http://www.worldcat.org/oclc/17982702","WorldCat Record")</f>
        <v>WorldCat Record</v>
      </c>
      <c r="AU1354" s="3" t="s">
        <v>17338</v>
      </c>
      <c r="AV1354" s="3" t="s">
        <v>17339</v>
      </c>
      <c r="AW1354" s="3" t="s">
        <v>17340</v>
      </c>
      <c r="AX1354" s="3" t="s">
        <v>17340</v>
      </c>
      <c r="AY1354" s="3" t="s">
        <v>17341</v>
      </c>
      <c r="AZ1354" s="3" t="s">
        <v>74</v>
      </c>
      <c r="BB1354" s="3" t="s">
        <v>17342</v>
      </c>
      <c r="BC1354" s="3" t="s">
        <v>17343</v>
      </c>
      <c r="BD1354" s="3" t="s">
        <v>17344</v>
      </c>
    </row>
    <row r="1355" spans="1:56" ht="42.75" customHeight="1" x14ac:dyDescent="0.25">
      <c r="A1355" s="7" t="s">
        <v>58</v>
      </c>
      <c r="B1355" s="2" t="s">
        <v>17345</v>
      </c>
      <c r="C1355" s="2" t="s">
        <v>17346</v>
      </c>
      <c r="D1355" s="2" t="s">
        <v>17347</v>
      </c>
      <c r="F1355" s="3" t="s">
        <v>58</v>
      </c>
      <c r="G1355" s="3" t="s">
        <v>59</v>
      </c>
      <c r="H1355" s="3" t="s">
        <v>58</v>
      </c>
      <c r="I1355" s="3" t="s">
        <v>58</v>
      </c>
      <c r="J1355" s="3" t="s">
        <v>60</v>
      </c>
      <c r="K1355" s="2" t="s">
        <v>17348</v>
      </c>
      <c r="L1355" s="2" t="s">
        <v>10881</v>
      </c>
      <c r="M1355" s="3" t="s">
        <v>63</v>
      </c>
      <c r="O1355" s="3" t="s">
        <v>64</v>
      </c>
      <c r="P1355" s="3" t="s">
        <v>115</v>
      </c>
      <c r="Q1355" s="2" t="s">
        <v>10678</v>
      </c>
      <c r="R1355" s="3" t="s">
        <v>67</v>
      </c>
      <c r="S1355" s="4">
        <v>16</v>
      </c>
      <c r="T1355" s="4">
        <v>16</v>
      </c>
      <c r="U1355" s="5" t="s">
        <v>15718</v>
      </c>
      <c r="V1355" s="5" t="s">
        <v>15718</v>
      </c>
      <c r="W1355" s="5" t="s">
        <v>8352</v>
      </c>
      <c r="X1355" s="5" t="s">
        <v>8352</v>
      </c>
      <c r="Y1355" s="4">
        <v>346</v>
      </c>
      <c r="Z1355" s="4">
        <v>265</v>
      </c>
      <c r="AA1355" s="4">
        <v>279</v>
      </c>
      <c r="AB1355" s="4">
        <v>2</v>
      </c>
      <c r="AC1355" s="4">
        <v>2</v>
      </c>
      <c r="AD1355" s="4">
        <v>8</v>
      </c>
      <c r="AE1355" s="4">
        <v>8</v>
      </c>
      <c r="AF1355" s="4">
        <v>3</v>
      </c>
      <c r="AG1355" s="4">
        <v>3</v>
      </c>
      <c r="AH1355" s="4">
        <v>1</v>
      </c>
      <c r="AI1355" s="4">
        <v>1</v>
      </c>
      <c r="AJ1355" s="4">
        <v>6</v>
      </c>
      <c r="AK1355" s="4">
        <v>6</v>
      </c>
      <c r="AL1355" s="4">
        <v>1</v>
      </c>
      <c r="AM1355" s="4">
        <v>1</v>
      </c>
      <c r="AN1355" s="4">
        <v>0</v>
      </c>
      <c r="AO1355" s="4">
        <v>0</v>
      </c>
      <c r="AP1355" s="3" t="s">
        <v>58</v>
      </c>
      <c r="AQ1355" s="3" t="s">
        <v>58</v>
      </c>
      <c r="AS1355" s="6" t="str">
        <f>HYPERLINK("https://creighton-primo.hosted.exlibrisgroup.com/primo-explore/search?tab=default_tab&amp;search_scope=EVERYTHING&amp;vid=01CRU&amp;lang=en_US&amp;offset=0&amp;query=any,contains,991000277159702656","Catalog Record")</f>
        <v>Catalog Record</v>
      </c>
      <c r="AT1355" s="6" t="str">
        <f>HYPERLINK("http://www.worldcat.org/oclc/9896291","WorldCat Record")</f>
        <v>WorldCat Record</v>
      </c>
      <c r="AU1355" s="3" t="s">
        <v>17349</v>
      </c>
      <c r="AV1355" s="3" t="s">
        <v>17350</v>
      </c>
      <c r="AW1355" s="3" t="s">
        <v>17351</v>
      </c>
      <c r="AX1355" s="3" t="s">
        <v>17351</v>
      </c>
      <c r="AY1355" s="3" t="s">
        <v>17352</v>
      </c>
      <c r="AZ1355" s="3" t="s">
        <v>74</v>
      </c>
      <c r="BB1355" s="3" t="s">
        <v>17353</v>
      </c>
      <c r="BC1355" s="3" t="s">
        <v>17354</v>
      </c>
      <c r="BD1355" s="3" t="s">
        <v>17355</v>
      </c>
    </row>
    <row r="1356" spans="1:56" ht="42.75" customHeight="1" x14ac:dyDescent="0.25">
      <c r="A1356" s="7" t="s">
        <v>58</v>
      </c>
      <c r="B1356" s="2" t="s">
        <v>17356</v>
      </c>
      <c r="C1356" s="2" t="s">
        <v>17357</v>
      </c>
      <c r="D1356" s="2" t="s">
        <v>17358</v>
      </c>
      <c r="F1356" s="3" t="s">
        <v>58</v>
      </c>
      <c r="G1356" s="3" t="s">
        <v>59</v>
      </c>
      <c r="H1356" s="3" t="s">
        <v>58</v>
      </c>
      <c r="I1356" s="3" t="s">
        <v>58</v>
      </c>
      <c r="J1356" s="3" t="s">
        <v>60</v>
      </c>
      <c r="K1356" s="2" t="s">
        <v>17359</v>
      </c>
      <c r="L1356" s="2" t="s">
        <v>17360</v>
      </c>
      <c r="M1356" s="3" t="s">
        <v>1101</v>
      </c>
      <c r="O1356" s="3" t="s">
        <v>64</v>
      </c>
      <c r="P1356" s="3" t="s">
        <v>115</v>
      </c>
      <c r="Q1356" s="2" t="s">
        <v>17361</v>
      </c>
      <c r="R1356" s="3" t="s">
        <v>67</v>
      </c>
      <c r="S1356" s="4">
        <v>3</v>
      </c>
      <c r="T1356" s="4">
        <v>3</v>
      </c>
      <c r="U1356" s="5" t="s">
        <v>7404</v>
      </c>
      <c r="V1356" s="5" t="s">
        <v>7404</v>
      </c>
      <c r="W1356" s="5" t="s">
        <v>17362</v>
      </c>
      <c r="X1356" s="5" t="s">
        <v>17362</v>
      </c>
      <c r="Y1356" s="4">
        <v>219</v>
      </c>
      <c r="Z1356" s="4">
        <v>180</v>
      </c>
      <c r="AA1356" s="4">
        <v>186</v>
      </c>
      <c r="AB1356" s="4">
        <v>2</v>
      </c>
      <c r="AC1356" s="4">
        <v>2</v>
      </c>
      <c r="AD1356" s="4">
        <v>9</v>
      </c>
      <c r="AE1356" s="4">
        <v>9</v>
      </c>
      <c r="AF1356" s="4">
        <v>3</v>
      </c>
      <c r="AG1356" s="4">
        <v>3</v>
      </c>
      <c r="AH1356" s="4">
        <v>2</v>
      </c>
      <c r="AI1356" s="4">
        <v>2</v>
      </c>
      <c r="AJ1356" s="4">
        <v>6</v>
      </c>
      <c r="AK1356" s="4">
        <v>6</v>
      </c>
      <c r="AL1356" s="4">
        <v>1</v>
      </c>
      <c r="AM1356" s="4">
        <v>1</v>
      </c>
      <c r="AN1356" s="4">
        <v>0</v>
      </c>
      <c r="AO1356" s="4">
        <v>0</v>
      </c>
      <c r="AP1356" s="3" t="s">
        <v>58</v>
      </c>
      <c r="AQ1356" s="3" t="s">
        <v>58</v>
      </c>
      <c r="AS1356" s="6" t="str">
        <f>HYPERLINK("https://creighton-primo.hosted.exlibrisgroup.com/primo-explore/search?tab=default_tab&amp;search_scope=EVERYTHING&amp;vid=01CRU&amp;lang=en_US&amp;offset=0&amp;query=any,contains,991003741289702656","Catalog Record")</f>
        <v>Catalog Record</v>
      </c>
      <c r="AT1356" s="6" t="str">
        <f>HYPERLINK("http://www.worldcat.org/oclc/47837900","WorldCat Record")</f>
        <v>WorldCat Record</v>
      </c>
      <c r="AU1356" s="3" t="s">
        <v>17363</v>
      </c>
      <c r="AV1356" s="3" t="s">
        <v>17364</v>
      </c>
      <c r="AW1356" s="3" t="s">
        <v>17365</v>
      </c>
      <c r="AX1356" s="3" t="s">
        <v>17365</v>
      </c>
      <c r="AY1356" s="3" t="s">
        <v>17366</v>
      </c>
      <c r="AZ1356" s="3" t="s">
        <v>74</v>
      </c>
      <c r="BB1356" s="3" t="s">
        <v>17367</v>
      </c>
      <c r="BC1356" s="3" t="s">
        <v>17368</v>
      </c>
      <c r="BD1356" s="3" t="s">
        <v>17369</v>
      </c>
    </row>
    <row r="1357" spans="1:56" ht="42.75" customHeight="1" x14ac:dyDescent="0.25">
      <c r="A1357" s="7" t="s">
        <v>58</v>
      </c>
      <c r="B1357" s="2" t="s">
        <v>17370</v>
      </c>
      <c r="C1357" s="2" t="s">
        <v>17371</v>
      </c>
      <c r="D1357" s="2" t="s">
        <v>17372</v>
      </c>
      <c r="F1357" s="3" t="s">
        <v>58</v>
      </c>
      <c r="G1357" s="3" t="s">
        <v>59</v>
      </c>
      <c r="H1357" s="3" t="s">
        <v>58</v>
      </c>
      <c r="I1357" s="3" t="s">
        <v>58</v>
      </c>
      <c r="J1357" s="3" t="s">
        <v>60</v>
      </c>
      <c r="K1357" s="2" t="s">
        <v>17373</v>
      </c>
      <c r="L1357" s="2" t="s">
        <v>17374</v>
      </c>
      <c r="M1357" s="3" t="s">
        <v>737</v>
      </c>
      <c r="O1357" s="3" t="s">
        <v>64</v>
      </c>
      <c r="P1357" s="3" t="s">
        <v>115</v>
      </c>
      <c r="R1357" s="3" t="s">
        <v>67</v>
      </c>
      <c r="S1357" s="4">
        <v>12</v>
      </c>
      <c r="T1357" s="4">
        <v>12</v>
      </c>
      <c r="U1357" s="5" t="s">
        <v>9138</v>
      </c>
      <c r="V1357" s="5" t="s">
        <v>9138</v>
      </c>
      <c r="W1357" s="5" t="s">
        <v>6107</v>
      </c>
      <c r="X1357" s="5" t="s">
        <v>6107</v>
      </c>
      <c r="Y1357" s="4">
        <v>66</v>
      </c>
      <c r="Z1357" s="4">
        <v>57</v>
      </c>
      <c r="AA1357" s="4">
        <v>188</v>
      </c>
      <c r="AB1357" s="4">
        <v>2</v>
      </c>
      <c r="AC1357" s="4">
        <v>2</v>
      </c>
      <c r="AD1357" s="4">
        <v>2</v>
      </c>
      <c r="AE1357" s="4">
        <v>3</v>
      </c>
      <c r="AF1357" s="4">
        <v>1</v>
      </c>
      <c r="AG1357" s="4">
        <v>1</v>
      </c>
      <c r="AH1357" s="4">
        <v>0</v>
      </c>
      <c r="AI1357" s="4">
        <v>1</v>
      </c>
      <c r="AJ1357" s="4">
        <v>1</v>
      </c>
      <c r="AK1357" s="4">
        <v>2</v>
      </c>
      <c r="AL1357" s="4">
        <v>1</v>
      </c>
      <c r="AM1357" s="4">
        <v>1</v>
      </c>
      <c r="AN1357" s="4">
        <v>0</v>
      </c>
      <c r="AO1357" s="4">
        <v>0</v>
      </c>
      <c r="AP1357" s="3" t="s">
        <v>58</v>
      </c>
      <c r="AQ1357" s="3" t="s">
        <v>58</v>
      </c>
      <c r="AS1357" s="6" t="str">
        <f>HYPERLINK("https://creighton-primo.hosted.exlibrisgroup.com/primo-explore/search?tab=default_tab&amp;search_scope=EVERYTHING&amp;vid=01CRU&amp;lang=en_US&amp;offset=0&amp;query=any,contains,991002411899702656","Catalog Record")</f>
        <v>Catalog Record</v>
      </c>
      <c r="AT1357" s="6" t="str">
        <f>HYPERLINK("http://www.worldcat.org/oclc/31384807","WorldCat Record")</f>
        <v>WorldCat Record</v>
      </c>
      <c r="AU1357" s="3" t="s">
        <v>17375</v>
      </c>
      <c r="AV1357" s="3" t="s">
        <v>17376</v>
      </c>
      <c r="AW1357" s="3" t="s">
        <v>17377</v>
      </c>
      <c r="AX1357" s="3" t="s">
        <v>17377</v>
      </c>
      <c r="AY1357" s="3" t="s">
        <v>17378</v>
      </c>
      <c r="AZ1357" s="3" t="s">
        <v>74</v>
      </c>
      <c r="BB1357" s="3" t="s">
        <v>17379</v>
      </c>
      <c r="BC1357" s="3" t="s">
        <v>17380</v>
      </c>
      <c r="BD1357" s="3" t="s">
        <v>17381</v>
      </c>
    </row>
    <row r="1358" spans="1:56" ht="42.75" customHeight="1" x14ac:dyDescent="0.25">
      <c r="A1358" s="7" t="s">
        <v>58</v>
      </c>
      <c r="B1358" s="2" t="s">
        <v>17382</v>
      </c>
      <c r="C1358" s="2" t="s">
        <v>17383</v>
      </c>
      <c r="D1358" s="2" t="s">
        <v>17384</v>
      </c>
      <c r="F1358" s="3" t="s">
        <v>58</v>
      </c>
      <c r="G1358" s="3" t="s">
        <v>59</v>
      </c>
      <c r="H1358" s="3" t="s">
        <v>58</v>
      </c>
      <c r="I1358" s="3" t="s">
        <v>58</v>
      </c>
      <c r="J1358" s="3" t="s">
        <v>60</v>
      </c>
      <c r="K1358" s="2" t="s">
        <v>17385</v>
      </c>
      <c r="L1358" s="2" t="s">
        <v>17386</v>
      </c>
      <c r="M1358" s="3" t="s">
        <v>480</v>
      </c>
      <c r="N1358" s="2" t="s">
        <v>1736</v>
      </c>
      <c r="O1358" s="3" t="s">
        <v>64</v>
      </c>
      <c r="P1358" s="3" t="s">
        <v>99</v>
      </c>
      <c r="R1358" s="3" t="s">
        <v>67</v>
      </c>
      <c r="S1358" s="4">
        <v>15</v>
      </c>
      <c r="T1358" s="4">
        <v>15</v>
      </c>
      <c r="U1358" s="5" t="s">
        <v>9138</v>
      </c>
      <c r="V1358" s="5" t="s">
        <v>9138</v>
      </c>
      <c r="W1358" s="5" t="s">
        <v>4822</v>
      </c>
      <c r="X1358" s="5" t="s">
        <v>4822</v>
      </c>
      <c r="Y1358" s="4">
        <v>74</v>
      </c>
      <c r="Z1358" s="4">
        <v>43</v>
      </c>
      <c r="AA1358" s="4">
        <v>43</v>
      </c>
      <c r="AB1358" s="4">
        <v>1</v>
      </c>
      <c r="AC1358" s="4">
        <v>1</v>
      </c>
      <c r="AD1358" s="4">
        <v>0</v>
      </c>
      <c r="AE1358" s="4">
        <v>0</v>
      </c>
      <c r="AF1358" s="4">
        <v>0</v>
      </c>
      <c r="AG1358" s="4">
        <v>0</v>
      </c>
      <c r="AH1358" s="4">
        <v>0</v>
      </c>
      <c r="AI1358" s="4">
        <v>0</v>
      </c>
      <c r="AJ1358" s="4">
        <v>0</v>
      </c>
      <c r="AK1358" s="4">
        <v>0</v>
      </c>
      <c r="AL1358" s="4">
        <v>0</v>
      </c>
      <c r="AM1358" s="4">
        <v>0</v>
      </c>
      <c r="AN1358" s="4">
        <v>0</v>
      </c>
      <c r="AO1358" s="4">
        <v>0</v>
      </c>
      <c r="AP1358" s="3" t="s">
        <v>58</v>
      </c>
      <c r="AQ1358" s="3" t="s">
        <v>58</v>
      </c>
      <c r="AS1358" s="6" t="str">
        <f>HYPERLINK("https://creighton-primo.hosted.exlibrisgroup.com/primo-explore/search?tab=default_tab&amp;search_scope=EVERYTHING&amp;vid=01CRU&amp;lang=en_US&amp;offset=0&amp;query=any,contains,991001625509702656","Catalog Record")</f>
        <v>Catalog Record</v>
      </c>
      <c r="AT1358" s="6" t="str">
        <f>HYPERLINK("http://www.worldcat.org/oclc/20850440","WorldCat Record")</f>
        <v>WorldCat Record</v>
      </c>
      <c r="AU1358" s="3" t="s">
        <v>17387</v>
      </c>
      <c r="AV1358" s="3" t="s">
        <v>17388</v>
      </c>
      <c r="AW1358" s="3" t="s">
        <v>17389</v>
      </c>
      <c r="AX1358" s="3" t="s">
        <v>17389</v>
      </c>
      <c r="AY1358" s="3" t="s">
        <v>17390</v>
      </c>
      <c r="AZ1358" s="3" t="s">
        <v>74</v>
      </c>
      <c r="BB1358" s="3" t="s">
        <v>17391</v>
      </c>
      <c r="BC1358" s="3" t="s">
        <v>17392</v>
      </c>
      <c r="BD1358" s="3" t="s">
        <v>17393</v>
      </c>
    </row>
    <row r="1359" spans="1:56" ht="42.75" customHeight="1" x14ac:dyDescent="0.25">
      <c r="A1359" s="7" t="s">
        <v>58</v>
      </c>
      <c r="B1359" s="2" t="s">
        <v>17394</v>
      </c>
      <c r="C1359" s="2" t="s">
        <v>17395</v>
      </c>
      <c r="D1359" s="2" t="s">
        <v>17396</v>
      </c>
      <c r="F1359" s="3" t="s">
        <v>58</v>
      </c>
      <c r="G1359" s="3" t="s">
        <v>59</v>
      </c>
      <c r="H1359" s="3" t="s">
        <v>58</v>
      </c>
      <c r="I1359" s="3" t="s">
        <v>58</v>
      </c>
      <c r="J1359" s="3" t="s">
        <v>60</v>
      </c>
      <c r="K1359" s="2" t="s">
        <v>17397</v>
      </c>
      <c r="L1359" s="2" t="s">
        <v>17398</v>
      </c>
      <c r="M1359" s="3" t="s">
        <v>765</v>
      </c>
      <c r="O1359" s="3" t="s">
        <v>64</v>
      </c>
      <c r="P1359" s="3" t="s">
        <v>254</v>
      </c>
      <c r="R1359" s="3" t="s">
        <v>67</v>
      </c>
      <c r="S1359" s="4">
        <v>12</v>
      </c>
      <c r="T1359" s="4">
        <v>12</v>
      </c>
      <c r="U1359" s="5" t="s">
        <v>17399</v>
      </c>
      <c r="V1359" s="5" t="s">
        <v>17399</v>
      </c>
      <c r="W1359" s="5" t="s">
        <v>17400</v>
      </c>
      <c r="X1359" s="5" t="s">
        <v>17400</v>
      </c>
      <c r="Y1359" s="4">
        <v>202</v>
      </c>
      <c r="Z1359" s="4">
        <v>152</v>
      </c>
      <c r="AA1359" s="4">
        <v>895</v>
      </c>
      <c r="AB1359" s="4">
        <v>2</v>
      </c>
      <c r="AC1359" s="4">
        <v>4</v>
      </c>
      <c r="AD1359" s="4">
        <v>6</v>
      </c>
      <c r="AE1359" s="4">
        <v>12</v>
      </c>
      <c r="AF1359" s="4">
        <v>3</v>
      </c>
      <c r="AG1359" s="4">
        <v>6</v>
      </c>
      <c r="AH1359" s="4">
        <v>0</v>
      </c>
      <c r="AI1359" s="4">
        <v>2</v>
      </c>
      <c r="AJ1359" s="4">
        <v>3</v>
      </c>
      <c r="AK1359" s="4">
        <v>5</v>
      </c>
      <c r="AL1359" s="4">
        <v>0</v>
      </c>
      <c r="AM1359" s="4">
        <v>2</v>
      </c>
      <c r="AN1359" s="4">
        <v>1</v>
      </c>
      <c r="AO1359" s="4">
        <v>1</v>
      </c>
      <c r="AP1359" s="3" t="s">
        <v>58</v>
      </c>
      <c r="AQ1359" s="3" t="s">
        <v>58</v>
      </c>
      <c r="AS1359" s="6" t="str">
        <f>HYPERLINK("https://creighton-primo.hosted.exlibrisgroup.com/primo-explore/search?tab=default_tab&amp;search_scope=EVERYTHING&amp;vid=01CRU&amp;lang=en_US&amp;offset=0&amp;query=any,contains,991002384559702656","Catalog Record")</f>
        <v>Catalog Record</v>
      </c>
      <c r="AT1359" s="6" t="str">
        <f>HYPERLINK("http://www.worldcat.org/oclc/30978966","WorldCat Record")</f>
        <v>WorldCat Record</v>
      </c>
      <c r="AU1359" s="3" t="s">
        <v>17401</v>
      </c>
      <c r="AV1359" s="3" t="s">
        <v>17402</v>
      </c>
      <c r="AW1359" s="3" t="s">
        <v>17403</v>
      </c>
      <c r="AX1359" s="3" t="s">
        <v>17403</v>
      </c>
      <c r="AY1359" s="3" t="s">
        <v>17404</v>
      </c>
      <c r="AZ1359" s="3" t="s">
        <v>74</v>
      </c>
      <c r="BB1359" s="3" t="s">
        <v>17405</v>
      </c>
      <c r="BC1359" s="3" t="s">
        <v>17406</v>
      </c>
      <c r="BD1359" s="3" t="s">
        <v>17407</v>
      </c>
    </row>
    <row r="1360" spans="1:56" ht="42.75" customHeight="1" x14ac:dyDescent="0.25">
      <c r="A1360" s="7" t="s">
        <v>58</v>
      </c>
      <c r="B1360" s="2" t="s">
        <v>17408</v>
      </c>
      <c r="C1360" s="2" t="s">
        <v>17409</v>
      </c>
      <c r="D1360" s="2" t="s">
        <v>17410</v>
      </c>
      <c r="F1360" s="3" t="s">
        <v>58</v>
      </c>
      <c r="G1360" s="3" t="s">
        <v>59</v>
      </c>
      <c r="H1360" s="3" t="s">
        <v>58</v>
      </c>
      <c r="I1360" s="3" t="s">
        <v>58</v>
      </c>
      <c r="J1360" s="3" t="s">
        <v>60</v>
      </c>
      <c r="K1360" s="2" t="s">
        <v>17411</v>
      </c>
      <c r="L1360" s="2" t="s">
        <v>17412</v>
      </c>
      <c r="M1360" s="3" t="s">
        <v>586</v>
      </c>
      <c r="O1360" s="3" t="s">
        <v>64</v>
      </c>
      <c r="P1360" s="3" t="s">
        <v>115</v>
      </c>
      <c r="Q1360" s="2" t="s">
        <v>17361</v>
      </c>
      <c r="R1360" s="3" t="s">
        <v>67</v>
      </c>
      <c r="S1360" s="4">
        <v>29</v>
      </c>
      <c r="T1360" s="4">
        <v>29</v>
      </c>
      <c r="U1360" s="5" t="s">
        <v>17413</v>
      </c>
      <c r="V1360" s="5" t="s">
        <v>17413</v>
      </c>
      <c r="W1360" s="5" t="s">
        <v>9574</v>
      </c>
      <c r="X1360" s="5" t="s">
        <v>9574</v>
      </c>
      <c r="Y1360" s="4">
        <v>455</v>
      </c>
      <c r="Z1360" s="4">
        <v>366</v>
      </c>
      <c r="AA1360" s="4">
        <v>366</v>
      </c>
      <c r="AB1360" s="4">
        <v>3</v>
      </c>
      <c r="AC1360" s="4">
        <v>3</v>
      </c>
      <c r="AD1360" s="4">
        <v>18</v>
      </c>
      <c r="AE1360" s="4">
        <v>18</v>
      </c>
      <c r="AF1360" s="4">
        <v>7</v>
      </c>
      <c r="AG1360" s="4">
        <v>7</v>
      </c>
      <c r="AH1360" s="4">
        <v>2</v>
      </c>
      <c r="AI1360" s="4">
        <v>2</v>
      </c>
      <c r="AJ1360" s="4">
        <v>10</v>
      </c>
      <c r="AK1360" s="4">
        <v>10</v>
      </c>
      <c r="AL1360" s="4">
        <v>2</v>
      </c>
      <c r="AM1360" s="4">
        <v>2</v>
      </c>
      <c r="AN1360" s="4">
        <v>0</v>
      </c>
      <c r="AO1360" s="4">
        <v>0</v>
      </c>
      <c r="AP1360" s="3" t="s">
        <v>58</v>
      </c>
      <c r="AQ1360" s="3" t="s">
        <v>58</v>
      </c>
      <c r="AS1360" s="6" t="str">
        <f>HYPERLINK("https://creighton-primo.hosted.exlibrisgroup.com/primo-explore/search?tab=default_tab&amp;search_scope=EVERYTHING&amp;vid=01CRU&amp;lang=en_US&amp;offset=0&amp;query=any,contains,991001904519702656","Catalog Record")</f>
        <v>Catalog Record</v>
      </c>
      <c r="AT1360" s="6" t="str">
        <f>HYPERLINK("http://www.worldcat.org/oclc/24066523","WorldCat Record")</f>
        <v>WorldCat Record</v>
      </c>
      <c r="AU1360" s="3" t="s">
        <v>17414</v>
      </c>
      <c r="AV1360" s="3" t="s">
        <v>17415</v>
      </c>
      <c r="AW1360" s="3" t="s">
        <v>17416</v>
      </c>
      <c r="AX1360" s="3" t="s">
        <v>17416</v>
      </c>
      <c r="AY1360" s="3" t="s">
        <v>17417</v>
      </c>
      <c r="AZ1360" s="3" t="s">
        <v>74</v>
      </c>
      <c r="BB1360" s="3" t="s">
        <v>17418</v>
      </c>
      <c r="BC1360" s="3" t="s">
        <v>17419</v>
      </c>
      <c r="BD1360" s="3" t="s">
        <v>17420</v>
      </c>
    </row>
    <row r="1361" spans="1:56" ht="42.75" customHeight="1" x14ac:dyDescent="0.25">
      <c r="A1361" s="7" t="s">
        <v>58</v>
      </c>
      <c r="B1361" s="2" t="s">
        <v>17421</v>
      </c>
      <c r="C1361" s="2" t="s">
        <v>17422</v>
      </c>
      <c r="D1361" s="2" t="s">
        <v>17423</v>
      </c>
      <c r="F1361" s="3" t="s">
        <v>58</v>
      </c>
      <c r="G1361" s="3" t="s">
        <v>59</v>
      </c>
      <c r="H1361" s="3" t="s">
        <v>58</v>
      </c>
      <c r="I1361" s="3" t="s">
        <v>58</v>
      </c>
      <c r="J1361" s="3" t="s">
        <v>60</v>
      </c>
      <c r="K1361" s="2" t="s">
        <v>17424</v>
      </c>
      <c r="L1361" s="2" t="s">
        <v>17425</v>
      </c>
      <c r="M1361" s="3" t="s">
        <v>942</v>
      </c>
      <c r="O1361" s="3" t="s">
        <v>64</v>
      </c>
      <c r="P1361" s="3" t="s">
        <v>83</v>
      </c>
      <c r="R1361" s="3" t="s">
        <v>67</v>
      </c>
      <c r="S1361" s="4">
        <v>3</v>
      </c>
      <c r="T1361" s="4">
        <v>3</v>
      </c>
      <c r="U1361" s="5" t="s">
        <v>17426</v>
      </c>
      <c r="V1361" s="5" t="s">
        <v>17426</v>
      </c>
      <c r="W1361" s="5" t="s">
        <v>17427</v>
      </c>
      <c r="X1361" s="5" t="s">
        <v>17427</v>
      </c>
      <c r="Y1361" s="4">
        <v>512</v>
      </c>
      <c r="Z1361" s="4">
        <v>462</v>
      </c>
      <c r="AA1361" s="4">
        <v>462</v>
      </c>
      <c r="AB1361" s="4">
        <v>5</v>
      </c>
      <c r="AC1361" s="4">
        <v>5</v>
      </c>
      <c r="AD1361" s="4">
        <v>20</v>
      </c>
      <c r="AE1361" s="4">
        <v>20</v>
      </c>
      <c r="AF1361" s="4">
        <v>8</v>
      </c>
      <c r="AG1361" s="4">
        <v>8</v>
      </c>
      <c r="AH1361" s="4">
        <v>5</v>
      </c>
      <c r="AI1361" s="4">
        <v>5</v>
      </c>
      <c r="AJ1361" s="4">
        <v>12</v>
      </c>
      <c r="AK1361" s="4">
        <v>12</v>
      </c>
      <c r="AL1361" s="4">
        <v>1</v>
      </c>
      <c r="AM1361" s="4">
        <v>1</v>
      </c>
      <c r="AN1361" s="4">
        <v>0</v>
      </c>
      <c r="AO1361" s="4">
        <v>0</v>
      </c>
      <c r="AP1361" s="3" t="s">
        <v>58</v>
      </c>
      <c r="AQ1361" s="3" t="s">
        <v>58</v>
      </c>
      <c r="AS1361" s="6" t="str">
        <f>HYPERLINK("https://creighton-primo.hosted.exlibrisgroup.com/primo-explore/search?tab=default_tab&amp;search_scope=EVERYTHING&amp;vid=01CRU&amp;lang=en_US&amp;offset=0&amp;query=any,contains,991003240299702656","Catalog Record")</f>
        <v>Catalog Record</v>
      </c>
      <c r="AT1361" s="6" t="str">
        <f>HYPERLINK("http://www.worldcat.org/oclc/40654708","WorldCat Record")</f>
        <v>WorldCat Record</v>
      </c>
      <c r="AU1361" s="3" t="s">
        <v>17428</v>
      </c>
      <c r="AV1361" s="3" t="s">
        <v>17429</v>
      </c>
      <c r="AW1361" s="3" t="s">
        <v>17430</v>
      </c>
      <c r="AX1361" s="3" t="s">
        <v>17430</v>
      </c>
      <c r="AY1361" s="3" t="s">
        <v>17431</v>
      </c>
      <c r="AZ1361" s="3" t="s">
        <v>74</v>
      </c>
      <c r="BB1361" s="3" t="s">
        <v>17432</v>
      </c>
      <c r="BC1361" s="3" t="s">
        <v>17433</v>
      </c>
      <c r="BD1361" s="3" t="s">
        <v>17434</v>
      </c>
    </row>
    <row r="1362" spans="1:56" ht="42.75" customHeight="1" x14ac:dyDescent="0.25">
      <c r="A1362" s="7" t="s">
        <v>58</v>
      </c>
      <c r="B1362" s="2" t="s">
        <v>17435</v>
      </c>
      <c r="C1362" s="2" t="s">
        <v>17436</v>
      </c>
      <c r="D1362" s="2" t="s">
        <v>17437</v>
      </c>
      <c r="F1362" s="3" t="s">
        <v>58</v>
      </c>
      <c r="G1362" s="3" t="s">
        <v>59</v>
      </c>
      <c r="H1362" s="3" t="s">
        <v>58</v>
      </c>
      <c r="I1362" s="3" t="s">
        <v>58</v>
      </c>
      <c r="J1362" s="3" t="s">
        <v>60</v>
      </c>
      <c r="K1362" s="2" t="s">
        <v>17438</v>
      </c>
      <c r="L1362" s="2" t="s">
        <v>17439</v>
      </c>
      <c r="M1362" s="3" t="s">
        <v>805</v>
      </c>
      <c r="O1362" s="3" t="s">
        <v>64</v>
      </c>
      <c r="P1362" s="3" t="s">
        <v>1763</v>
      </c>
      <c r="R1362" s="3" t="s">
        <v>67</v>
      </c>
      <c r="S1362" s="4">
        <v>2</v>
      </c>
      <c r="T1362" s="4">
        <v>2</v>
      </c>
      <c r="U1362" s="5" t="s">
        <v>3667</v>
      </c>
      <c r="V1362" s="5" t="s">
        <v>3667</v>
      </c>
      <c r="W1362" s="5" t="s">
        <v>17440</v>
      </c>
      <c r="X1362" s="5" t="s">
        <v>17440</v>
      </c>
      <c r="Y1362" s="4">
        <v>4</v>
      </c>
      <c r="Z1362" s="4">
        <v>4</v>
      </c>
      <c r="AA1362" s="4">
        <v>6</v>
      </c>
      <c r="AB1362" s="4">
        <v>1</v>
      </c>
      <c r="AC1362" s="4">
        <v>1</v>
      </c>
      <c r="AD1362" s="4">
        <v>0</v>
      </c>
      <c r="AE1362" s="4">
        <v>0</v>
      </c>
      <c r="AF1362" s="4">
        <v>0</v>
      </c>
      <c r="AG1362" s="4">
        <v>0</v>
      </c>
      <c r="AH1362" s="4">
        <v>0</v>
      </c>
      <c r="AI1362" s="4">
        <v>0</v>
      </c>
      <c r="AJ1362" s="4">
        <v>0</v>
      </c>
      <c r="AK1362" s="4">
        <v>0</v>
      </c>
      <c r="AL1362" s="4">
        <v>0</v>
      </c>
      <c r="AM1362" s="4">
        <v>0</v>
      </c>
      <c r="AN1362" s="4">
        <v>0</v>
      </c>
      <c r="AO1362" s="4">
        <v>0</v>
      </c>
      <c r="AP1362" s="3" t="s">
        <v>58</v>
      </c>
      <c r="AQ1362" s="3" t="s">
        <v>58</v>
      </c>
      <c r="AS1362" s="6" t="str">
        <f>HYPERLINK("https://creighton-primo.hosted.exlibrisgroup.com/primo-explore/search?tab=default_tab&amp;search_scope=EVERYTHING&amp;vid=01CRU&amp;lang=en_US&amp;offset=0&amp;query=any,contains,991003927409702656","Catalog Record")</f>
        <v>Catalog Record</v>
      </c>
      <c r="AT1362" s="6" t="str">
        <f>HYPERLINK("http://www.worldcat.org/oclc/41237242","WorldCat Record")</f>
        <v>WorldCat Record</v>
      </c>
      <c r="AU1362" s="3" t="s">
        <v>17441</v>
      </c>
      <c r="AV1362" s="3" t="s">
        <v>17442</v>
      </c>
      <c r="AW1362" s="3" t="s">
        <v>17443</v>
      </c>
      <c r="AX1362" s="3" t="s">
        <v>17443</v>
      </c>
      <c r="AY1362" s="3" t="s">
        <v>17444</v>
      </c>
      <c r="AZ1362" s="3" t="s">
        <v>74</v>
      </c>
      <c r="BB1362" s="3" t="s">
        <v>17445</v>
      </c>
      <c r="BC1362" s="3" t="s">
        <v>17446</v>
      </c>
      <c r="BD1362" s="3" t="s">
        <v>17447</v>
      </c>
    </row>
    <row r="1363" spans="1:56" ht="42.75" customHeight="1" x14ac:dyDescent="0.25">
      <c r="A1363" s="7" t="s">
        <v>58</v>
      </c>
      <c r="B1363" s="2" t="s">
        <v>17448</v>
      </c>
      <c r="C1363" s="2" t="s">
        <v>17449</v>
      </c>
      <c r="D1363" s="2" t="s">
        <v>17450</v>
      </c>
      <c r="F1363" s="3" t="s">
        <v>58</v>
      </c>
      <c r="G1363" s="3" t="s">
        <v>59</v>
      </c>
      <c r="H1363" s="3" t="s">
        <v>58</v>
      </c>
      <c r="I1363" s="3" t="s">
        <v>58</v>
      </c>
      <c r="J1363" s="3" t="s">
        <v>60</v>
      </c>
      <c r="K1363" s="2" t="s">
        <v>17451</v>
      </c>
      <c r="L1363" s="2" t="s">
        <v>17452</v>
      </c>
      <c r="M1363" s="3" t="s">
        <v>805</v>
      </c>
      <c r="N1363" s="2" t="s">
        <v>17453</v>
      </c>
      <c r="O1363" s="3" t="s">
        <v>64</v>
      </c>
      <c r="P1363" s="3" t="s">
        <v>99</v>
      </c>
      <c r="R1363" s="3" t="s">
        <v>67</v>
      </c>
      <c r="S1363" s="4">
        <v>3</v>
      </c>
      <c r="T1363" s="4">
        <v>3</v>
      </c>
      <c r="U1363" s="5" t="s">
        <v>17454</v>
      </c>
      <c r="V1363" s="5" t="s">
        <v>17454</v>
      </c>
      <c r="W1363" s="5" t="s">
        <v>13535</v>
      </c>
      <c r="X1363" s="5" t="s">
        <v>13535</v>
      </c>
      <c r="Y1363" s="4">
        <v>260</v>
      </c>
      <c r="Z1363" s="4">
        <v>240</v>
      </c>
      <c r="AA1363" s="4">
        <v>942</v>
      </c>
      <c r="AB1363" s="4">
        <v>4</v>
      </c>
      <c r="AC1363" s="4">
        <v>11</v>
      </c>
      <c r="AD1363" s="4">
        <v>8</v>
      </c>
      <c r="AE1363" s="4">
        <v>25</v>
      </c>
      <c r="AF1363" s="4">
        <v>3</v>
      </c>
      <c r="AG1363" s="4">
        <v>8</v>
      </c>
      <c r="AH1363" s="4">
        <v>1</v>
      </c>
      <c r="AI1363" s="4">
        <v>5</v>
      </c>
      <c r="AJ1363" s="4">
        <v>5</v>
      </c>
      <c r="AK1363" s="4">
        <v>14</v>
      </c>
      <c r="AL1363" s="4">
        <v>2</v>
      </c>
      <c r="AM1363" s="4">
        <v>4</v>
      </c>
      <c r="AN1363" s="4">
        <v>0</v>
      </c>
      <c r="AO1363" s="4">
        <v>0</v>
      </c>
      <c r="AP1363" s="3" t="s">
        <v>58</v>
      </c>
      <c r="AQ1363" s="3" t="s">
        <v>58</v>
      </c>
      <c r="AS1363" s="6" t="str">
        <f>HYPERLINK("https://creighton-primo.hosted.exlibrisgroup.com/primo-explore/search?tab=default_tab&amp;search_scope=EVERYTHING&amp;vid=01CRU&amp;lang=en_US&amp;offset=0&amp;query=any,contains,991003931469702656","Catalog Record")</f>
        <v>Catalog Record</v>
      </c>
      <c r="AT1363" s="6" t="str">
        <f>HYPERLINK("http://www.worldcat.org/oclc/23383235","WorldCat Record")</f>
        <v>WorldCat Record</v>
      </c>
      <c r="AU1363" s="3" t="s">
        <v>17455</v>
      </c>
      <c r="AV1363" s="3" t="s">
        <v>17456</v>
      </c>
      <c r="AW1363" s="3" t="s">
        <v>17457</v>
      </c>
      <c r="AX1363" s="3" t="s">
        <v>17457</v>
      </c>
      <c r="AY1363" s="3" t="s">
        <v>17458</v>
      </c>
      <c r="AZ1363" s="3" t="s">
        <v>74</v>
      </c>
      <c r="BB1363" s="3" t="s">
        <v>17459</v>
      </c>
      <c r="BC1363" s="3" t="s">
        <v>17460</v>
      </c>
      <c r="BD1363" s="3" t="s">
        <v>17461</v>
      </c>
    </row>
    <row r="1364" spans="1:56" ht="42.75" customHeight="1" x14ac:dyDescent="0.25">
      <c r="A1364" s="7" t="s">
        <v>58</v>
      </c>
      <c r="B1364" s="2" t="s">
        <v>17462</v>
      </c>
      <c r="C1364" s="2" t="s">
        <v>17463</v>
      </c>
      <c r="D1364" s="2" t="s">
        <v>17464</v>
      </c>
      <c r="F1364" s="3" t="s">
        <v>58</v>
      </c>
      <c r="G1364" s="3" t="s">
        <v>59</v>
      </c>
      <c r="H1364" s="3" t="s">
        <v>58</v>
      </c>
      <c r="I1364" s="3" t="s">
        <v>58</v>
      </c>
      <c r="J1364" s="3" t="s">
        <v>60</v>
      </c>
      <c r="K1364" s="2" t="s">
        <v>17465</v>
      </c>
      <c r="L1364" s="2" t="s">
        <v>17466</v>
      </c>
      <c r="M1364" s="3" t="s">
        <v>888</v>
      </c>
      <c r="O1364" s="3" t="s">
        <v>64</v>
      </c>
      <c r="P1364" s="3" t="s">
        <v>359</v>
      </c>
      <c r="R1364" s="3" t="s">
        <v>67</v>
      </c>
      <c r="S1364" s="4">
        <v>2</v>
      </c>
      <c r="T1364" s="4">
        <v>2</v>
      </c>
      <c r="U1364" s="5" t="s">
        <v>1143</v>
      </c>
      <c r="V1364" s="5" t="s">
        <v>1143</v>
      </c>
      <c r="W1364" s="5" t="s">
        <v>957</v>
      </c>
      <c r="X1364" s="5" t="s">
        <v>957</v>
      </c>
      <c r="Y1364" s="4">
        <v>395</v>
      </c>
      <c r="Z1364" s="4">
        <v>350</v>
      </c>
      <c r="AA1364" s="4">
        <v>380</v>
      </c>
      <c r="AB1364" s="4">
        <v>1</v>
      </c>
      <c r="AC1364" s="4">
        <v>1</v>
      </c>
      <c r="AD1364" s="4">
        <v>18</v>
      </c>
      <c r="AE1364" s="4">
        <v>19</v>
      </c>
      <c r="AF1364" s="4">
        <v>6</v>
      </c>
      <c r="AG1364" s="4">
        <v>7</v>
      </c>
      <c r="AH1364" s="4">
        <v>4</v>
      </c>
      <c r="AI1364" s="4">
        <v>5</v>
      </c>
      <c r="AJ1364" s="4">
        <v>12</v>
      </c>
      <c r="AK1364" s="4">
        <v>12</v>
      </c>
      <c r="AL1364" s="4">
        <v>0</v>
      </c>
      <c r="AM1364" s="4">
        <v>0</v>
      </c>
      <c r="AN1364" s="4">
        <v>0</v>
      </c>
      <c r="AO1364" s="4">
        <v>0</v>
      </c>
      <c r="AP1364" s="3" t="s">
        <v>58</v>
      </c>
      <c r="AQ1364" s="3" t="s">
        <v>86</v>
      </c>
      <c r="AR1364" s="6" t="str">
        <f>HYPERLINK("http://catalog.hathitrust.org/Record/003982496","HathiTrust Record")</f>
        <v>HathiTrust Record</v>
      </c>
      <c r="AS1364" s="6" t="str">
        <f>HYPERLINK("https://creighton-primo.hosted.exlibrisgroup.com/primo-explore/search?tab=default_tab&amp;search_scope=EVERYTHING&amp;vid=01CRU&amp;lang=en_US&amp;offset=0&amp;query=any,contains,991002916149702656","Catalog Record")</f>
        <v>Catalog Record</v>
      </c>
      <c r="AT1364" s="6" t="str">
        <f>HYPERLINK("http://www.worldcat.org/oclc/38557217","WorldCat Record")</f>
        <v>WorldCat Record</v>
      </c>
      <c r="AU1364" s="3" t="s">
        <v>17467</v>
      </c>
      <c r="AV1364" s="3" t="s">
        <v>17468</v>
      </c>
      <c r="AW1364" s="3" t="s">
        <v>17469</v>
      </c>
      <c r="AX1364" s="3" t="s">
        <v>17469</v>
      </c>
      <c r="AY1364" s="3" t="s">
        <v>17470</v>
      </c>
      <c r="AZ1364" s="3" t="s">
        <v>74</v>
      </c>
      <c r="BB1364" s="3" t="s">
        <v>17471</v>
      </c>
      <c r="BC1364" s="3" t="s">
        <v>17472</v>
      </c>
      <c r="BD1364" s="3" t="s">
        <v>17473</v>
      </c>
    </row>
    <row r="1365" spans="1:56" ht="42.75" customHeight="1" x14ac:dyDescent="0.25">
      <c r="A1365" s="7" t="s">
        <v>58</v>
      </c>
      <c r="B1365" s="2" t="s">
        <v>17474</v>
      </c>
      <c r="C1365" s="2" t="s">
        <v>17475</v>
      </c>
      <c r="D1365" s="2" t="s">
        <v>17476</v>
      </c>
      <c r="F1365" s="3" t="s">
        <v>58</v>
      </c>
      <c r="G1365" s="3" t="s">
        <v>59</v>
      </c>
      <c r="H1365" s="3" t="s">
        <v>58</v>
      </c>
      <c r="I1365" s="3" t="s">
        <v>58</v>
      </c>
      <c r="J1365" s="3" t="s">
        <v>60</v>
      </c>
      <c r="K1365" s="2" t="s">
        <v>17477</v>
      </c>
      <c r="L1365" s="2" t="s">
        <v>17478</v>
      </c>
      <c r="M1365" s="3" t="s">
        <v>737</v>
      </c>
      <c r="O1365" s="3" t="s">
        <v>64</v>
      </c>
      <c r="P1365" s="3" t="s">
        <v>115</v>
      </c>
      <c r="R1365" s="3" t="s">
        <v>67</v>
      </c>
      <c r="S1365" s="4">
        <v>7</v>
      </c>
      <c r="T1365" s="4">
        <v>7</v>
      </c>
      <c r="U1365" s="5" t="s">
        <v>6072</v>
      </c>
      <c r="V1365" s="5" t="s">
        <v>6072</v>
      </c>
      <c r="W1365" s="5" t="s">
        <v>17479</v>
      </c>
      <c r="X1365" s="5" t="s">
        <v>17479</v>
      </c>
      <c r="Y1365" s="4">
        <v>696</v>
      </c>
      <c r="Z1365" s="4">
        <v>572</v>
      </c>
      <c r="AA1365" s="4">
        <v>579</v>
      </c>
      <c r="AB1365" s="4">
        <v>7</v>
      </c>
      <c r="AC1365" s="4">
        <v>7</v>
      </c>
      <c r="AD1365" s="4">
        <v>17</v>
      </c>
      <c r="AE1365" s="4">
        <v>17</v>
      </c>
      <c r="AF1365" s="4">
        <v>5</v>
      </c>
      <c r="AG1365" s="4">
        <v>5</v>
      </c>
      <c r="AH1365" s="4">
        <v>3</v>
      </c>
      <c r="AI1365" s="4">
        <v>3</v>
      </c>
      <c r="AJ1365" s="4">
        <v>10</v>
      </c>
      <c r="AK1365" s="4">
        <v>10</v>
      </c>
      <c r="AL1365" s="4">
        <v>5</v>
      </c>
      <c r="AM1365" s="4">
        <v>5</v>
      </c>
      <c r="AN1365" s="4">
        <v>0</v>
      </c>
      <c r="AO1365" s="4">
        <v>0</v>
      </c>
      <c r="AP1365" s="3" t="s">
        <v>58</v>
      </c>
      <c r="AQ1365" s="3" t="s">
        <v>86</v>
      </c>
      <c r="AR1365" s="6" t="str">
        <f>HYPERLINK("http://catalog.hathitrust.org/Record/002870958","HathiTrust Record")</f>
        <v>HathiTrust Record</v>
      </c>
      <c r="AS1365" s="6" t="str">
        <f>HYPERLINK("https://creighton-primo.hosted.exlibrisgroup.com/primo-explore/search?tab=default_tab&amp;search_scope=EVERYTHING&amp;vid=01CRU&amp;lang=en_US&amp;offset=0&amp;query=any,contains,991002176029702656","Catalog Record")</f>
        <v>Catalog Record</v>
      </c>
      <c r="AT1365" s="6" t="str">
        <f>HYPERLINK("http://www.worldcat.org/oclc/28018997","WorldCat Record")</f>
        <v>WorldCat Record</v>
      </c>
      <c r="AU1365" s="3" t="s">
        <v>17480</v>
      </c>
      <c r="AV1365" s="3" t="s">
        <v>17481</v>
      </c>
      <c r="AW1365" s="3" t="s">
        <v>17482</v>
      </c>
      <c r="AX1365" s="3" t="s">
        <v>17482</v>
      </c>
      <c r="AY1365" s="3" t="s">
        <v>17483</v>
      </c>
      <c r="AZ1365" s="3" t="s">
        <v>74</v>
      </c>
      <c r="BB1365" s="3" t="s">
        <v>17484</v>
      </c>
      <c r="BC1365" s="3" t="s">
        <v>17485</v>
      </c>
      <c r="BD1365" s="3" t="s">
        <v>17486</v>
      </c>
    </row>
    <row r="1366" spans="1:56" ht="42.75" customHeight="1" x14ac:dyDescent="0.25">
      <c r="A1366" s="7" t="s">
        <v>58</v>
      </c>
      <c r="B1366" s="2" t="s">
        <v>17487</v>
      </c>
      <c r="C1366" s="2" t="s">
        <v>17488</v>
      </c>
      <c r="D1366" s="2" t="s">
        <v>17489</v>
      </c>
      <c r="F1366" s="3" t="s">
        <v>58</v>
      </c>
      <c r="G1366" s="3" t="s">
        <v>59</v>
      </c>
      <c r="H1366" s="3" t="s">
        <v>58</v>
      </c>
      <c r="I1366" s="3" t="s">
        <v>58</v>
      </c>
      <c r="J1366" s="3" t="s">
        <v>60</v>
      </c>
      <c r="L1366" s="2" t="s">
        <v>17490</v>
      </c>
      <c r="M1366" s="3" t="s">
        <v>98</v>
      </c>
      <c r="O1366" s="3" t="s">
        <v>64</v>
      </c>
      <c r="P1366" s="3" t="s">
        <v>359</v>
      </c>
      <c r="Q1366" s="2" t="s">
        <v>4565</v>
      </c>
      <c r="R1366" s="3" t="s">
        <v>67</v>
      </c>
      <c r="S1366" s="4">
        <v>16</v>
      </c>
      <c r="T1366" s="4">
        <v>16</v>
      </c>
      <c r="U1366" s="5" t="s">
        <v>17491</v>
      </c>
      <c r="V1366" s="5" t="s">
        <v>17491</v>
      </c>
      <c r="W1366" s="5" t="s">
        <v>8352</v>
      </c>
      <c r="X1366" s="5" t="s">
        <v>8352</v>
      </c>
      <c r="Y1366" s="4">
        <v>765</v>
      </c>
      <c r="Z1366" s="4">
        <v>667</v>
      </c>
      <c r="AA1366" s="4">
        <v>676</v>
      </c>
      <c r="AB1366" s="4">
        <v>7</v>
      </c>
      <c r="AC1366" s="4">
        <v>7</v>
      </c>
      <c r="AD1366" s="4">
        <v>33</v>
      </c>
      <c r="AE1366" s="4">
        <v>33</v>
      </c>
      <c r="AF1366" s="4">
        <v>11</v>
      </c>
      <c r="AG1366" s="4">
        <v>11</v>
      </c>
      <c r="AH1366" s="4">
        <v>7</v>
      </c>
      <c r="AI1366" s="4">
        <v>7</v>
      </c>
      <c r="AJ1366" s="4">
        <v>17</v>
      </c>
      <c r="AK1366" s="4">
        <v>17</v>
      </c>
      <c r="AL1366" s="4">
        <v>6</v>
      </c>
      <c r="AM1366" s="4">
        <v>6</v>
      </c>
      <c r="AN1366" s="4">
        <v>0</v>
      </c>
      <c r="AO1366" s="4">
        <v>0</v>
      </c>
      <c r="AP1366" s="3" t="s">
        <v>58</v>
      </c>
      <c r="AQ1366" s="3" t="s">
        <v>86</v>
      </c>
      <c r="AR1366" s="6" t="str">
        <f>HYPERLINK("http://catalog.hathitrust.org/Record/000922007","HathiTrust Record")</f>
        <v>HathiTrust Record</v>
      </c>
      <c r="AS1366" s="6" t="str">
        <f>HYPERLINK("https://creighton-primo.hosted.exlibrisgroup.com/primo-explore/search?tab=default_tab&amp;search_scope=EVERYTHING&amp;vid=01CRU&amp;lang=en_US&amp;offset=0&amp;query=any,contains,991001225779702656","Catalog Record")</f>
        <v>Catalog Record</v>
      </c>
      <c r="AT1366" s="6" t="str">
        <f>HYPERLINK("http://www.worldcat.org/oclc/17507178","WorldCat Record")</f>
        <v>WorldCat Record</v>
      </c>
      <c r="AU1366" s="3" t="s">
        <v>17492</v>
      </c>
      <c r="AV1366" s="3" t="s">
        <v>17493</v>
      </c>
      <c r="AW1366" s="3" t="s">
        <v>17494</v>
      </c>
      <c r="AX1366" s="3" t="s">
        <v>17494</v>
      </c>
      <c r="AY1366" s="3" t="s">
        <v>17495</v>
      </c>
      <c r="AZ1366" s="3" t="s">
        <v>74</v>
      </c>
      <c r="BB1366" s="3" t="s">
        <v>17496</v>
      </c>
      <c r="BC1366" s="3" t="s">
        <v>17497</v>
      </c>
      <c r="BD1366" s="3" t="s">
        <v>17498</v>
      </c>
    </row>
    <row r="1367" spans="1:56" ht="42.75" customHeight="1" x14ac:dyDescent="0.25">
      <c r="A1367" s="7" t="s">
        <v>58</v>
      </c>
      <c r="B1367" s="2" t="s">
        <v>17499</v>
      </c>
      <c r="C1367" s="2" t="s">
        <v>17500</v>
      </c>
      <c r="D1367" s="2" t="s">
        <v>17501</v>
      </c>
      <c r="F1367" s="3" t="s">
        <v>58</v>
      </c>
      <c r="G1367" s="3" t="s">
        <v>59</v>
      </c>
      <c r="H1367" s="3" t="s">
        <v>58</v>
      </c>
      <c r="I1367" s="3" t="s">
        <v>58</v>
      </c>
      <c r="J1367" s="3" t="s">
        <v>60</v>
      </c>
      <c r="L1367" s="2" t="s">
        <v>17502</v>
      </c>
      <c r="M1367" s="3" t="s">
        <v>695</v>
      </c>
      <c r="O1367" s="3" t="s">
        <v>64</v>
      </c>
      <c r="P1367" s="3" t="s">
        <v>99</v>
      </c>
      <c r="R1367" s="3" t="s">
        <v>67</v>
      </c>
      <c r="S1367" s="4">
        <v>8</v>
      </c>
      <c r="T1367" s="4">
        <v>8</v>
      </c>
      <c r="U1367" s="5" t="s">
        <v>17503</v>
      </c>
      <c r="V1367" s="5" t="s">
        <v>17503</v>
      </c>
      <c r="W1367" s="5" t="s">
        <v>5073</v>
      </c>
      <c r="X1367" s="5" t="s">
        <v>5073</v>
      </c>
      <c r="Y1367" s="4">
        <v>436</v>
      </c>
      <c r="Z1367" s="4">
        <v>312</v>
      </c>
      <c r="AA1367" s="4">
        <v>314</v>
      </c>
      <c r="AB1367" s="4">
        <v>3</v>
      </c>
      <c r="AC1367" s="4">
        <v>3</v>
      </c>
      <c r="AD1367" s="4">
        <v>23</v>
      </c>
      <c r="AE1367" s="4">
        <v>23</v>
      </c>
      <c r="AF1367" s="4">
        <v>9</v>
      </c>
      <c r="AG1367" s="4">
        <v>9</v>
      </c>
      <c r="AH1367" s="4">
        <v>4</v>
      </c>
      <c r="AI1367" s="4">
        <v>4</v>
      </c>
      <c r="AJ1367" s="4">
        <v>14</v>
      </c>
      <c r="AK1367" s="4">
        <v>14</v>
      </c>
      <c r="AL1367" s="4">
        <v>2</v>
      </c>
      <c r="AM1367" s="4">
        <v>2</v>
      </c>
      <c r="AN1367" s="4">
        <v>0</v>
      </c>
      <c r="AO1367" s="4">
        <v>0</v>
      </c>
      <c r="AP1367" s="3" t="s">
        <v>58</v>
      </c>
      <c r="AQ1367" s="3" t="s">
        <v>86</v>
      </c>
      <c r="AR1367" s="6" t="str">
        <f>HYPERLINK("http://catalog.hathitrust.org/Record/002700760","HathiTrust Record")</f>
        <v>HathiTrust Record</v>
      </c>
      <c r="AS1367" s="6" t="str">
        <f>HYPERLINK("https://creighton-primo.hosted.exlibrisgroup.com/primo-explore/search?tab=default_tab&amp;search_scope=EVERYTHING&amp;vid=01CRU&amp;lang=en_US&amp;offset=0&amp;query=any,contains,991002114789702656","Catalog Record")</f>
        <v>Catalog Record</v>
      </c>
      <c r="AT1367" s="6" t="str">
        <f>HYPERLINK("http://www.worldcat.org/oclc/27106033","WorldCat Record")</f>
        <v>WorldCat Record</v>
      </c>
      <c r="AU1367" s="3" t="s">
        <v>17504</v>
      </c>
      <c r="AV1367" s="3" t="s">
        <v>17505</v>
      </c>
      <c r="AW1367" s="3" t="s">
        <v>17506</v>
      </c>
      <c r="AX1367" s="3" t="s">
        <v>17506</v>
      </c>
      <c r="AY1367" s="3" t="s">
        <v>17507</v>
      </c>
      <c r="AZ1367" s="3" t="s">
        <v>74</v>
      </c>
      <c r="BB1367" s="3" t="s">
        <v>17508</v>
      </c>
      <c r="BC1367" s="3" t="s">
        <v>17509</v>
      </c>
      <c r="BD1367" s="3" t="s">
        <v>17510</v>
      </c>
    </row>
    <row r="1368" spans="1:56" ht="42.75" customHeight="1" x14ac:dyDescent="0.25">
      <c r="A1368" s="7" t="s">
        <v>58</v>
      </c>
      <c r="B1368" s="2" t="s">
        <v>17511</v>
      </c>
      <c r="C1368" s="2" t="s">
        <v>17512</v>
      </c>
      <c r="D1368" s="2" t="s">
        <v>17513</v>
      </c>
      <c r="F1368" s="3" t="s">
        <v>58</v>
      </c>
      <c r="G1368" s="3" t="s">
        <v>59</v>
      </c>
      <c r="H1368" s="3" t="s">
        <v>58</v>
      </c>
      <c r="I1368" s="3" t="s">
        <v>58</v>
      </c>
      <c r="J1368" s="3" t="s">
        <v>60</v>
      </c>
      <c r="L1368" s="2" t="s">
        <v>17514</v>
      </c>
      <c r="M1368" s="3" t="s">
        <v>805</v>
      </c>
      <c r="O1368" s="3" t="s">
        <v>64</v>
      </c>
      <c r="P1368" s="3" t="s">
        <v>208</v>
      </c>
      <c r="R1368" s="3" t="s">
        <v>67</v>
      </c>
      <c r="S1368" s="4">
        <v>15</v>
      </c>
      <c r="T1368" s="4">
        <v>15</v>
      </c>
      <c r="U1368" s="5" t="s">
        <v>16540</v>
      </c>
      <c r="V1368" s="5" t="s">
        <v>16540</v>
      </c>
      <c r="W1368" s="5" t="s">
        <v>12769</v>
      </c>
      <c r="X1368" s="5" t="s">
        <v>12769</v>
      </c>
      <c r="Y1368" s="4">
        <v>312</v>
      </c>
      <c r="Z1368" s="4">
        <v>240</v>
      </c>
      <c r="AA1368" s="4">
        <v>247</v>
      </c>
      <c r="AB1368" s="4">
        <v>2</v>
      </c>
      <c r="AC1368" s="4">
        <v>2</v>
      </c>
      <c r="AD1368" s="4">
        <v>14</v>
      </c>
      <c r="AE1368" s="4">
        <v>14</v>
      </c>
      <c r="AF1368" s="4">
        <v>6</v>
      </c>
      <c r="AG1368" s="4">
        <v>6</v>
      </c>
      <c r="AH1368" s="4">
        <v>5</v>
      </c>
      <c r="AI1368" s="4">
        <v>5</v>
      </c>
      <c r="AJ1368" s="4">
        <v>8</v>
      </c>
      <c r="AK1368" s="4">
        <v>8</v>
      </c>
      <c r="AL1368" s="4">
        <v>1</v>
      </c>
      <c r="AM1368" s="4">
        <v>1</v>
      </c>
      <c r="AN1368" s="4">
        <v>0</v>
      </c>
      <c r="AO1368" s="4">
        <v>0</v>
      </c>
      <c r="AP1368" s="3" t="s">
        <v>58</v>
      </c>
      <c r="AQ1368" s="3" t="s">
        <v>86</v>
      </c>
      <c r="AR1368" s="6" t="str">
        <f>HYPERLINK("http://catalog.hathitrust.org/Record/003065269","HathiTrust Record")</f>
        <v>HathiTrust Record</v>
      </c>
      <c r="AS1368" s="6" t="str">
        <f>HYPERLINK("https://creighton-primo.hosted.exlibrisgroup.com/primo-explore/search?tab=default_tab&amp;search_scope=EVERYTHING&amp;vid=01CRU&amp;lang=en_US&amp;offset=0&amp;query=any,contains,991002560769702656","Catalog Record")</f>
        <v>Catalog Record</v>
      </c>
      <c r="AT1368" s="6" t="str">
        <f>HYPERLINK("http://www.worldcat.org/oclc/33281020","WorldCat Record")</f>
        <v>WorldCat Record</v>
      </c>
      <c r="AU1368" s="3" t="s">
        <v>17515</v>
      </c>
      <c r="AV1368" s="3" t="s">
        <v>17516</v>
      </c>
      <c r="AW1368" s="3" t="s">
        <v>17517</v>
      </c>
      <c r="AX1368" s="3" t="s">
        <v>17517</v>
      </c>
      <c r="AY1368" s="3" t="s">
        <v>17518</v>
      </c>
      <c r="AZ1368" s="3" t="s">
        <v>74</v>
      </c>
      <c r="BB1368" s="3" t="s">
        <v>17519</v>
      </c>
      <c r="BC1368" s="3" t="s">
        <v>17520</v>
      </c>
      <c r="BD1368" s="3" t="s">
        <v>17521</v>
      </c>
    </row>
    <row r="1369" spans="1:56" ht="42.75" customHeight="1" x14ac:dyDescent="0.25">
      <c r="A1369" s="7" t="s">
        <v>58</v>
      </c>
      <c r="B1369" s="2" t="s">
        <v>17522</v>
      </c>
      <c r="C1369" s="2" t="s">
        <v>17523</v>
      </c>
      <c r="D1369" s="2" t="s">
        <v>17524</v>
      </c>
      <c r="F1369" s="3" t="s">
        <v>58</v>
      </c>
      <c r="G1369" s="3" t="s">
        <v>59</v>
      </c>
      <c r="H1369" s="3" t="s">
        <v>58</v>
      </c>
      <c r="I1369" s="3" t="s">
        <v>58</v>
      </c>
      <c r="J1369" s="3" t="s">
        <v>60</v>
      </c>
      <c r="L1369" s="2" t="s">
        <v>17525</v>
      </c>
      <c r="M1369" s="3" t="s">
        <v>480</v>
      </c>
      <c r="O1369" s="3" t="s">
        <v>64</v>
      </c>
      <c r="P1369" s="3" t="s">
        <v>1898</v>
      </c>
      <c r="R1369" s="3" t="s">
        <v>67</v>
      </c>
      <c r="S1369" s="4">
        <v>9</v>
      </c>
      <c r="T1369" s="4">
        <v>9</v>
      </c>
      <c r="U1369" s="5" t="s">
        <v>8208</v>
      </c>
      <c r="V1369" s="5" t="s">
        <v>8208</v>
      </c>
      <c r="W1369" s="5" t="s">
        <v>10227</v>
      </c>
      <c r="X1369" s="5" t="s">
        <v>10227</v>
      </c>
      <c r="Y1369" s="4">
        <v>274</v>
      </c>
      <c r="Z1369" s="4">
        <v>207</v>
      </c>
      <c r="AA1369" s="4">
        <v>236</v>
      </c>
      <c r="AB1369" s="4">
        <v>3</v>
      </c>
      <c r="AC1369" s="4">
        <v>3</v>
      </c>
      <c r="AD1369" s="4">
        <v>12</v>
      </c>
      <c r="AE1369" s="4">
        <v>12</v>
      </c>
      <c r="AF1369" s="4">
        <v>3</v>
      </c>
      <c r="AG1369" s="4">
        <v>3</v>
      </c>
      <c r="AH1369" s="4">
        <v>2</v>
      </c>
      <c r="AI1369" s="4">
        <v>2</v>
      </c>
      <c r="AJ1369" s="4">
        <v>8</v>
      </c>
      <c r="AK1369" s="4">
        <v>8</v>
      </c>
      <c r="AL1369" s="4">
        <v>2</v>
      </c>
      <c r="AM1369" s="4">
        <v>2</v>
      </c>
      <c r="AN1369" s="4">
        <v>0</v>
      </c>
      <c r="AO1369" s="4">
        <v>0</v>
      </c>
      <c r="AP1369" s="3" t="s">
        <v>58</v>
      </c>
      <c r="AQ1369" s="3" t="s">
        <v>86</v>
      </c>
      <c r="AR1369" s="6" t="str">
        <f>HYPERLINK("http://catalog.hathitrust.org/Record/001822689","HathiTrust Record")</f>
        <v>HathiTrust Record</v>
      </c>
      <c r="AS1369" s="6" t="str">
        <f>HYPERLINK("https://creighton-primo.hosted.exlibrisgroup.com/primo-explore/search?tab=default_tab&amp;search_scope=EVERYTHING&amp;vid=01CRU&amp;lang=en_US&amp;offset=0&amp;query=any,contains,991001403999702656","Catalog Record")</f>
        <v>Catalog Record</v>
      </c>
      <c r="AT1369" s="6" t="str">
        <f>HYPERLINK("http://www.worldcat.org/oclc/18834443","WorldCat Record")</f>
        <v>WorldCat Record</v>
      </c>
      <c r="AU1369" s="3" t="s">
        <v>17526</v>
      </c>
      <c r="AV1369" s="3" t="s">
        <v>17527</v>
      </c>
      <c r="AW1369" s="3" t="s">
        <v>17528</v>
      </c>
      <c r="AX1369" s="3" t="s">
        <v>17528</v>
      </c>
      <c r="AY1369" s="3" t="s">
        <v>17529</v>
      </c>
      <c r="AZ1369" s="3" t="s">
        <v>74</v>
      </c>
      <c r="BB1369" s="3" t="s">
        <v>17530</v>
      </c>
      <c r="BC1369" s="3" t="s">
        <v>17531</v>
      </c>
      <c r="BD1369" s="3" t="s">
        <v>17532</v>
      </c>
    </row>
    <row r="1370" spans="1:56" ht="42.75" customHeight="1" x14ac:dyDescent="0.25">
      <c r="A1370" s="7" t="s">
        <v>58</v>
      </c>
      <c r="B1370" s="2" t="s">
        <v>17533</v>
      </c>
      <c r="C1370" s="2" t="s">
        <v>17534</v>
      </c>
      <c r="D1370" s="2" t="s">
        <v>17535</v>
      </c>
      <c r="F1370" s="3" t="s">
        <v>58</v>
      </c>
      <c r="G1370" s="3" t="s">
        <v>59</v>
      </c>
      <c r="H1370" s="3" t="s">
        <v>58</v>
      </c>
      <c r="I1370" s="3" t="s">
        <v>58</v>
      </c>
      <c r="J1370" s="3" t="s">
        <v>60</v>
      </c>
      <c r="L1370" s="2" t="s">
        <v>17536</v>
      </c>
      <c r="M1370" s="3" t="s">
        <v>1101</v>
      </c>
      <c r="O1370" s="3" t="s">
        <v>64</v>
      </c>
      <c r="P1370" s="3" t="s">
        <v>115</v>
      </c>
      <c r="R1370" s="3" t="s">
        <v>67</v>
      </c>
      <c r="S1370" s="4">
        <v>3</v>
      </c>
      <c r="T1370" s="4">
        <v>3</v>
      </c>
      <c r="U1370" s="5" t="s">
        <v>17537</v>
      </c>
      <c r="V1370" s="5" t="s">
        <v>17537</v>
      </c>
      <c r="W1370" s="5" t="s">
        <v>17538</v>
      </c>
      <c r="X1370" s="5" t="s">
        <v>17538</v>
      </c>
      <c r="Y1370" s="4">
        <v>149</v>
      </c>
      <c r="Z1370" s="4">
        <v>115</v>
      </c>
      <c r="AA1370" s="4">
        <v>144</v>
      </c>
      <c r="AB1370" s="4">
        <v>3</v>
      </c>
      <c r="AC1370" s="4">
        <v>3</v>
      </c>
      <c r="AD1370" s="4">
        <v>4</v>
      </c>
      <c r="AE1370" s="4">
        <v>4</v>
      </c>
      <c r="AF1370" s="4">
        <v>0</v>
      </c>
      <c r="AG1370" s="4">
        <v>0</v>
      </c>
      <c r="AH1370" s="4">
        <v>0</v>
      </c>
      <c r="AI1370" s="4">
        <v>0</v>
      </c>
      <c r="AJ1370" s="4">
        <v>2</v>
      </c>
      <c r="AK1370" s="4">
        <v>2</v>
      </c>
      <c r="AL1370" s="4">
        <v>2</v>
      </c>
      <c r="AM1370" s="4">
        <v>2</v>
      </c>
      <c r="AN1370" s="4">
        <v>0</v>
      </c>
      <c r="AO1370" s="4">
        <v>0</v>
      </c>
      <c r="AP1370" s="3" t="s">
        <v>58</v>
      </c>
      <c r="AQ1370" s="3" t="s">
        <v>86</v>
      </c>
      <c r="AR1370" s="6" t="str">
        <f>HYPERLINK("http://catalog.hathitrust.org/Record/004348877","HathiTrust Record")</f>
        <v>HathiTrust Record</v>
      </c>
      <c r="AS1370" s="6" t="str">
        <f>HYPERLINK("https://creighton-primo.hosted.exlibrisgroup.com/primo-explore/search?tab=default_tab&amp;search_scope=EVERYTHING&amp;vid=01CRU&amp;lang=en_US&amp;offset=0&amp;query=any,contains,991004511039702656","Catalog Record")</f>
        <v>Catalog Record</v>
      </c>
      <c r="AT1370" s="6" t="str">
        <f>HYPERLINK("http://www.worldcat.org/oclc/51855509","WorldCat Record")</f>
        <v>WorldCat Record</v>
      </c>
      <c r="AU1370" s="3" t="s">
        <v>17539</v>
      </c>
      <c r="AV1370" s="3" t="s">
        <v>17540</v>
      </c>
      <c r="AW1370" s="3" t="s">
        <v>17541</v>
      </c>
      <c r="AX1370" s="3" t="s">
        <v>17541</v>
      </c>
      <c r="AY1370" s="3" t="s">
        <v>17542</v>
      </c>
      <c r="AZ1370" s="3" t="s">
        <v>74</v>
      </c>
      <c r="BB1370" s="3" t="s">
        <v>17543</v>
      </c>
      <c r="BC1370" s="3" t="s">
        <v>17544</v>
      </c>
      <c r="BD1370" s="3" t="s">
        <v>17545</v>
      </c>
    </row>
    <row r="1371" spans="1:56" ht="42.75" customHeight="1" x14ac:dyDescent="0.25">
      <c r="A1371" s="7" t="s">
        <v>58</v>
      </c>
      <c r="B1371" s="2" t="s">
        <v>17546</v>
      </c>
      <c r="C1371" s="2" t="s">
        <v>17547</v>
      </c>
      <c r="D1371" s="2" t="s">
        <v>17548</v>
      </c>
      <c r="F1371" s="3" t="s">
        <v>58</v>
      </c>
      <c r="G1371" s="3" t="s">
        <v>59</v>
      </c>
      <c r="H1371" s="3" t="s">
        <v>58</v>
      </c>
      <c r="I1371" s="3" t="s">
        <v>58</v>
      </c>
      <c r="J1371" s="3" t="s">
        <v>60</v>
      </c>
      <c r="L1371" s="2" t="s">
        <v>17549</v>
      </c>
      <c r="M1371" s="3" t="s">
        <v>1035</v>
      </c>
      <c r="O1371" s="3" t="s">
        <v>64</v>
      </c>
      <c r="P1371" s="3" t="s">
        <v>115</v>
      </c>
      <c r="R1371" s="3" t="s">
        <v>67</v>
      </c>
      <c r="S1371" s="4">
        <v>1</v>
      </c>
      <c r="T1371" s="4">
        <v>1</v>
      </c>
      <c r="U1371" s="5" t="s">
        <v>13260</v>
      </c>
      <c r="V1371" s="5" t="s">
        <v>13260</v>
      </c>
      <c r="W1371" s="5" t="s">
        <v>13511</v>
      </c>
      <c r="X1371" s="5" t="s">
        <v>13511</v>
      </c>
      <c r="Y1371" s="4">
        <v>396</v>
      </c>
      <c r="Z1371" s="4">
        <v>348</v>
      </c>
      <c r="AA1371" s="4">
        <v>371</v>
      </c>
      <c r="AB1371" s="4">
        <v>3</v>
      </c>
      <c r="AC1371" s="4">
        <v>3</v>
      </c>
      <c r="AD1371" s="4">
        <v>17</v>
      </c>
      <c r="AE1371" s="4">
        <v>17</v>
      </c>
      <c r="AF1371" s="4">
        <v>7</v>
      </c>
      <c r="AG1371" s="4">
        <v>7</v>
      </c>
      <c r="AH1371" s="4">
        <v>2</v>
      </c>
      <c r="AI1371" s="4">
        <v>2</v>
      </c>
      <c r="AJ1371" s="4">
        <v>8</v>
      </c>
      <c r="AK1371" s="4">
        <v>8</v>
      </c>
      <c r="AL1371" s="4">
        <v>2</v>
      </c>
      <c r="AM1371" s="4">
        <v>2</v>
      </c>
      <c r="AN1371" s="4">
        <v>0</v>
      </c>
      <c r="AO1371" s="4">
        <v>0</v>
      </c>
      <c r="AP1371" s="3" t="s">
        <v>58</v>
      </c>
      <c r="AQ1371" s="3" t="s">
        <v>86</v>
      </c>
      <c r="AR1371" s="6" t="str">
        <f>HYPERLINK("http://catalog.hathitrust.org/Record/004073925","HathiTrust Record")</f>
        <v>HathiTrust Record</v>
      </c>
      <c r="AS1371" s="6" t="str">
        <f>HYPERLINK("https://creighton-primo.hosted.exlibrisgroup.com/primo-explore/search?tab=default_tab&amp;search_scope=EVERYTHING&amp;vid=01CRU&amp;lang=en_US&amp;offset=0&amp;query=any,contains,991005201619702656","Catalog Record")</f>
        <v>Catalog Record</v>
      </c>
      <c r="AT1371" s="6" t="str">
        <f>HYPERLINK("http://www.worldcat.org/oclc/43050066","WorldCat Record")</f>
        <v>WorldCat Record</v>
      </c>
      <c r="AU1371" s="3" t="s">
        <v>17550</v>
      </c>
      <c r="AV1371" s="3" t="s">
        <v>17551</v>
      </c>
      <c r="AW1371" s="3" t="s">
        <v>17552</v>
      </c>
      <c r="AX1371" s="3" t="s">
        <v>17552</v>
      </c>
      <c r="AY1371" s="3" t="s">
        <v>17553</v>
      </c>
      <c r="AZ1371" s="3" t="s">
        <v>74</v>
      </c>
      <c r="BB1371" s="3" t="s">
        <v>17554</v>
      </c>
      <c r="BC1371" s="3" t="s">
        <v>17555</v>
      </c>
      <c r="BD1371" s="3" t="s">
        <v>17556</v>
      </c>
    </row>
    <row r="1372" spans="1:56" ht="42.75" customHeight="1" x14ac:dyDescent="0.25">
      <c r="A1372" s="7" t="s">
        <v>58</v>
      </c>
      <c r="B1372" s="2" t="s">
        <v>17557</v>
      </c>
      <c r="C1372" s="2" t="s">
        <v>17558</v>
      </c>
      <c r="D1372" s="2" t="s">
        <v>17559</v>
      </c>
      <c r="F1372" s="3" t="s">
        <v>58</v>
      </c>
      <c r="G1372" s="3" t="s">
        <v>59</v>
      </c>
      <c r="H1372" s="3" t="s">
        <v>58</v>
      </c>
      <c r="I1372" s="3" t="s">
        <v>58</v>
      </c>
      <c r="J1372" s="3" t="s">
        <v>60</v>
      </c>
      <c r="K1372" s="2" t="s">
        <v>17560</v>
      </c>
      <c r="L1372" s="2" t="s">
        <v>17561</v>
      </c>
      <c r="M1372" s="3" t="s">
        <v>765</v>
      </c>
      <c r="O1372" s="3" t="s">
        <v>64</v>
      </c>
      <c r="P1372" s="3" t="s">
        <v>99</v>
      </c>
      <c r="R1372" s="3" t="s">
        <v>67</v>
      </c>
      <c r="S1372" s="4">
        <v>4</v>
      </c>
      <c r="T1372" s="4">
        <v>4</v>
      </c>
      <c r="U1372" s="5" t="s">
        <v>17562</v>
      </c>
      <c r="V1372" s="5" t="s">
        <v>17562</v>
      </c>
      <c r="W1372" s="5" t="s">
        <v>6761</v>
      </c>
      <c r="X1372" s="5" t="s">
        <v>6761</v>
      </c>
      <c r="Y1372" s="4">
        <v>137</v>
      </c>
      <c r="Z1372" s="4">
        <v>127</v>
      </c>
      <c r="AA1372" s="4">
        <v>127</v>
      </c>
      <c r="AB1372" s="4">
        <v>1</v>
      </c>
      <c r="AC1372" s="4">
        <v>1</v>
      </c>
      <c r="AD1372" s="4">
        <v>3</v>
      </c>
      <c r="AE1372" s="4">
        <v>3</v>
      </c>
      <c r="AF1372" s="4">
        <v>1</v>
      </c>
      <c r="AG1372" s="4">
        <v>1</v>
      </c>
      <c r="AH1372" s="4">
        <v>1</v>
      </c>
      <c r="AI1372" s="4">
        <v>1</v>
      </c>
      <c r="AJ1372" s="4">
        <v>3</v>
      </c>
      <c r="AK1372" s="4">
        <v>3</v>
      </c>
      <c r="AL1372" s="4">
        <v>0</v>
      </c>
      <c r="AM1372" s="4">
        <v>0</v>
      </c>
      <c r="AN1372" s="4">
        <v>0</v>
      </c>
      <c r="AO1372" s="4">
        <v>0</v>
      </c>
      <c r="AP1372" s="3" t="s">
        <v>58</v>
      </c>
      <c r="AQ1372" s="3" t="s">
        <v>58</v>
      </c>
      <c r="AS1372" s="6" t="str">
        <f>HYPERLINK("https://creighton-primo.hosted.exlibrisgroup.com/primo-explore/search?tab=default_tab&amp;search_scope=EVERYTHING&amp;vid=01CRU&amp;lang=en_US&amp;offset=0&amp;query=any,contains,991002384459702656","Catalog Record")</f>
        <v>Catalog Record</v>
      </c>
      <c r="AT1372" s="6" t="str">
        <f>HYPERLINK("http://www.worldcat.org/oclc/30978944","WorldCat Record")</f>
        <v>WorldCat Record</v>
      </c>
      <c r="AU1372" s="3" t="s">
        <v>17563</v>
      </c>
      <c r="AV1372" s="3" t="s">
        <v>17564</v>
      </c>
      <c r="AW1372" s="3" t="s">
        <v>17565</v>
      </c>
      <c r="AX1372" s="3" t="s">
        <v>17565</v>
      </c>
      <c r="AY1372" s="3" t="s">
        <v>17566</v>
      </c>
      <c r="AZ1372" s="3" t="s">
        <v>74</v>
      </c>
      <c r="BB1372" s="3" t="s">
        <v>17567</v>
      </c>
      <c r="BC1372" s="3" t="s">
        <v>17568</v>
      </c>
      <c r="BD1372" s="3" t="s">
        <v>17569</v>
      </c>
    </row>
    <row r="1373" spans="1:56" ht="42.75" customHeight="1" x14ac:dyDescent="0.25">
      <c r="A1373" s="7" t="s">
        <v>58</v>
      </c>
      <c r="B1373" s="2" t="s">
        <v>17570</v>
      </c>
      <c r="C1373" s="2" t="s">
        <v>17571</v>
      </c>
      <c r="D1373" s="2" t="s">
        <v>17572</v>
      </c>
      <c r="F1373" s="3" t="s">
        <v>58</v>
      </c>
      <c r="G1373" s="3" t="s">
        <v>59</v>
      </c>
      <c r="H1373" s="3" t="s">
        <v>58</v>
      </c>
      <c r="I1373" s="3" t="s">
        <v>58</v>
      </c>
      <c r="J1373" s="3" t="s">
        <v>60</v>
      </c>
      <c r="K1373" s="2" t="s">
        <v>17573</v>
      </c>
      <c r="L1373" s="2" t="s">
        <v>7233</v>
      </c>
      <c r="M1373" s="3" t="s">
        <v>1235</v>
      </c>
      <c r="N1373" s="2" t="s">
        <v>1736</v>
      </c>
      <c r="O1373" s="3" t="s">
        <v>64</v>
      </c>
      <c r="P1373" s="3" t="s">
        <v>145</v>
      </c>
      <c r="R1373" s="3" t="s">
        <v>67</v>
      </c>
      <c r="S1373" s="4">
        <v>2</v>
      </c>
      <c r="T1373" s="4">
        <v>2</v>
      </c>
      <c r="U1373" s="5" t="s">
        <v>2317</v>
      </c>
      <c r="V1373" s="5" t="s">
        <v>2317</v>
      </c>
      <c r="W1373" s="5" t="s">
        <v>17574</v>
      </c>
      <c r="X1373" s="5" t="s">
        <v>17574</v>
      </c>
      <c r="Y1373" s="4">
        <v>877</v>
      </c>
      <c r="Z1373" s="4">
        <v>726</v>
      </c>
      <c r="AA1373" s="4">
        <v>783</v>
      </c>
      <c r="AB1373" s="4">
        <v>3</v>
      </c>
      <c r="AC1373" s="4">
        <v>4</v>
      </c>
      <c r="AD1373" s="4">
        <v>30</v>
      </c>
      <c r="AE1373" s="4">
        <v>36</v>
      </c>
      <c r="AF1373" s="4">
        <v>16</v>
      </c>
      <c r="AG1373" s="4">
        <v>18</v>
      </c>
      <c r="AH1373" s="4">
        <v>4</v>
      </c>
      <c r="AI1373" s="4">
        <v>4</v>
      </c>
      <c r="AJ1373" s="4">
        <v>14</v>
      </c>
      <c r="AK1373" s="4">
        <v>17</v>
      </c>
      <c r="AL1373" s="4">
        <v>2</v>
      </c>
      <c r="AM1373" s="4">
        <v>3</v>
      </c>
      <c r="AN1373" s="4">
        <v>0</v>
      </c>
      <c r="AO1373" s="4">
        <v>0</v>
      </c>
      <c r="AP1373" s="3" t="s">
        <v>58</v>
      </c>
      <c r="AQ1373" s="3" t="s">
        <v>58</v>
      </c>
      <c r="AS1373" s="6" t="str">
        <f>HYPERLINK("https://creighton-primo.hosted.exlibrisgroup.com/primo-explore/search?tab=default_tab&amp;search_scope=EVERYTHING&amp;vid=01CRU&amp;lang=en_US&amp;offset=0&amp;query=any,contains,991004653519702656","Catalog Record")</f>
        <v>Catalog Record</v>
      </c>
      <c r="AT1373" s="6" t="str">
        <f>HYPERLINK("http://www.worldcat.org/oclc/55679929","WorldCat Record")</f>
        <v>WorldCat Record</v>
      </c>
      <c r="AU1373" s="3" t="s">
        <v>17575</v>
      </c>
      <c r="AV1373" s="3" t="s">
        <v>17576</v>
      </c>
      <c r="AW1373" s="3" t="s">
        <v>17577</v>
      </c>
      <c r="AX1373" s="3" t="s">
        <v>17577</v>
      </c>
      <c r="AY1373" s="3" t="s">
        <v>17578</v>
      </c>
      <c r="AZ1373" s="3" t="s">
        <v>74</v>
      </c>
      <c r="BB1373" s="3" t="s">
        <v>17579</v>
      </c>
      <c r="BC1373" s="3" t="s">
        <v>17580</v>
      </c>
      <c r="BD1373" s="3" t="s">
        <v>17581</v>
      </c>
    </row>
    <row r="1374" spans="1:56" ht="42.75" customHeight="1" x14ac:dyDescent="0.25">
      <c r="A1374" s="7" t="s">
        <v>58</v>
      </c>
      <c r="B1374" s="2" t="s">
        <v>17582</v>
      </c>
      <c r="C1374" s="2" t="s">
        <v>17583</v>
      </c>
      <c r="D1374" s="2" t="s">
        <v>17584</v>
      </c>
      <c r="F1374" s="3" t="s">
        <v>58</v>
      </c>
      <c r="G1374" s="3" t="s">
        <v>59</v>
      </c>
      <c r="H1374" s="3" t="s">
        <v>58</v>
      </c>
      <c r="I1374" s="3" t="s">
        <v>58</v>
      </c>
      <c r="J1374" s="3" t="s">
        <v>60</v>
      </c>
      <c r="K1374" s="2" t="s">
        <v>17585</v>
      </c>
      <c r="L1374" s="2" t="s">
        <v>17586</v>
      </c>
      <c r="M1374" s="3" t="s">
        <v>192</v>
      </c>
      <c r="N1374" s="2" t="s">
        <v>1844</v>
      </c>
      <c r="O1374" s="3" t="s">
        <v>64</v>
      </c>
      <c r="P1374" s="3" t="s">
        <v>145</v>
      </c>
      <c r="R1374" s="3" t="s">
        <v>67</v>
      </c>
      <c r="S1374" s="4">
        <v>1</v>
      </c>
      <c r="T1374" s="4">
        <v>1</v>
      </c>
      <c r="U1374" s="5" t="s">
        <v>15868</v>
      </c>
      <c r="V1374" s="5" t="s">
        <v>15868</v>
      </c>
      <c r="W1374" s="5" t="s">
        <v>12601</v>
      </c>
      <c r="X1374" s="5" t="s">
        <v>12601</v>
      </c>
      <c r="Y1374" s="4">
        <v>230</v>
      </c>
      <c r="Z1374" s="4">
        <v>189</v>
      </c>
      <c r="AA1374" s="4">
        <v>539</v>
      </c>
      <c r="AB1374" s="4">
        <v>2</v>
      </c>
      <c r="AC1374" s="4">
        <v>2</v>
      </c>
      <c r="AD1374" s="4">
        <v>10</v>
      </c>
      <c r="AE1374" s="4">
        <v>25</v>
      </c>
      <c r="AF1374" s="4">
        <v>3</v>
      </c>
      <c r="AG1374" s="4">
        <v>8</v>
      </c>
      <c r="AH1374" s="4">
        <v>1</v>
      </c>
      <c r="AI1374" s="4">
        <v>4</v>
      </c>
      <c r="AJ1374" s="4">
        <v>6</v>
      </c>
      <c r="AK1374" s="4">
        <v>13</v>
      </c>
      <c r="AL1374" s="4">
        <v>1</v>
      </c>
      <c r="AM1374" s="4">
        <v>1</v>
      </c>
      <c r="AN1374" s="4">
        <v>2</v>
      </c>
      <c r="AO1374" s="4">
        <v>5</v>
      </c>
      <c r="AP1374" s="3" t="s">
        <v>58</v>
      </c>
      <c r="AQ1374" s="3" t="s">
        <v>86</v>
      </c>
      <c r="AR1374" s="6" t="str">
        <f>HYPERLINK("http://catalog.hathitrust.org/Record/005228678","HathiTrust Record")</f>
        <v>HathiTrust Record</v>
      </c>
      <c r="AS1374" s="6" t="str">
        <f>HYPERLINK("https://creighton-primo.hosted.exlibrisgroup.com/primo-explore/search?tab=default_tab&amp;search_scope=EVERYTHING&amp;vid=01CRU&amp;lang=en_US&amp;offset=0&amp;query=any,contains,991005131459702656","Catalog Record")</f>
        <v>Catalog Record</v>
      </c>
      <c r="AT1374" s="6" t="str">
        <f>HYPERLINK("http://www.worldcat.org/oclc/62326656","WorldCat Record")</f>
        <v>WorldCat Record</v>
      </c>
      <c r="AU1374" s="3" t="s">
        <v>17587</v>
      </c>
      <c r="AV1374" s="3" t="s">
        <v>17588</v>
      </c>
      <c r="AW1374" s="3" t="s">
        <v>17589</v>
      </c>
      <c r="AX1374" s="3" t="s">
        <v>17589</v>
      </c>
      <c r="AY1374" s="3" t="s">
        <v>17590</v>
      </c>
      <c r="AZ1374" s="3" t="s">
        <v>74</v>
      </c>
      <c r="BB1374" s="3" t="s">
        <v>17591</v>
      </c>
      <c r="BC1374" s="3" t="s">
        <v>17592</v>
      </c>
      <c r="BD1374" s="3" t="s">
        <v>17593</v>
      </c>
    </row>
    <row r="1375" spans="1:56" ht="42.75" customHeight="1" x14ac:dyDescent="0.25">
      <c r="A1375" s="7" t="s">
        <v>58</v>
      </c>
      <c r="B1375" s="2" t="s">
        <v>17594</v>
      </c>
      <c r="C1375" s="2" t="s">
        <v>17595</v>
      </c>
      <c r="D1375" s="2" t="s">
        <v>17596</v>
      </c>
      <c r="F1375" s="3" t="s">
        <v>58</v>
      </c>
      <c r="G1375" s="3" t="s">
        <v>59</v>
      </c>
      <c r="H1375" s="3" t="s">
        <v>58</v>
      </c>
      <c r="I1375" s="3" t="s">
        <v>58</v>
      </c>
      <c r="J1375" s="3" t="s">
        <v>60</v>
      </c>
      <c r="L1375" s="2" t="s">
        <v>17597</v>
      </c>
      <c r="M1375" s="3" t="s">
        <v>144</v>
      </c>
      <c r="O1375" s="3" t="s">
        <v>64</v>
      </c>
      <c r="P1375" s="3" t="s">
        <v>115</v>
      </c>
      <c r="R1375" s="3" t="s">
        <v>67</v>
      </c>
      <c r="S1375" s="4">
        <v>10</v>
      </c>
      <c r="T1375" s="4">
        <v>10</v>
      </c>
      <c r="U1375" s="5" t="s">
        <v>17598</v>
      </c>
      <c r="V1375" s="5" t="s">
        <v>17598</v>
      </c>
      <c r="W1375" s="5" t="s">
        <v>11642</v>
      </c>
      <c r="X1375" s="5" t="s">
        <v>11642</v>
      </c>
      <c r="Y1375" s="4">
        <v>306</v>
      </c>
      <c r="Z1375" s="4">
        <v>241</v>
      </c>
      <c r="AA1375" s="4">
        <v>241</v>
      </c>
      <c r="AB1375" s="4">
        <v>2</v>
      </c>
      <c r="AC1375" s="4">
        <v>2</v>
      </c>
      <c r="AD1375" s="4">
        <v>14</v>
      </c>
      <c r="AE1375" s="4">
        <v>14</v>
      </c>
      <c r="AF1375" s="4">
        <v>4</v>
      </c>
      <c r="AG1375" s="4">
        <v>4</v>
      </c>
      <c r="AH1375" s="4">
        <v>1</v>
      </c>
      <c r="AI1375" s="4">
        <v>1</v>
      </c>
      <c r="AJ1375" s="4">
        <v>7</v>
      </c>
      <c r="AK1375" s="4">
        <v>7</v>
      </c>
      <c r="AL1375" s="4">
        <v>1</v>
      </c>
      <c r="AM1375" s="4">
        <v>1</v>
      </c>
      <c r="AN1375" s="4">
        <v>4</v>
      </c>
      <c r="AO1375" s="4">
        <v>4</v>
      </c>
      <c r="AP1375" s="3" t="s">
        <v>58</v>
      </c>
      <c r="AQ1375" s="3" t="s">
        <v>58</v>
      </c>
      <c r="AS1375" s="6" t="str">
        <f>HYPERLINK("https://creighton-primo.hosted.exlibrisgroup.com/primo-explore/search?tab=default_tab&amp;search_scope=EVERYTHING&amp;vid=01CRU&amp;lang=en_US&amp;offset=0&amp;query=any,contains,991003268799702656","Catalog Record")</f>
        <v>Catalog Record</v>
      </c>
      <c r="AT1375" s="6" t="str">
        <f>HYPERLINK("http://www.worldcat.org/oclc/36900983","WorldCat Record")</f>
        <v>WorldCat Record</v>
      </c>
      <c r="AU1375" s="3" t="s">
        <v>17599</v>
      </c>
      <c r="AV1375" s="3" t="s">
        <v>17600</v>
      </c>
      <c r="AW1375" s="3" t="s">
        <v>17601</v>
      </c>
      <c r="AX1375" s="3" t="s">
        <v>17601</v>
      </c>
      <c r="AY1375" s="3" t="s">
        <v>17602</v>
      </c>
      <c r="AZ1375" s="3" t="s">
        <v>74</v>
      </c>
      <c r="BB1375" s="3" t="s">
        <v>17603</v>
      </c>
      <c r="BC1375" s="3" t="s">
        <v>17604</v>
      </c>
      <c r="BD1375" s="3" t="s">
        <v>17605</v>
      </c>
    </row>
    <row r="1376" spans="1:56" ht="42.75" customHeight="1" x14ac:dyDescent="0.25">
      <c r="A1376" s="7" t="s">
        <v>58</v>
      </c>
      <c r="B1376" s="2" t="s">
        <v>17606</v>
      </c>
      <c r="C1376" s="2" t="s">
        <v>17607</v>
      </c>
      <c r="D1376" s="2" t="s">
        <v>17608</v>
      </c>
      <c r="F1376" s="3" t="s">
        <v>58</v>
      </c>
      <c r="G1376" s="3" t="s">
        <v>59</v>
      </c>
      <c r="H1376" s="3" t="s">
        <v>58</v>
      </c>
      <c r="I1376" s="3" t="s">
        <v>58</v>
      </c>
      <c r="J1376" s="3" t="s">
        <v>60</v>
      </c>
      <c r="K1376" s="2" t="s">
        <v>17609</v>
      </c>
      <c r="L1376" s="2" t="s">
        <v>17610</v>
      </c>
      <c r="M1376" s="3" t="s">
        <v>480</v>
      </c>
      <c r="O1376" s="3" t="s">
        <v>64</v>
      </c>
      <c r="P1376" s="3" t="s">
        <v>65</v>
      </c>
      <c r="R1376" s="3" t="s">
        <v>67</v>
      </c>
      <c r="S1376" s="4">
        <v>29</v>
      </c>
      <c r="T1376" s="4">
        <v>29</v>
      </c>
      <c r="U1376" s="5" t="s">
        <v>17611</v>
      </c>
      <c r="V1376" s="5" t="s">
        <v>17611</v>
      </c>
      <c r="W1376" s="5" t="s">
        <v>4419</v>
      </c>
      <c r="X1376" s="5" t="s">
        <v>4419</v>
      </c>
      <c r="Y1376" s="4">
        <v>408</v>
      </c>
      <c r="Z1376" s="4">
        <v>330</v>
      </c>
      <c r="AA1376" s="4">
        <v>422</v>
      </c>
      <c r="AB1376" s="4">
        <v>4</v>
      </c>
      <c r="AC1376" s="4">
        <v>4</v>
      </c>
      <c r="AD1376" s="4">
        <v>15</v>
      </c>
      <c r="AE1376" s="4">
        <v>19</v>
      </c>
      <c r="AF1376" s="4">
        <v>6</v>
      </c>
      <c r="AG1376" s="4">
        <v>6</v>
      </c>
      <c r="AH1376" s="4">
        <v>2</v>
      </c>
      <c r="AI1376" s="4">
        <v>2</v>
      </c>
      <c r="AJ1376" s="4">
        <v>9</v>
      </c>
      <c r="AK1376" s="4">
        <v>13</v>
      </c>
      <c r="AL1376" s="4">
        <v>3</v>
      </c>
      <c r="AM1376" s="4">
        <v>3</v>
      </c>
      <c r="AN1376" s="4">
        <v>0</v>
      </c>
      <c r="AO1376" s="4">
        <v>0</v>
      </c>
      <c r="AP1376" s="3" t="s">
        <v>58</v>
      </c>
      <c r="AQ1376" s="3" t="s">
        <v>58</v>
      </c>
      <c r="AS1376" s="6" t="str">
        <f>HYPERLINK("https://creighton-primo.hosted.exlibrisgroup.com/primo-explore/search?tab=default_tab&amp;search_scope=EVERYTHING&amp;vid=01CRU&amp;lang=en_US&amp;offset=0&amp;query=any,contains,991001870799702656","Catalog Record")</f>
        <v>Catalog Record</v>
      </c>
      <c r="AT1376" s="6" t="str">
        <f>HYPERLINK("http://www.worldcat.org/oclc/23585032","WorldCat Record")</f>
        <v>WorldCat Record</v>
      </c>
      <c r="AU1376" s="3" t="s">
        <v>17612</v>
      </c>
      <c r="AV1376" s="3" t="s">
        <v>17613</v>
      </c>
      <c r="AW1376" s="3" t="s">
        <v>17614</v>
      </c>
      <c r="AX1376" s="3" t="s">
        <v>17614</v>
      </c>
      <c r="AY1376" s="3" t="s">
        <v>17615</v>
      </c>
      <c r="AZ1376" s="3" t="s">
        <v>74</v>
      </c>
      <c r="BB1376" s="3" t="s">
        <v>17616</v>
      </c>
      <c r="BC1376" s="3" t="s">
        <v>17617</v>
      </c>
      <c r="BD1376" s="3" t="s">
        <v>17618</v>
      </c>
    </row>
    <row r="1377" spans="1:56" ht="42.75" customHeight="1" x14ac:dyDescent="0.25">
      <c r="A1377" s="7" t="s">
        <v>58</v>
      </c>
      <c r="B1377" s="2" t="s">
        <v>17619</v>
      </c>
      <c r="C1377" s="2" t="s">
        <v>17620</v>
      </c>
      <c r="D1377" s="2" t="s">
        <v>17621</v>
      </c>
      <c r="F1377" s="3" t="s">
        <v>58</v>
      </c>
      <c r="G1377" s="3" t="s">
        <v>59</v>
      </c>
      <c r="H1377" s="3" t="s">
        <v>58</v>
      </c>
      <c r="I1377" s="3" t="s">
        <v>58</v>
      </c>
      <c r="J1377" s="3" t="s">
        <v>60</v>
      </c>
      <c r="K1377" s="2" t="s">
        <v>17622</v>
      </c>
      <c r="L1377" s="2" t="s">
        <v>17623</v>
      </c>
      <c r="M1377" s="3" t="s">
        <v>805</v>
      </c>
      <c r="O1377" s="3" t="s">
        <v>64</v>
      </c>
      <c r="P1377" s="3" t="s">
        <v>115</v>
      </c>
      <c r="R1377" s="3" t="s">
        <v>67</v>
      </c>
      <c r="S1377" s="4">
        <v>10</v>
      </c>
      <c r="T1377" s="4">
        <v>10</v>
      </c>
      <c r="U1377" s="5" t="s">
        <v>17624</v>
      </c>
      <c r="V1377" s="5" t="s">
        <v>17624</v>
      </c>
      <c r="W1377" s="5" t="s">
        <v>12022</v>
      </c>
      <c r="X1377" s="5" t="s">
        <v>12022</v>
      </c>
      <c r="Y1377" s="4">
        <v>141</v>
      </c>
      <c r="Z1377" s="4">
        <v>126</v>
      </c>
      <c r="AA1377" s="4">
        <v>126</v>
      </c>
      <c r="AB1377" s="4">
        <v>1</v>
      </c>
      <c r="AC1377" s="4">
        <v>1</v>
      </c>
      <c r="AD1377" s="4">
        <v>6</v>
      </c>
      <c r="AE1377" s="4">
        <v>6</v>
      </c>
      <c r="AF1377" s="4">
        <v>2</v>
      </c>
      <c r="AG1377" s="4">
        <v>2</v>
      </c>
      <c r="AH1377" s="4">
        <v>2</v>
      </c>
      <c r="AI1377" s="4">
        <v>2</v>
      </c>
      <c r="AJ1377" s="4">
        <v>3</v>
      </c>
      <c r="AK1377" s="4">
        <v>3</v>
      </c>
      <c r="AL1377" s="4">
        <v>0</v>
      </c>
      <c r="AM1377" s="4">
        <v>0</v>
      </c>
      <c r="AN1377" s="4">
        <v>0</v>
      </c>
      <c r="AO1377" s="4">
        <v>0</v>
      </c>
      <c r="AP1377" s="3" t="s">
        <v>58</v>
      </c>
      <c r="AQ1377" s="3" t="s">
        <v>58</v>
      </c>
      <c r="AS1377" s="6" t="str">
        <f>HYPERLINK("https://creighton-primo.hosted.exlibrisgroup.com/primo-explore/search?tab=default_tab&amp;search_scope=EVERYTHING&amp;vid=01CRU&amp;lang=en_US&amp;offset=0&amp;query=any,contains,991002532199702656","Catalog Record")</f>
        <v>Catalog Record</v>
      </c>
      <c r="AT1377" s="6" t="str">
        <f>HYPERLINK("http://www.worldcat.org/oclc/32894959","WorldCat Record")</f>
        <v>WorldCat Record</v>
      </c>
      <c r="AU1377" s="3" t="s">
        <v>17625</v>
      </c>
      <c r="AV1377" s="3" t="s">
        <v>17626</v>
      </c>
      <c r="AW1377" s="3" t="s">
        <v>17627</v>
      </c>
      <c r="AX1377" s="3" t="s">
        <v>17627</v>
      </c>
      <c r="AY1377" s="3" t="s">
        <v>17628</v>
      </c>
      <c r="AZ1377" s="3" t="s">
        <v>74</v>
      </c>
      <c r="BB1377" s="3" t="s">
        <v>17629</v>
      </c>
      <c r="BC1377" s="3" t="s">
        <v>17630</v>
      </c>
      <c r="BD1377" s="3" t="s">
        <v>17631</v>
      </c>
    </row>
    <row r="1378" spans="1:56" ht="42.75" customHeight="1" x14ac:dyDescent="0.25">
      <c r="A1378" s="7" t="s">
        <v>58</v>
      </c>
      <c r="B1378" s="2" t="s">
        <v>17632</v>
      </c>
      <c r="C1378" s="2" t="s">
        <v>17633</v>
      </c>
      <c r="D1378" s="2" t="s">
        <v>17634</v>
      </c>
      <c r="F1378" s="3" t="s">
        <v>58</v>
      </c>
      <c r="G1378" s="3" t="s">
        <v>59</v>
      </c>
      <c r="H1378" s="3" t="s">
        <v>58</v>
      </c>
      <c r="I1378" s="3" t="s">
        <v>58</v>
      </c>
      <c r="J1378" s="3" t="s">
        <v>60</v>
      </c>
      <c r="K1378" s="2" t="s">
        <v>17635</v>
      </c>
      <c r="L1378" s="2" t="s">
        <v>17636</v>
      </c>
      <c r="M1378" s="3" t="s">
        <v>63</v>
      </c>
      <c r="O1378" s="3" t="s">
        <v>64</v>
      </c>
      <c r="P1378" s="3" t="s">
        <v>115</v>
      </c>
      <c r="R1378" s="3" t="s">
        <v>67</v>
      </c>
      <c r="S1378" s="4">
        <v>43</v>
      </c>
      <c r="T1378" s="4">
        <v>43</v>
      </c>
      <c r="U1378" s="5" t="s">
        <v>17637</v>
      </c>
      <c r="V1378" s="5" t="s">
        <v>17637</v>
      </c>
      <c r="W1378" s="5" t="s">
        <v>15321</v>
      </c>
      <c r="X1378" s="5" t="s">
        <v>15321</v>
      </c>
      <c r="Y1378" s="4">
        <v>221</v>
      </c>
      <c r="Z1378" s="4">
        <v>184</v>
      </c>
      <c r="AA1378" s="4">
        <v>186</v>
      </c>
      <c r="AB1378" s="4">
        <v>3</v>
      </c>
      <c r="AC1378" s="4">
        <v>3</v>
      </c>
      <c r="AD1378" s="4">
        <v>5</v>
      </c>
      <c r="AE1378" s="4">
        <v>5</v>
      </c>
      <c r="AF1378" s="4">
        <v>2</v>
      </c>
      <c r="AG1378" s="4">
        <v>2</v>
      </c>
      <c r="AH1378" s="4">
        <v>0</v>
      </c>
      <c r="AI1378" s="4">
        <v>0</v>
      </c>
      <c r="AJ1378" s="4">
        <v>2</v>
      </c>
      <c r="AK1378" s="4">
        <v>2</v>
      </c>
      <c r="AL1378" s="4">
        <v>2</v>
      </c>
      <c r="AM1378" s="4">
        <v>2</v>
      </c>
      <c r="AN1378" s="4">
        <v>0</v>
      </c>
      <c r="AO1378" s="4">
        <v>0</v>
      </c>
      <c r="AP1378" s="3" t="s">
        <v>58</v>
      </c>
      <c r="AQ1378" s="3" t="s">
        <v>86</v>
      </c>
      <c r="AR1378" s="6" t="str">
        <f>HYPERLINK("http://catalog.hathitrust.org/Record/000279356","HathiTrust Record")</f>
        <v>HathiTrust Record</v>
      </c>
      <c r="AS1378" s="6" t="str">
        <f>HYPERLINK("https://creighton-primo.hosted.exlibrisgroup.com/primo-explore/search?tab=default_tab&amp;search_scope=EVERYTHING&amp;vid=01CRU&amp;lang=en_US&amp;offset=0&amp;query=any,contains,991005226849702656","Catalog Record")</f>
        <v>Catalog Record</v>
      </c>
      <c r="AT1378" s="6" t="str">
        <f>HYPERLINK("http://www.worldcat.org/oclc/8283367","WorldCat Record")</f>
        <v>WorldCat Record</v>
      </c>
      <c r="AU1378" s="3" t="s">
        <v>17638</v>
      </c>
      <c r="AV1378" s="3" t="s">
        <v>17639</v>
      </c>
      <c r="AW1378" s="3" t="s">
        <v>17640</v>
      </c>
      <c r="AX1378" s="3" t="s">
        <v>17640</v>
      </c>
      <c r="AY1378" s="3" t="s">
        <v>17641</v>
      </c>
      <c r="AZ1378" s="3" t="s">
        <v>74</v>
      </c>
      <c r="BB1378" s="3" t="s">
        <v>17642</v>
      </c>
      <c r="BC1378" s="3" t="s">
        <v>17643</v>
      </c>
      <c r="BD1378" s="3" t="s">
        <v>17644</v>
      </c>
    </row>
    <row r="1379" spans="1:56" ht="42.75" customHeight="1" x14ac:dyDescent="0.25">
      <c r="A1379" s="7" t="s">
        <v>58</v>
      </c>
      <c r="B1379" s="2" t="s">
        <v>17645</v>
      </c>
      <c r="C1379" s="2" t="s">
        <v>17646</v>
      </c>
      <c r="D1379" s="2" t="s">
        <v>17647</v>
      </c>
      <c r="F1379" s="3" t="s">
        <v>58</v>
      </c>
      <c r="G1379" s="3" t="s">
        <v>59</v>
      </c>
      <c r="H1379" s="3" t="s">
        <v>58</v>
      </c>
      <c r="I1379" s="3" t="s">
        <v>58</v>
      </c>
      <c r="J1379" s="3" t="s">
        <v>60</v>
      </c>
      <c r="K1379" s="2" t="s">
        <v>12509</v>
      </c>
      <c r="L1379" s="2" t="s">
        <v>17648</v>
      </c>
      <c r="M1379" s="3" t="s">
        <v>695</v>
      </c>
      <c r="O1379" s="3" t="s">
        <v>64</v>
      </c>
      <c r="P1379" s="3" t="s">
        <v>115</v>
      </c>
      <c r="R1379" s="3" t="s">
        <v>67</v>
      </c>
      <c r="S1379" s="4">
        <v>23</v>
      </c>
      <c r="T1379" s="4">
        <v>23</v>
      </c>
      <c r="U1379" s="5" t="s">
        <v>17649</v>
      </c>
      <c r="V1379" s="5" t="s">
        <v>17649</v>
      </c>
      <c r="W1379" s="5" t="s">
        <v>11893</v>
      </c>
      <c r="X1379" s="5" t="s">
        <v>11893</v>
      </c>
      <c r="Y1379" s="4">
        <v>419</v>
      </c>
      <c r="Z1379" s="4">
        <v>344</v>
      </c>
      <c r="AA1379" s="4">
        <v>352</v>
      </c>
      <c r="AB1379" s="4">
        <v>2</v>
      </c>
      <c r="AC1379" s="4">
        <v>2</v>
      </c>
      <c r="AD1379" s="4">
        <v>20</v>
      </c>
      <c r="AE1379" s="4">
        <v>20</v>
      </c>
      <c r="AF1379" s="4">
        <v>5</v>
      </c>
      <c r="AG1379" s="4">
        <v>5</v>
      </c>
      <c r="AH1379" s="4">
        <v>4</v>
      </c>
      <c r="AI1379" s="4">
        <v>4</v>
      </c>
      <c r="AJ1379" s="4">
        <v>16</v>
      </c>
      <c r="AK1379" s="4">
        <v>16</v>
      </c>
      <c r="AL1379" s="4">
        <v>0</v>
      </c>
      <c r="AM1379" s="4">
        <v>0</v>
      </c>
      <c r="AN1379" s="4">
        <v>0</v>
      </c>
      <c r="AO1379" s="4">
        <v>0</v>
      </c>
      <c r="AP1379" s="3" t="s">
        <v>58</v>
      </c>
      <c r="AQ1379" s="3" t="s">
        <v>58</v>
      </c>
      <c r="AS1379" s="6" t="str">
        <f>HYPERLINK("https://creighton-primo.hosted.exlibrisgroup.com/primo-explore/search?tab=default_tab&amp;search_scope=EVERYTHING&amp;vid=01CRU&amp;lang=en_US&amp;offset=0&amp;query=any,contains,991002095879702656","Catalog Record")</f>
        <v>Catalog Record</v>
      </c>
      <c r="AT1379" s="6" t="str">
        <f>HYPERLINK("http://www.worldcat.org/oclc/26858343","WorldCat Record")</f>
        <v>WorldCat Record</v>
      </c>
      <c r="AU1379" s="3" t="s">
        <v>17650</v>
      </c>
      <c r="AV1379" s="3" t="s">
        <v>17651</v>
      </c>
      <c r="AW1379" s="3" t="s">
        <v>17652</v>
      </c>
      <c r="AX1379" s="3" t="s">
        <v>17652</v>
      </c>
      <c r="AY1379" s="3" t="s">
        <v>17653</v>
      </c>
      <c r="AZ1379" s="3" t="s">
        <v>74</v>
      </c>
      <c r="BB1379" s="3" t="s">
        <v>17654</v>
      </c>
      <c r="BC1379" s="3" t="s">
        <v>17655</v>
      </c>
      <c r="BD1379" s="3" t="s">
        <v>17656</v>
      </c>
    </row>
    <row r="1380" spans="1:56" ht="42.75" customHeight="1" x14ac:dyDescent="0.25">
      <c r="A1380" s="7" t="s">
        <v>58</v>
      </c>
      <c r="B1380" s="2" t="s">
        <v>17657</v>
      </c>
      <c r="C1380" s="2" t="s">
        <v>17658</v>
      </c>
      <c r="D1380" s="2" t="s">
        <v>17659</v>
      </c>
      <c r="F1380" s="3" t="s">
        <v>58</v>
      </c>
      <c r="G1380" s="3" t="s">
        <v>59</v>
      </c>
      <c r="H1380" s="3" t="s">
        <v>58</v>
      </c>
      <c r="I1380" s="3" t="s">
        <v>58</v>
      </c>
      <c r="J1380" s="3" t="s">
        <v>60</v>
      </c>
      <c r="K1380" s="2" t="s">
        <v>17660</v>
      </c>
      <c r="L1380" s="2" t="s">
        <v>10251</v>
      </c>
      <c r="M1380" s="3" t="s">
        <v>480</v>
      </c>
      <c r="O1380" s="3" t="s">
        <v>64</v>
      </c>
      <c r="P1380" s="3" t="s">
        <v>115</v>
      </c>
      <c r="Q1380" s="2" t="s">
        <v>17661</v>
      </c>
      <c r="R1380" s="3" t="s">
        <v>67</v>
      </c>
      <c r="S1380" s="4">
        <v>57</v>
      </c>
      <c r="T1380" s="4">
        <v>57</v>
      </c>
      <c r="U1380" s="5" t="s">
        <v>15082</v>
      </c>
      <c r="V1380" s="5" t="s">
        <v>15082</v>
      </c>
      <c r="W1380" s="5" t="s">
        <v>8997</v>
      </c>
      <c r="X1380" s="5" t="s">
        <v>8997</v>
      </c>
      <c r="Y1380" s="4">
        <v>652</v>
      </c>
      <c r="Z1380" s="4">
        <v>528</v>
      </c>
      <c r="AA1380" s="4">
        <v>529</v>
      </c>
      <c r="AB1380" s="4">
        <v>2</v>
      </c>
      <c r="AC1380" s="4">
        <v>2</v>
      </c>
      <c r="AD1380" s="4">
        <v>15</v>
      </c>
      <c r="AE1380" s="4">
        <v>15</v>
      </c>
      <c r="AF1380" s="4">
        <v>5</v>
      </c>
      <c r="AG1380" s="4">
        <v>5</v>
      </c>
      <c r="AH1380" s="4">
        <v>3</v>
      </c>
      <c r="AI1380" s="4">
        <v>3</v>
      </c>
      <c r="AJ1380" s="4">
        <v>12</v>
      </c>
      <c r="AK1380" s="4">
        <v>12</v>
      </c>
      <c r="AL1380" s="4">
        <v>1</v>
      </c>
      <c r="AM1380" s="4">
        <v>1</v>
      </c>
      <c r="AN1380" s="4">
        <v>0</v>
      </c>
      <c r="AO1380" s="4">
        <v>0</v>
      </c>
      <c r="AP1380" s="3" t="s">
        <v>58</v>
      </c>
      <c r="AQ1380" s="3" t="s">
        <v>58</v>
      </c>
      <c r="AS1380" s="6" t="str">
        <f>HYPERLINK("https://creighton-primo.hosted.exlibrisgroup.com/primo-explore/search?tab=default_tab&amp;search_scope=EVERYTHING&amp;vid=01CRU&amp;lang=en_US&amp;offset=0&amp;query=any,contains,991001275689702656","Catalog Record")</f>
        <v>Catalog Record</v>
      </c>
      <c r="AT1380" s="6" t="str">
        <f>HYPERLINK("http://www.worldcat.org/oclc/17874005","WorldCat Record")</f>
        <v>WorldCat Record</v>
      </c>
      <c r="AU1380" s="3" t="s">
        <v>17662</v>
      </c>
      <c r="AV1380" s="3" t="s">
        <v>17663</v>
      </c>
      <c r="AW1380" s="3" t="s">
        <v>17664</v>
      </c>
      <c r="AX1380" s="3" t="s">
        <v>17664</v>
      </c>
      <c r="AY1380" s="3" t="s">
        <v>17665</v>
      </c>
      <c r="AZ1380" s="3" t="s">
        <v>74</v>
      </c>
      <c r="BB1380" s="3" t="s">
        <v>17666</v>
      </c>
      <c r="BC1380" s="3" t="s">
        <v>17667</v>
      </c>
      <c r="BD1380" s="3" t="s">
        <v>17668</v>
      </c>
    </row>
    <row r="1381" spans="1:56" ht="42.75" customHeight="1" x14ac:dyDescent="0.25">
      <c r="A1381" s="7" t="s">
        <v>58</v>
      </c>
      <c r="B1381" s="2" t="s">
        <v>17669</v>
      </c>
      <c r="C1381" s="2" t="s">
        <v>17670</v>
      </c>
      <c r="D1381" s="2" t="s">
        <v>17671</v>
      </c>
      <c r="F1381" s="3" t="s">
        <v>58</v>
      </c>
      <c r="G1381" s="3" t="s">
        <v>59</v>
      </c>
      <c r="H1381" s="3" t="s">
        <v>58</v>
      </c>
      <c r="I1381" s="3" t="s">
        <v>58</v>
      </c>
      <c r="J1381" s="3" t="s">
        <v>60</v>
      </c>
      <c r="K1381" s="2" t="s">
        <v>17672</v>
      </c>
      <c r="L1381" s="2" t="s">
        <v>17673</v>
      </c>
      <c r="M1381" s="3" t="s">
        <v>737</v>
      </c>
      <c r="N1381" s="2" t="s">
        <v>1736</v>
      </c>
      <c r="O1381" s="3" t="s">
        <v>64</v>
      </c>
      <c r="P1381" s="3" t="s">
        <v>115</v>
      </c>
      <c r="R1381" s="3" t="s">
        <v>67</v>
      </c>
      <c r="S1381" s="4">
        <v>4</v>
      </c>
      <c r="T1381" s="4">
        <v>4</v>
      </c>
      <c r="U1381" s="5" t="s">
        <v>8047</v>
      </c>
      <c r="V1381" s="5" t="s">
        <v>8047</v>
      </c>
      <c r="W1381" s="5" t="s">
        <v>6527</v>
      </c>
      <c r="X1381" s="5" t="s">
        <v>6527</v>
      </c>
      <c r="Y1381" s="4">
        <v>679</v>
      </c>
      <c r="Z1381" s="4">
        <v>629</v>
      </c>
      <c r="AA1381" s="4">
        <v>735</v>
      </c>
      <c r="AB1381" s="4">
        <v>4</v>
      </c>
      <c r="AC1381" s="4">
        <v>4</v>
      </c>
      <c r="AD1381" s="4">
        <v>20</v>
      </c>
      <c r="AE1381" s="4">
        <v>21</v>
      </c>
      <c r="AF1381" s="4">
        <v>4</v>
      </c>
      <c r="AG1381" s="4">
        <v>5</v>
      </c>
      <c r="AH1381" s="4">
        <v>2</v>
      </c>
      <c r="AI1381" s="4">
        <v>2</v>
      </c>
      <c r="AJ1381" s="4">
        <v>12</v>
      </c>
      <c r="AK1381" s="4">
        <v>12</v>
      </c>
      <c r="AL1381" s="4">
        <v>2</v>
      </c>
      <c r="AM1381" s="4">
        <v>2</v>
      </c>
      <c r="AN1381" s="4">
        <v>2</v>
      </c>
      <c r="AO1381" s="4">
        <v>2</v>
      </c>
      <c r="AP1381" s="3" t="s">
        <v>58</v>
      </c>
      <c r="AQ1381" s="3" t="s">
        <v>86</v>
      </c>
      <c r="AR1381" s="6" t="str">
        <f>HYPERLINK("http://catalog.hathitrust.org/Record/002806449","HathiTrust Record")</f>
        <v>HathiTrust Record</v>
      </c>
      <c r="AS1381" s="6" t="str">
        <f>HYPERLINK("https://creighton-primo.hosted.exlibrisgroup.com/primo-explore/search?tab=default_tab&amp;search_scope=EVERYTHING&amp;vid=01CRU&amp;lang=en_US&amp;offset=0&amp;query=any,contains,991002241049702656","Catalog Record")</f>
        <v>Catalog Record</v>
      </c>
      <c r="AT1381" s="6" t="str">
        <f>HYPERLINK("http://www.worldcat.org/oclc/28892012","WorldCat Record")</f>
        <v>WorldCat Record</v>
      </c>
      <c r="AU1381" s="3" t="s">
        <v>17674</v>
      </c>
      <c r="AV1381" s="3" t="s">
        <v>17675</v>
      </c>
      <c r="AW1381" s="3" t="s">
        <v>17676</v>
      </c>
      <c r="AX1381" s="3" t="s">
        <v>17676</v>
      </c>
      <c r="AY1381" s="3" t="s">
        <v>17677</v>
      </c>
      <c r="AZ1381" s="3" t="s">
        <v>74</v>
      </c>
      <c r="BB1381" s="3" t="s">
        <v>17678</v>
      </c>
      <c r="BC1381" s="3" t="s">
        <v>17679</v>
      </c>
      <c r="BD1381" s="3" t="s">
        <v>17680</v>
      </c>
    </row>
    <row r="1382" spans="1:56" ht="42.75" customHeight="1" x14ac:dyDescent="0.25">
      <c r="A1382" s="7" t="s">
        <v>58</v>
      </c>
      <c r="B1382" s="2" t="s">
        <v>17681</v>
      </c>
      <c r="C1382" s="2" t="s">
        <v>17682</v>
      </c>
      <c r="D1382" s="2" t="s">
        <v>17683</v>
      </c>
      <c r="F1382" s="3" t="s">
        <v>58</v>
      </c>
      <c r="G1382" s="3" t="s">
        <v>59</v>
      </c>
      <c r="H1382" s="3" t="s">
        <v>58</v>
      </c>
      <c r="I1382" s="3" t="s">
        <v>58</v>
      </c>
      <c r="J1382" s="3" t="s">
        <v>60</v>
      </c>
      <c r="L1382" s="2" t="s">
        <v>17684</v>
      </c>
      <c r="M1382" s="3" t="s">
        <v>344</v>
      </c>
      <c r="O1382" s="3" t="s">
        <v>64</v>
      </c>
      <c r="P1382" s="3" t="s">
        <v>115</v>
      </c>
      <c r="R1382" s="3" t="s">
        <v>67</v>
      </c>
      <c r="S1382" s="4">
        <v>11</v>
      </c>
      <c r="T1382" s="4">
        <v>11</v>
      </c>
      <c r="U1382" s="5" t="s">
        <v>11507</v>
      </c>
      <c r="V1382" s="5" t="s">
        <v>11507</v>
      </c>
      <c r="W1382" s="5" t="s">
        <v>12722</v>
      </c>
      <c r="X1382" s="5" t="s">
        <v>12722</v>
      </c>
      <c r="Y1382" s="4">
        <v>909</v>
      </c>
      <c r="Z1382" s="4">
        <v>787</v>
      </c>
      <c r="AA1382" s="4">
        <v>794</v>
      </c>
      <c r="AB1382" s="4">
        <v>6</v>
      </c>
      <c r="AC1382" s="4">
        <v>6</v>
      </c>
      <c r="AD1382" s="4">
        <v>27</v>
      </c>
      <c r="AE1382" s="4">
        <v>27</v>
      </c>
      <c r="AF1382" s="4">
        <v>10</v>
      </c>
      <c r="AG1382" s="4">
        <v>10</v>
      </c>
      <c r="AH1382" s="4">
        <v>4</v>
      </c>
      <c r="AI1382" s="4">
        <v>4</v>
      </c>
      <c r="AJ1382" s="4">
        <v>16</v>
      </c>
      <c r="AK1382" s="4">
        <v>16</v>
      </c>
      <c r="AL1382" s="4">
        <v>4</v>
      </c>
      <c r="AM1382" s="4">
        <v>4</v>
      </c>
      <c r="AN1382" s="4">
        <v>1</v>
      </c>
      <c r="AO1382" s="4">
        <v>1</v>
      </c>
      <c r="AP1382" s="3" t="s">
        <v>58</v>
      </c>
      <c r="AQ1382" s="3" t="s">
        <v>86</v>
      </c>
      <c r="AR1382" s="6" t="str">
        <f>HYPERLINK("http://catalog.hathitrust.org/Record/000707561","HathiTrust Record")</f>
        <v>HathiTrust Record</v>
      </c>
      <c r="AS1382" s="6" t="str">
        <f>HYPERLINK("https://creighton-primo.hosted.exlibrisgroup.com/primo-explore/search?tab=default_tab&amp;search_scope=EVERYTHING&amp;vid=01CRU&amp;lang=en_US&amp;offset=0&amp;query=any,contains,991004808089702656","Catalog Record")</f>
        <v>Catalog Record</v>
      </c>
      <c r="AT1382" s="6" t="str">
        <f>HYPERLINK("http://www.worldcat.org/oclc/5264296","WorldCat Record")</f>
        <v>WorldCat Record</v>
      </c>
      <c r="AU1382" s="3" t="s">
        <v>17685</v>
      </c>
      <c r="AV1382" s="3" t="s">
        <v>17686</v>
      </c>
      <c r="AW1382" s="3" t="s">
        <v>17687</v>
      </c>
      <c r="AX1382" s="3" t="s">
        <v>17687</v>
      </c>
      <c r="AY1382" s="3" t="s">
        <v>17688</v>
      </c>
      <c r="AZ1382" s="3" t="s">
        <v>74</v>
      </c>
      <c r="BB1382" s="3" t="s">
        <v>17689</v>
      </c>
      <c r="BC1382" s="3" t="s">
        <v>17690</v>
      </c>
      <c r="BD1382" s="3" t="s">
        <v>17691</v>
      </c>
    </row>
    <row r="1383" spans="1:56" ht="42.75" customHeight="1" x14ac:dyDescent="0.25">
      <c r="A1383" s="7" t="s">
        <v>58</v>
      </c>
      <c r="B1383" s="2" t="s">
        <v>17692</v>
      </c>
      <c r="C1383" s="2" t="s">
        <v>17693</v>
      </c>
      <c r="D1383" s="2" t="s">
        <v>17694</v>
      </c>
      <c r="F1383" s="3" t="s">
        <v>58</v>
      </c>
      <c r="G1383" s="3" t="s">
        <v>59</v>
      </c>
      <c r="H1383" s="3" t="s">
        <v>58</v>
      </c>
      <c r="I1383" s="3" t="s">
        <v>58</v>
      </c>
      <c r="J1383" s="3" t="s">
        <v>60</v>
      </c>
      <c r="L1383" s="2" t="s">
        <v>7154</v>
      </c>
      <c r="M1383" s="3" t="s">
        <v>805</v>
      </c>
      <c r="N1383" s="2" t="s">
        <v>1736</v>
      </c>
      <c r="O1383" s="3" t="s">
        <v>64</v>
      </c>
      <c r="P1383" s="3" t="s">
        <v>145</v>
      </c>
      <c r="Q1383" s="2" t="s">
        <v>17695</v>
      </c>
      <c r="R1383" s="3" t="s">
        <v>67</v>
      </c>
      <c r="S1383" s="4">
        <v>1</v>
      </c>
      <c r="T1383" s="4">
        <v>1</v>
      </c>
      <c r="U1383" s="5" t="s">
        <v>17696</v>
      </c>
      <c r="V1383" s="5" t="s">
        <v>17696</v>
      </c>
      <c r="W1383" s="5" t="s">
        <v>17697</v>
      </c>
      <c r="X1383" s="5" t="s">
        <v>17697</v>
      </c>
      <c r="Y1383" s="4">
        <v>271</v>
      </c>
      <c r="Z1383" s="4">
        <v>212</v>
      </c>
      <c r="AA1383" s="4">
        <v>293</v>
      </c>
      <c r="AB1383" s="4">
        <v>3</v>
      </c>
      <c r="AC1383" s="4">
        <v>4</v>
      </c>
      <c r="AD1383" s="4">
        <v>13</v>
      </c>
      <c r="AE1383" s="4">
        <v>18</v>
      </c>
      <c r="AF1383" s="4">
        <v>3</v>
      </c>
      <c r="AG1383" s="4">
        <v>5</v>
      </c>
      <c r="AH1383" s="4">
        <v>4</v>
      </c>
      <c r="AI1383" s="4">
        <v>4</v>
      </c>
      <c r="AJ1383" s="4">
        <v>8</v>
      </c>
      <c r="AK1383" s="4">
        <v>10</v>
      </c>
      <c r="AL1383" s="4">
        <v>2</v>
      </c>
      <c r="AM1383" s="4">
        <v>3</v>
      </c>
      <c r="AN1383" s="4">
        <v>0</v>
      </c>
      <c r="AO1383" s="4">
        <v>0</v>
      </c>
      <c r="AP1383" s="3" t="s">
        <v>58</v>
      </c>
      <c r="AQ1383" s="3" t="s">
        <v>58</v>
      </c>
      <c r="AS1383" s="6" t="str">
        <f>HYPERLINK("https://creighton-primo.hosted.exlibrisgroup.com/primo-explore/search?tab=default_tab&amp;search_scope=EVERYTHING&amp;vid=01CRU&amp;lang=en_US&amp;offset=0&amp;query=any,contains,991005423289702656","Catalog Record")</f>
        <v>Catalog Record</v>
      </c>
      <c r="AT1383" s="6" t="str">
        <f>HYPERLINK("http://www.worldcat.org/oclc/34283366","WorldCat Record")</f>
        <v>WorldCat Record</v>
      </c>
      <c r="AU1383" s="3" t="s">
        <v>17698</v>
      </c>
      <c r="AV1383" s="3" t="s">
        <v>17699</v>
      </c>
      <c r="AW1383" s="3" t="s">
        <v>17700</v>
      </c>
      <c r="AX1383" s="3" t="s">
        <v>17700</v>
      </c>
      <c r="AY1383" s="3" t="s">
        <v>17701</v>
      </c>
      <c r="AZ1383" s="3" t="s">
        <v>74</v>
      </c>
      <c r="BB1383" s="3" t="s">
        <v>17702</v>
      </c>
      <c r="BC1383" s="3" t="s">
        <v>17703</v>
      </c>
      <c r="BD1383" s="3" t="s">
        <v>17704</v>
      </c>
    </row>
    <row r="1384" spans="1:56" ht="42.75" customHeight="1" x14ac:dyDescent="0.25">
      <c r="A1384" s="7" t="s">
        <v>58</v>
      </c>
      <c r="B1384" s="2" t="s">
        <v>17705</v>
      </c>
      <c r="C1384" s="2" t="s">
        <v>17706</v>
      </c>
      <c r="D1384" s="2" t="s">
        <v>17707</v>
      </c>
      <c r="F1384" s="3" t="s">
        <v>58</v>
      </c>
      <c r="G1384" s="3" t="s">
        <v>59</v>
      </c>
      <c r="H1384" s="3" t="s">
        <v>58</v>
      </c>
      <c r="I1384" s="3" t="s">
        <v>58</v>
      </c>
      <c r="J1384" s="3" t="s">
        <v>60</v>
      </c>
      <c r="K1384" s="2" t="s">
        <v>17708</v>
      </c>
      <c r="L1384" s="2" t="s">
        <v>17709</v>
      </c>
      <c r="M1384" s="3" t="s">
        <v>1448</v>
      </c>
      <c r="O1384" s="3" t="s">
        <v>64</v>
      </c>
      <c r="P1384" s="3" t="s">
        <v>359</v>
      </c>
      <c r="R1384" s="3" t="s">
        <v>67</v>
      </c>
      <c r="S1384" s="4">
        <v>1</v>
      </c>
      <c r="T1384" s="4">
        <v>1</v>
      </c>
      <c r="U1384" s="5" t="s">
        <v>17710</v>
      </c>
      <c r="V1384" s="5" t="s">
        <v>17710</v>
      </c>
      <c r="W1384" s="5" t="s">
        <v>17710</v>
      </c>
      <c r="X1384" s="5" t="s">
        <v>17710</v>
      </c>
      <c r="Y1384" s="4">
        <v>146</v>
      </c>
      <c r="Z1384" s="4">
        <v>117</v>
      </c>
      <c r="AA1384" s="4">
        <v>117</v>
      </c>
      <c r="AB1384" s="4">
        <v>1</v>
      </c>
      <c r="AC1384" s="4">
        <v>1</v>
      </c>
      <c r="AD1384" s="4">
        <v>9</v>
      </c>
      <c r="AE1384" s="4">
        <v>9</v>
      </c>
      <c r="AF1384" s="4">
        <v>4</v>
      </c>
      <c r="AG1384" s="4">
        <v>4</v>
      </c>
      <c r="AH1384" s="4">
        <v>3</v>
      </c>
      <c r="AI1384" s="4">
        <v>3</v>
      </c>
      <c r="AJ1384" s="4">
        <v>6</v>
      </c>
      <c r="AK1384" s="4">
        <v>6</v>
      </c>
      <c r="AL1384" s="4">
        <v>0</v>
      </c>
      <c r="AM1384" s="4">
        <v>0</v>
      </c>
      <c r="AN1384" s="4">
        <v>0</v>
      </c>
      <c r="AO1384" s="4">
        <v>0</v>
      </c>
      <c r="AP1384" s="3" t="s">
        <v>58</v>
      </c>
      <c r="AQ1384" s="3" t="s">
        <v>58</v>
      </c>
      <c r="AS1384" s="6" t="str">
        <f>HYPERLINK("https://creighton-primo.hosted.exlibrisgroup.com/primo-explore/search?tab=default_tab&amp;search_scope=EVERYTHING&amp;vid=01CRU&amp;lang=en_US&amp;offset=0&amp;query=any,contains,991005368059702656","Catalog Record")</f>
        <v>Catalog Record</v>
      </c>
      <c r="AT1384" s="6" t="str">
        <f>HYPERLINK("http://www.worldcat.org/oclc/316512850","WorldCat Record")</f>
        <v>WorldCat Record</v>
      </c>
      <c r="AU1384" s="3" t="s">
        <v>17711</v>
      </c>
      <c r="AV1384" s="3" t="s">
        <v>17712</v>
      </c>
      <c r="AW1384" s="3" t="s">
        <v>17713</v>
      </c>
      <c r="AX1384" s="3" t="s">
        <v>17713</v>
      </c>
      <c r="AY1384" s="3" t="s">
        <v>17714</v>
      </c>
      <c r="AZ1384" s="3" t="s">
        <v>74</v>
      </c>
      <c r="BB1384" s="3" t="s">
        <v>17715</v>
      </c>
      <c r="BC1384" s="3" t="s">
        <v>17716</v>
      </c>
      <c r="BD1384" s="3" t="s">
        <v>17717</v>
      </c>
    </row>
    <row r="1385" spans="1:56" ht="42.75" customHeight="1" x14ac:dyDescent="0.25">
      <c r="A1385" s="7" t="s">
        <v>58</v>
      </c>
      <c r="B1385" s="2" t="s">
        <v>17718</v>
      </c>
      <c r="C1385" s="2" t="s">
        <v>17719</v>
      </c>
      <c r="D1385" s="2" t="s">
        <v>17720</v>
      </c>
      <c r="F1385" s="3" t="s">
        <v>58</v>
      </c>
      <c r="G1385" s="3" t="s">
        <v>59</v>
      </c>
      <c r="H1385" s="3" t="s">
        <v>58</v>
      </c>
      <c r="I1385" s="3" t="s">
        <v>58</v>
      </c>
      <c r="J1385" s="3" t="s">
        <v>60</v>
      </c>
      <c r="L1385" s="2" t="s">
        <v>6638</v>
      </c>
      <c r="M1385" s="3" t="s">
        <v>642</v>
      </c>
      <c r="O1385" s="3" t="s">
        <v>64</v>
      </c>
      <c r="P1385" s="3" t="s">
        <v>99</v>
      </c>
      <c r="R1385" s="3" t="s">
        <v>67</v>
      </c>
      <c r="S1385" s="4">
        <v>15</v>
      </c>
      <c r="T1385" s="4">
        <v>15</v>
      </c>
      <c r="U1385" s="5" t="s">
        <v>17721</v>
      </c>
      <c r="V1385" s="5" t="s">
        <v>17721</v>
      </c>
      <c r="W1385" s="5" t="s">
        <v>8523</v>
      </c>
      <c r="X1385" s="5" t="s">
        <v>8523</v>
      </c>
      <c r="Y1385" s="4">
        <v>395</v>
      </c>
      <c r="Z1385" s="4">
        <v>282</v>
      </c>
      <c r="AA1385" s="4">
        <v>284</v>
      </c>
      <c r="AB1385" s="4">
        <v>2</v>
      </c>
      <c r="AC1385" s="4">
        <v>2</v>
      </c>
      <c r="AD1385" s="4">
        <v>18</v>
      </c>
      <c r="AE1385" s="4">
        <v>18</v>
      </c>
      <c r="AF1385" s="4">
        <v>7</v>
      </c>
      <c r="AG1385" s="4">
        <v>7</v>
      </c>
      <c r="AH1385" s="4">
        <v>4</v>
      </c>
      <c r="AI1385" s="4">
        <v>4</v>
      </c>
      <c r="AJ1385" s="4">
        <v>10</v>
      </c>
      <c r="AK1385" s="4">
        <v>10</v>
      </c>
      <c r="AL1385" s="4">
        <v>1</v>
      </c>
      <c r="AM1385" s="4">
        <v>1</v>
      </c>
      <c r="AN1385" s="4">
        <v>0</v>
      </c>
      <c r="AO1385" s="4">
        <v>0</v>
      </c>
      <c r="AP1385" s="3" t="s">
        <v>58</v>
      </c>
      <c r="AQ1385" s="3" t="s">
        <v>86</v>
      </c>
      <c r="AR1385" s="6" t="str">
        <f>HYPERLINK("http://catalog.hathitrust.org/Record/002610235","HathiTrust Record")</f>
        <v>HathiTrust Record</v>
      </c>
      <c r="AS1385" s="6" t="str">
        <f>HYPERLINK("https://creighton-primo.hosted.exlibrisgroup.com/primo-explore/search?tab=default_tab&amp;search_scope=EVERYTHING&amp;vid=01CRU&amp;lang=en_US&amp;offset=0&amp;query=any,contains,991002061819702656","Catalog Record")</f>
        <v>Catalog Record</v>
      </c>
      <c r="AT1385" s="6" t="str">
        <f>HYPERLINK("http://www.worldcat.org/oclc/26396121","WorldCat Record")</f>
        <v>WorldCat Record</v>
      </c>
      <c r="AU1385" s="3" t="s">
        <v>17722</v>
      </c>
      <c r="AV1385" s="3" t="s">
        <v>17723</v>
      </c>
      <c r="AW1385" s="3" t="s">
        <v>17724</v>
      </c>
      <c r="AX1385" s="3" t="s">
        <v>17724</v>
      </c>
      <c r="AY1385" s="3" t="s">
        <v>17725</v>
      </c>
      <c r="AZ1385" s="3" t="s">
        <v>74</v>
      </c>
      <c r="BB1385" s="3" t="s">
        <v>17726</v>
      </c>
      <c r="BC1385" s="3" t="s">
        <v>17727</v>
      </c>
      <c r="BD1385" s="3" t="s">
        <v>17728</v>
      </c>
    </row>
    <row r="1386" spans="1:56" ht="42.75" customHeight="1" x14ac:dyDescent="0.25">
      <c r="A1386" s="7" t="s">
        <v>58</v>
      </c>
      <c r="B1386" s="2" t="s">
        <v>17729</v>
      </c>
      <c r="C1386" s="2" t="s">
        <v>17730</v>
      </c>
      <c r="D1386" s="2" t="s">
        <v>17731</v>
      </c>
      <c r="F1386" s="3" t="s">
        <v>58</v>
      </c>
      <c r="G1386" s="3" t="s">
        <v>59</v>
      </c>
      <c r="H1386" s="3" t="s">
        <v>58</v>
      </c>
      <c r="I1386" s="3" t="s">
        <v>58</v>
      </c>
      <c r="J1386" s="3" t="s">
        <v>60</v>
      </c>
      <c r="K1386" s="2" t="s">
        <v>17732</v>
      </c>
      <c r="L1386" s="2" t="s">
        <v>17733</v>
      </c>
      <c r="M1386" s="3" t="s">
        <v>223</v>
      </c>
      <c r="N1386" s="2" t="s">
        <v>1736</v>
      </c>
      <c r="O1386" s="3" t="s">
        <v>64</v>
      </c>
      <c r="P1386" s="3" t="s">
        <v>1898</v>
      </c>
      <c r="R1386" s="3" t="s">
        <v>67</v>
      </c>
      <c r="S1386" s="4">
        <v>2</v>
      </c>
      <c r="T1386" s="4">
        <v>2</v>
      </c>
      <c r="U1386" s="5" t="s">
        <v>2697</v>
      </c>
      <c r="V1386" s="5" t="s">
        <v>2697</v>
      </c>
      <c r="W1386" s="5" t="s">
        <v>165</v>
      </c>
      <c r="X1386" s="5" t="s">
        <v>165</v>
      </c>
      <c r="Y1386" s="4">
        <v>385</v>
      </c>
      <c r="Z1386" s="4">
        <v>351</v>
      </c>
      <c r="AA1386" s="4">
        <v>351</v>
      </c>
      <c r="AB1386" s="4">
        <v>4</v>
      </c>
      <c r="AC1386" s="4">
        <v>4</v>
      </c>
      <c r="AD1386" s="4">
        <v>7</v>
      </c>
      <c r="AE1386" s="4">
        <v>7</v>
      </c>
      <c r="AF1386" s="4">
        <v>3</v>
      </c>
      <c r="AG1386" s="4">
        <v>3</v>
      </c>
      <c r="AH1386" s="4">
        <v>0</v>
      </c>
      <c r="AI1386" s="4">
        <v>0</v>
      </c>
      <c r="AJ1386" s="4">
        <v>3</v>
      </c>
      <c r="AK1386" s="4">
        <v>3</v>
      </c>
      <c r="AL1386" s="4">
        <v>1</v>
      </c>
      <c r="AM1386" s="4">
        <v>1</v>
      </c>
      <c r="AN1386" s="4">
        <v>0</v>
      </c>
      <c r="AO1386" s="4">
        <v>0</v>
      </c>
      <c r="AP1386" s="3" t="s">
        <v>58</v>
      </c>
      <c r="AQ1386" s="3" t="s">
        <v>58</v>
      </c>
      <c r="AS1386" s="6" t="str">
        <f>HYPERLINK("https://creighton-primo.hosted.exlibrisgroup.com/primo-explore/search?tab=default_tab&amp;search_scope=EVERYTHING&amp;vid=01CRU&amp;lang=en_US&amp;offset=0&amp;query=any,contains,991004403079702656","Catalog Record")</f>
        <v>Catalog Record</v>
      </c>
      <c r="AT1386" s="6" t="str">
        <f>HYPERLINK("http://www.worldcat.org/oclc/3311072","WorldCat Record")</f>
        <v>WorldCat Record</v>
      </c>
      <c r="AU1386" s="3" t="s">
        <v>17734</v>
      </c>
      <c r="AV1386" s="3" t="s">
        <v>17735</v>
      </c>
      <c r="AW1386" s="3" t="s">
        <v>17736</v>
      </c>
      <c r="AX1386" s="3" t="s">
        <v>17736</v>
      </c>
      <c r="AY1386" s="3" t="s">
        <v>17737</v>
      </c>
      <c r="AZ1386" s="3" t="s">
        <v>74</v>
      </c>
      <c r="BB1386" s="3" t="s">
        <v>17738</v>
      </c>
      <c r="BC1386" s="3" t="s">
        <v>17739</v>
      </c>
      <c r="BD1386" s="3" t="s">
        <v>17740</v>
      </c>
    </row>
    <row r="1387" spans="1:56" ht="42.75" customHeight="1" x14ac:dyDescent="0.25">
      <c r="A1387" s="7" t="s">
        <v>58</v>
      </c>
      <c r="B1387" s="2" t="s">
        <v>17741</v>
      </c>
      <c r="C1387" s="2" t="s">
        <v>17742</v>
      </c>
      <c r="D1387" s="2" t="s">
        <v>17743</v>
      </c>
      <c r="F1387" s="3" t="s">
        <v>58</v>
      </c>
      <c r="G1387" s="3" t="s">
        <v>59</v>
      </c>
      <c r="H1387" s="3" t="s">
        <v>58</v>
      </c>
      <c r="I1387" s="3" t="s">
        <v>58</v>
      </c>
      <c r="J1387" s="3" t="s">
        <v>60</v>
      </c>
      <c r="L1387" s="2" t="s">
        <v>17744</v>
      </c>
      <c r="M1387" s="3" t="s">
        <v>1361</v>
      </c>
      <c r="N1387" s="2" t="s">
        <v>1844</v>
      </c>
      <c r="O1387" s="3" t="s">
        <v>64</v>
      </c>
      <c r="P1387" s="3" t="s">
        <v>115</v>
      </c>
      <c r="R1387" s="3" t="s">
        <v>67</v>
      </c>
      <c r="S1387" s="4">
        <v>1</v>
      </c>
      <c r="T1387" s="4">
        <v>1</v>
      </c>
      <c r="U1387" s="5" t="s">
        <v>17745</v>
      </c>
      <c r="V1387" s="5" t="s">
        <v>17745</v>
      </c>
      <c r="W1387" s="5" t="s">
        <v>17745</v>
      </c>
      <c r="X1387" s="5" t="s">
        <v>17745</v>
      </c>
      <c r="Y1387" s="4">
        <v>208</v>
      </c>
      <c r="Z1387" s="4">
        <v>155</v>
      </c>
      <c r="AA1387" s="4">
        <v>575</v>
      </c>
      <c r="AB1387" s="4">
        <v>5</v>
      </c>
      <c r="AC1387" s="4">
        <v>8</v>
      </c>
      <c r="AD1387" s="4">
        <v>15</v>
      </c>
      <c r="AE1387" s="4">
        <v>33</v>
      </c>
      <c r="AF1387" s="4">
        <v>3</v>
      </c>
      <c r="AG1387" s="4">
        <v>10</v>
      </c>
      <c r="AH1387" s="4">
        <v>2</v>
      </c>
      <c r="AI1387" s="4">
        <v>7</v>
      </c>
      <c r="AJ1387" s="4">
        <v>10</v>
      </c>
      <c r="AK1387" s="4">
        <v>14</v>
      </c>
      <c r="AL1387" s="4">
        <v>4</v>
      </c>
      <c r="AM1387" s="4">
        <v>7</v>
      </c>
      <c r="AN1387" s="4">
        <v>0</v>
      </c>
      <c r="AO1387" s="4">
        <v>1</v>
      </c>
      <c r="AP1387" s="3" t="s">
        <v>58</v>
      </c>
      <c r="AQ1387" s="3" t="s">
        <v>58</v>
      </c>
      <c r="AS1387" s="6" t="str">
        <f>HYPERLINK("https://creighton-primo.hosted.exlibrisgroup.com/primo-explore/search?tab=default_tab&amp;search_scope=EVERYTHING&amp;vid=01CRU&amp;lang=en_US&amp;offset=0&amp;query=any,contains,991005199859702656","Catalog Record")</f>
        <v>Catalog Record</v>
      </c>
      <c r="AT1387" s="6" t="str">
        <f>HYPERLINK("http://www.worldcat.org/oclc/104835395","WorldCat Record")</f>
        <v>WorldCat Record</v>
      </c>
      <c r="AU1387" s="3" t="s">
        <v>17746</v>
      </c>
      <c r="AV1387" s="3" t="s">
        <v>17747</v>
      </c>
      <c r="AW1387" s="3" t="s">
        <v>17748</v>
      </c>
      <c r="AX1387" s="3" t="s">
        <v>17748</v>
      </c>
      <c r="AY1387" s="3" t="s">
        <v>17749</v>
      </c>
      <c r="AZ1387" s="3" t="s">
        <v>74</v>
      </c>
      <c r="BB1387" s="3" t="s">
        <v>17750</v>
      </c>
      <c r="BC1387" s="3" t="s">
        <v>17751</v>
      </c>
      <c r="BD1387" s="3" t="s">
        <v>17752</v>
      </c>
    </row>
    <row r="1388" spans="1:56" ht="42.75" customHeight="1" x14ac:dyDescent="0.25">
      <c r="A1388" s="7" t="s">
        <v>58</v>
      </c>
      <c r="B1388" s="2" t="s">
        <v>17753</v>
      </c>
      <c r="C1388" s="2" t="s">
        <v>17754</v>
      </c>
      <c r="D1388" s="2" t="s">
        <v>17755</v>
      </c>
      <c r="F1388" s="3" t="s">
        <v>58</v>
      </c>
      <c r="G1388" s="3" t="s">
        <v>59</v>
      </c>
      <c r="H1388" s="3" t="s">
        <v>58</v>
      </c>
      <c r="I1388" s="3" t="s">
        <v>58</v>
      </c>
      <c r="J1388" s="3" t="s">
        <v>60</v>
      </c>
      <c r="K1388" s="2" t="s">
        <v>17756</v>
      </c>
      <c r="L1388" s="2" t="s">
        <v>17757</v>
      </c>
      <c r="M1388" s="3" t="s">
        <v>223</v>
      </c>
      <c r="O1388" s="3" t="s">
        <v>64</v>
      </c>
      <c r="P1388" s="3" t="s">
        <v>208</v>
      </c>
      <c r="R1388" s="3" t="s">
        <v>67</v>
      </c>
      <c r="S1388" s="4">
        <v>3</v>
      </c>
      <c r="T1388" s="4">
        <v>3</v>
      </c>
      <c r="U1388" s="5" t="s">
        <v>17758</v>
      </c>
      <c r="V1388" s="5" t="s">
        <v>17758</v>
      </c>
      <c r="W1388" s="5" t="s">
        <v>4730</v>
      </c>
      <c r="X1388" s="5" t="s">
        <v>4730</v>
      </c>
      <c r="Y1388" s="4">
        <v>499</v>
      </c>
      <c r="Z1388" s="4">
        <v>456</v>
      </c>
      <c r="AA1388" s="4">
        <v>474</v>
      </c>
      <c r="AB1388" s="4">
        <v>4</v>
      </c>
      <c r="AC1388" s="4">
        <v>4</v>
      </c>
      <c r="AD1388" s="4">
        <v>12</v>
      </c>
      <c r="AE1388" s="4">
        <v>12</v>
      </c>
      <c r="AF1388" s="4">
        <v>1</v>
      </c>
      <c r="AG1388" s="4">
        <v>1</v>
      </c>
      <c r="AH1388" s="4">
        <v>1</v>
      </c>
      <c r="AI1388" s="4">
        <v>1</v>
      </c>
      <c r="AJ1388" s="4">
        <v>5</v>
      </c>
      <c r="AK1388" s="4">
        <v>5</v>
      </c>
      <c r="AL1388" s="4">
        <v>2</v>
      </c>
      <c r="AM1388" s="4">
        <v>2</v>
      </c>
      <c r="AN1388" s="4">
        <v>3</v>
      </c>
      <c r="AO1388" s="4">
        <v>3</v>
      </c>
      <c r="AP1388" s="3" t="s">
        <v>58</v>
      </c>
      <c r="AQ1388" s="3" t="s">
        <v>58</v>
      </c>
      <c r="AS1388" s="6" t="str">
        <f>HYPERLINK("https://creighton-primo.hosted.exlibrisgroup.com/primo-explore/search?tab=default_tab&amp;search_scope=EVERYTHING&amp;vid=01CRU&amp;lang=en_US&amp;offset=0&amp;query=any,contains,991004483509702656","Catalog Record")</f>
        <v>Catalog Record</v>
      </c>
      <c r="AT1388" s="6" t="str">
        <f>HYPERLINK("http://www.worldcat.org/oclc/3631239","WorldCat Record")</f>
        <v>WorldCat Record</v>
      </c>
      <c r="AU1388" s="3" t="s">
        <v>17759</v>
      </c>
      <c r="AV1388" s="3" t="s">
        <v>17760</v>
      </c>
      <c r="AW1388" s="3" t="s">
        <v>17761</v>
      </c>
      <c r="AX1388" s="3" t="s">
        <v>17761</v>
      </c>
      <c r="AY1388" s="3" t="s">
        <v>17762</v>
      </c>
      <c r="AZ1388" s="3" t="s">
        <v>74</v>
      </c>
      <c r="BB1388" s="3" t="s">
        <v>17763</v>
      </c>
      <c r="BC1388" s="3" t="s">
        <v>17764</v>
      </c>
      <c r="BD1388" s="3" t="s">
        <v>17765</v>
      </c>
    </row>
    <row r="1389" spans="1:56" ht="42.75" customHeight="1" x14ac:dyDescent="0.25">
      <c r="A1389" s="7" t="s">
        <v>58</v>
      </c>
      <c r="B1389" s="2" t="s">
        <v>17766</v>
      </c>
      <c r="C1389" s="2" t="s">
        <v>17767</v>
      </c>
      <c r="D1389" s="2" t="s">
        <v>17768</v>
      </c>
      <c r="F1389" s="3" t="s">
        <v>58</v>
      </c>
      <c r="G1389" s="3" t="s">
        <v>59</v>
      </c>
      <c r="H1389" s="3" t="s">
        <v>58</v>
      </c>
      <c r="I1389" s="3" t="s">
        <v>58</v>
      </c>
      <c r="J1389" s="3" t="s">
        <v>60</v>
      </c>
      <c r="L1389" s="2" t="s">
        <v>17769</v>
      </c>
      <c r="M1389" s="3" t="s">
        <v>207</v>
      </c>
      <c r="O1389" s="3" t="s">
        <v>64</v>
      </c>
      <c r="P1389" s="3" t="s">
        <v>115</v>
      </c>
      <c r="Q1389" s="2" t="s">
        <v>17770</v>
      </c>
      <c r="R1389" s="3" t="s">
        <v>67</v>
      </c>
      <c r="S1389" s="4">
        <v>2</v>
      </c>
      <c r="T1389" s="4">
        <v>2</v>
      </c>
      <c r="U1389" s="5" t="s">
        <v>17771</v>
      </c>
      <c r="V1389" s="5" t="s">
        <v>17771</v>
      </c>
      <c r="W1389" s="5" t="s">
        <v>5462</v>
      </c>
      <c r="X1389" s="5" t="s">
        <v>5462</v>
      </c>
      <c r="Y1389" s="4">
        <v>635</v>
      </c>
      <c r="Z1389" s="4">
        <v>500</v>
      </c>
      <c r="AA1389" s="4">
        <v>531</v>
      </c>
      <c r="AB1389" s="4">
        <v>6</v>
      </c>
      <c r="AC1389" s="4">
        <v>6</v>
      </c>
      <c r="AD1389" s="4">
        <v>20</v>
      </c>
      <c r="AE1389" s="4">
        <v>22</v>
      </c>
      <c r="AF1389" s="4">
        <v>6</v>
      </c>
      <c r="AG1389" s="4">
        <v>7</v>
      </c>
      <c r="AH1389" s="4">
        <v>5</v>
      </c>
      <c r="AI1389" s="4">
        <v>6</v>
      </c>
      <c r="AJ1389" s="4">
        <v>8</v>
      </c>
      <c r="AK1389" s="4">
        <v>8</v>
      </c>
      <c r="AL1389" s="4">
        <v>5</v>
      </c>
      <c r="AM1389" s="4">
        <v>5</v>
      </c>
      <c r="AN1389" s="4">
        <v>0</v>
      </c>
      <c r="AO1389" s="4">
        <v>0</v>
      </c>
      <c r="AP1389" s="3" t="s">
        <v>58</v>
      </c>
      <c r="AQ1389" s="3" t="s">
        <v>86</v>
      </c>
      <c r="AR1389" s="6" t="str">
        <f>HYPERLINK("http://catalog.hathitrust.org/Record/000225851","HathiTrust Record")</f>
        <v>HathiTrust Record</v>
      </c>
      <c r="AS1389" s="6" t="str">
        <f>HYPERLINK("https://creighton-primo.hosted.exlibrisgroup.com/primo-explore/search?tab=default_tab&amp;search_scope=EVERYTHING&amp;vid=01CRU&amp;lang=en_US&amp;offset=0&amp;query=any,contains,991005098329702656","Catalog Record")</f>
        <v>Catalog Record</v>
      </c>
      <c r="AT1389" s="6" t="str">
        <f>HYPERLINK("http://www.worldcat.org/oclc/7277651","WorldCat Record")</f>
        <v>WorldCat Record</v>
      </c>
      <c r="AU1389" s="3" t="s">
        <v>17772</v>
      </c>
      <c r="AV1389" s="3" t="s">
        <v>17773</v>
      </c>
      <c r="AW1389" s="3" t="s">
        <v>17774</v>
      </c>
      <c r="AX1389" s="3" t="s">
        <v>17774</v>
      </c>
      <c r="AY1389" s="3" t="s">
        <v>17775</v>
      </c>
      <c r="AZ1389" s="3" t="s">
        <v>74</v>
      </c>
      <c r="BB1389" s="3" t="s">
        <v>17776</v>
      </c>
      <c r="BC1389" s="3" t="s">
        <v>17777</v>
      </c>
      <c r="BD1389" s="3" t="s">
        <v>17778</v>
      </c>
    </row>
    <row r="1390" spans="1:56" ht="42.75" customHeight="1" x14ac:dyDescent="0.25">
      <c r="A1390" s="7" t="s">
        <v>58</v>
      </c>
      <c r="B1390" s="2" t="s">
        <v>17779</v>
      </c>
      <c r="C1390" s="2" t="s">
        <v>17780</v>
      </c>
      <c r="D1390" s="2" t="s">
        <v>17781</v>
      </c>
      <c r="F1390" s="3" t="s">
        <v>58</v>
      </c>
      <c r="G1390" s="3" t="s">
        <v>59</v>
      </c>
      <c r="H1390" s="3" t="s">
        <v>58</v>
      </c>
      <c r="I1390" s="3" t="s">
        <v>58</v>
      </c>
      <c r="J1390" s="3" t="s">
        <v>60</v>
      </c>
      <c r="K1390" s="2" t="s">
        <v>17782</v>
      </c>
      <c r="L1390" s="2" t="s">
        <v>17783</v>
      </c>
      <c r="M1390" s="3" t="s">
        <v>1361</v>
      </c>
      <c r="O1390" s="3" t="s">
        <v>64</v>
      </c>
      <c r="P1390" s="3" t="s">
        <v>65</v>
      </c>
      <c r="R1390" s="3" t="s">
        <v>67</v>
      </c>
      <c r="S1390" s="4">
        <v>1</v>
      </c>
      <c r="T1390" s="4">
        <v>1</v>
      </c>
      <c r="U1390" s="5" t="s">
        <v>10836</v>
      </c>
      <c r="V1390" s="5" t="s">
        <v>10836</v>
      </c>
      <c r="W1390" s="5" t="s">
        <v>10836</v>
      </c>
      <c r="X1390" s="5" t="s">
        <v>10836</v>
      </c>
      <c r="Y1390" s="4">
        <v>163</v>
      </c>
      <c r="Z1390" s="4">
        <v>84</v>
      </c>
      <c r="AA1390" s="4">
        <v>105</v>
      </c>
      <c r="AB1390" s="4">
        <v>1</v>
      </c>
      <c r="AC1390" s="4">
        <v>1</v>
      </c>
      <c r="AD1390" s="4">
        <v>5</v>
      </c>
      <c r="AE1390" s="4">
        <v>5</v>
      </c>
      <c r="AF1390" s="4">
        <v>2</v>
      </c>
      <c r="AG1390" s="4">
        <v>2</v>
      </c>
      <c r="AH1390" s="4">
        <v>1</v>
      </c>
      <c r="AI1390" s="4">
        <v>1</v>
      </c>
      <c r="AJ1390" s="4">
        <v>3</v>
      </c>
      <c r="AK1390" s="4">
        <v>3</v>
      </c>
      <c r="AL1390" s="4">
        <v>0</v>
      </c>
      <c r="AM1390" s="4">
        <v>0</v>
      </c>
      <c r="AN1390" s="4">
        <v>0</v>
      </c>
      <c r="AO1390" s="4">
        <v>0</v>
      </c>
      <c r="AP1390" s="3" t="s">
        <v>58</v>
      </c>
      <c r="AQ1390" s="3" t="s">
        <v>58</v>
      </c>
      <c r="AS1390" s="6" t="str">
        <f>HYPERLINK("https://creighton-primo.hosted.exlibrisgroup.com/primo-explore/search?tab=default_tab&amp;search_scope=EVERYTHING&amp;vid=01CRU&amp;lang=en_US&amp;offset=0&amp;query=any,contains,991005301409702656","Catalog Record")</f>
        <v>Catalog Record</v>
      </c>
      <c r="AT1390" s="6" t="str">
        <f>HYPERLINK("http://www.worldcat.org/oclc/72774406","WorldCat Record")</f>
        <v>WorldCat Record</v>
      </c>
      <c r="AU1390" s="3" t="s">
        <v>17784</v>
      </c>
      <c r="AV1390" s="3" t="s">
        <v>17785</v>
      </c>
      <c r="AW1390" s="3" t="s">
        <v>17786</v>
      </c>
      <c r="AX1390" s="3" t="s">
        <v>17786</v>
      </c>
      <c r="AY1390" s="3" t="s">
        <v>17787</v>
      </c>
      <c r="AZ1390" s="3" t="s">
        <v>74</v>
      </c>
      <c r="BB1390" s="3" t="s">
        <v>17788</v>
      </c>
      <c r="BC1390" s="3" t="s">
        <v>17789</v>
      </c>
      <c r="BD1390" s="3" t="s">
        <v>17790</v>
      </c>
    </row>
    <row r="1391" spans="1:56" ht="42.75" customHeight="1" x14ac:dyDescent="0.25">
      <c r="A1391" s="7" t="s">
        <v>58</v>
      </c>
      <c r="B1391" s="2" t="s">
        <v>17791</v>
      </c>
      <c r="C1391" s="2" t="s">
        <v>17792</v>
      </c>
      <c r="D1391" s="2" t="s">
        <v>17793</v>
      </c>
      <c r="F1391" s="3" t="s">
        <v>58</v>
      </c>
      <c r="G1391" s="3" t="s">
        <v>59</v>
      </c>
      <c r="H1391" s="3" t="s">
        <v>58</v>
      </c>
      <c r="I1391" s="3" t="s">
        <v>58</v>
      </c>
      <c r="J1391" s="3" t="s">
        <v>60</v>
      </c>
      <c r="K1391" s="2" t="s">
        <v>17794</v>
      </c>
      <c r="L1391" s="2" t="s">
        <v>17795</v>
      </c>
      <c r="M1391" s="3" t="s">
        <v>98</v>
      </c>
      <c r="O1391" s="3" t="s">
        <v>64</v>
      </c>
      <c r="P1391" s="3" t="s">
        <v>115</v>
      </c>
      <c r="Q1391" s="2" t="s">
        <v>6278</v>
      </c>
      <c r="R1391" s="3" t="s">
        <v>67</v>
      </c>
      <c r="S1391" s="4">
        <v>2</v>
      </c>
      <c r="T1391" s="4">
        <v>2</v>
      </c>
      <c r="U1391" s="5" t="s">
        <v>1320</v>
      </c>
      <c r="V1391" s="5" t="s">
        <v>1320</v>
      </c>
      <c r="W1391" s="5" t="s">
        <v>8983</v>
      </c>
      <c r="X1391" s="5" t="s">
        <v>8983</v>
      </c>
      <c r="Y1391" s="4">
        <v>442</v>
      </c>
      <c r="Z1391" s="4">
        <v>343</v>
      </c>
      <c r="AA1391" s="4">
        <v>350</v>
      </c>
      <c r="AB1391" s="4">
        <v>4</v>
      </c>
      <c r="AC1391" s="4">
        <v>4</v>
      </c>
      <c r="AD1391" s="4">
        <v>16</v>
      </c>
      <c r="AE1391" s="4">
        <v>16</v>
      </c>
      <c r="AF1391" s="4">
        <v>6</v>
      </c>
      <c r="AG1391" s="4">
        <v>6</v>
      </c>
      <c r="AH1391" s="4">
        <v>3</v>
      </c>
      <c r="AI1391" s="4">
        <v>3</v>
      </c>
      <c r="AJ1391" s="4">
        <v>11</v>
      </c>
      <c r="AK1391" s="4">
        <v>11</v>
      </c>
      <c r="AL1391" s="4">
        <v>3</v>
      </c>
      <c r="AM1391" s="4">
        <v>3</v>
      </c>
      <c r="AN1391" s="4">
        <v>0</v>
      </c>
      <c r="AO1391" s="4">
        <v>0</v>
      </c>
      <c r="AP1391" s="3" t="s">
        <v>58</v>
      </c>
      <c r="AQ1391" s="3" t="s">
        <v>86</v>
      </c>
      <c r="AR1391" s="6" t="str">
        <f>HYPERLINK("http://catalog.hathitrust.org/Record/000910896","HathiTrust Record")</f>
        <v>HathiTrust Record</v>
      </c>
      <c r="AS1391" s="6" t="str">
        <f>HYPERLINK("https://creighton-primo.hosted.exlibrisgroup.com/primo-explore/search?tab=default_tab&amp;search_scope=EVERYTHING&amp;vid=01CRU&amp;lang=en_US&amp;offset=0&amp;query=any,contains,991001199529702656","Catalog Record")</f>
        <v>Catalog Record</v>
      </c>
      <c r="AT1391" s="6" t="str">
        <f>HYPERLINK("http://www.worldcat.org/oclc/17300410","WorldCat Record")</f>
        <v>WorldCat Record</v>
      </c>
      <c r="AU1391" s="3" t="s">
        <v>17796</v>
      </c>
      <c r="AV1391" s="3" t="s">
        <v>17797</v>
      </c>
      <c r="AW1391" s="3" t="s">
        <v>17798</v>
      </c>
      <c r="AX1391" s="3" t="s">
        <v>17798</v>
      </c>
      <c r="AY1391" s="3" t="s">
        <v>17799</v>
      </c>
      <c r="AZ1391" s="3" t="s">
        <v>74</v>
      </c>
      <c r="BB1391" s="3" t="s">
        <v>17800</v>
      </c>
      <c r="BC1391" s="3" t="s">
        <v>17801</v>
      </c>
      <c r="BD1391" s="3" t="s">
        <v>17802</v>
      </c>
    </row>
    <row r="1392" spans="1:56" ht="42.75" customHeight="1" x14ac:dyDescent="0.25">
      <c r="A1392" s="7" t="s">
        <v>58</v>
      </c>
      <c r="B1392" s="2" t="s">
        <v>17803</v>
      </c>
      <c r="C1392" s="2" t="s">
        <v>17804</v>
      </c>
      <c r="D1392" s="2" t="s">
        <v>17805</v>
      </c>
      <c r="F1392" s="3" t="s">
        <v>58</v>
      </c>
      <c r="G1392" s="3" t="s">
        <v>59</v>
      </c>
      <c r="H1392" s="3" t="s">
        <v>58</v>
      </c>
      <c r="I1392" s="3" t="s">
        <v>58</v>
      </c>
      <c r="J1392" s="3" t="s">
        <v>60</v>
      </c>
      <c r="K1392" s="2" t="s">
        <v>17806</v>
      </c>
      <c r="L1392" s="2" t="s">
        <v>17807</v>
      </c>
      <c r="M1392" s="3" t="s">
        <v>2386</v>
      </c>
      <c r="O1392" s="3" t="s">
        <v>64</v>
      </c>
      <c r="P1392" s="3" t="s">
        <v>1898</v>
      </c>
      <c r="Q1392" s="2" t="s">
        <v>17808</v>
      </c>
      <c r="R1392" s="3" t="s">
        <v>67</v>
      </c>
      <c r="S1392" s="4">
        <v>2</v>
      </c>
      <c r="T1392" s="4">
        <v>2</v>
      </c>
      <c r="U1392" s="5" t="s">
        <v>17809</v>
      </c>
      <c r="V1392" s="5" t="s">
        <v>17809</v>
      </c>
      <c r="W1392" s="5" t="s">
        <v>4419</v>
      </c>
      <c r="X1392" s="5" t="s">
        <v>4419</v>
      </c>
      <c r="Y1392" s="4">
        <v>402</v>
      </c>
      <c r="Z1392" s="4">
        <v>325</v>
      </c>
      <c r="AA1392" s="4">
        <v>331</v>
      </c>
      <c r="AB1392" s="4">
        <v>5</v>
      </c>
      <c r="AC1392" s="4">
        <v>5</v>
      </c>
      <c r="AD1392" s="4">
        <v>19</v>
      </c>
      <c r="AE1392" s="4">
        <v>19</v>
      </c>
      <c r="AF1392" s="4">
        <v>5</v>
      </c>
      <c r="AG1392" s="4">
        <v>5</v>
      </c>
      <c r="AH1392" s="4">
        <v>5</v>
      </c>
      <c r="AI1392" s="4">
        <v>5</v>
      </c>
      <c r="AJ1392" s="4">
        <v>10</v>
      </c>
      <c r="AK1392" s="4">
        <v>10</v>
      </c>
      <c r="AL1392" s="4">
        <v>4</v>
      </c>
      <c r="AM1392" s="4">
        <v>4</v>
      </c>
      <c r="AN1392" s="4">
        <v>0</v>
      </c>
      <c r="AO1392" s="4">
        <v>0</v>
      </c>
      <c r="AP1392" s="3" t="s">
        <v>58</v>
      </c>
      <c r="AQ1392" s="3" t="s">
        <v>86</v>
      </c>
      <c r="AR1392" s="6" t="str">
        <f>HYPERLINK("http://catalog.hathitrust.org/Record/001578295","HathiTrust Record")</f>
        <v>HathiTrust Record</v>
      </c>
      <c r="AS1392" s="6" t="str">
        <f>HYPERLINK("https://creighton-primo.hosted.exlibrisgroup.com/primo-explore/search?tab=default_tab&amp;search_scope=EVERYTHING&amp;vid=01CRU&amp;lang=en_US&amp;offset=0&amp;query=any,contains,991003378619702656","Catalog Record")</f>
        <v>Catalog Record</v>
      </c>
      <c r="AT1392" s="6" t="str">
        <f>HYPERLINK("http://www.worldcat.org/oclc/914856","WorldCat Record")</f>
        <v>WorldCat Record</v>
      </c>
      <c r="AU1392" s="3" t="s">
        <v>17810</v>
      </c>
      <c r="AV1392" s="3" t="s">
        <v>17811</v>
      </c>
      <c r="AW1392" s="3" t="s">
        <v>17812</v>
      </c>
      <c r="AX1392" s="3" t="s">
        <v>17812</v>
      </c>
      <c r="AY1392" s="3" t="s">
        <v>17813</v>
      </c>
      <c r="AZ1392" s="3" t="s">
        <v>74</v>
      </c>
      <c r="BB1392" s="3" t="s">
        <v>17814</v>
      </c>
      <c r="BC1392" s="3" t="s">
        <v>17815</v>
      </c>
      <c r="BD1392" s="3" t="s">
        <v>17816</v>
      </c>
    </row>
    <row r="1393" spans="1:56" ht="42.75" customHeight="1" x14ac:dyDescent="0.25">
      <c r="A1393" s="7" t="s">
        <v>58</v>
      </c>
      <c r="B1393" s="2" t="s">
        <v>17817</v>
      </c>
      <c r="C1393" s="2" t="s">
        <v>17818</v>
      </c>
      <c r="D1393" s="2" t="s">
        <v>17819</v>
      </c>
      <c r="F1393" s="3" t="s">
        <v>58</v>
      </c>
      <c r="G1393" s="3" t="s">
        <v>59</v>
      </c>
      <c r="H1393" s="3" t="s">
        <v>58</v>
      </c>
      <c r="I1393" s="3" t="s">
        <v>58</v>
      </c>
      <c r="J1393" s="3" t="s">
        <v>60</v>
      </c>
      <c r="K1393" s="2" t="s">
        <v>17820</v>
      </c>
      <c r="L1393" s="2" t="s">
        <v>6498</v>
      </c>
      <c r="M1393" s="3" t="s">
        <v>4296</v>
      </c>
      <c r="N1393" s="2" t="s">
        <v>315</v>
      </c>
      <c r="O1393" s="3" t="s">
        <v>64</v>
      </c>
      <c r="P1393" s="3" t="s">
        <v>83</v>
      </c>
      <c r="R1393" s="3" t="s">
        <v>67</v>
      </c>
      <c r="S1393" s="4">
        <v>7</v>
      </c>
      <c r="T1393" s="4">
        <v>7</v>
      </c>
      <c r="U1393" s="5" t="s">
        <v>17821</v>
      </c>
      <c r="V1393" s="5" t="s">
        <v>17821</v>
      </c>
      <c r="W1393" s="5" t="s">
        <v>12809</v>
      </c>
      <c r="X1393" s="5" t="s">
        <v>12809</v>
      </c>
      <c r="Y1393" s="4">
        <v>358</v>
      </c>
      <c r="Z1393" s="4">
        <v>314</v>
      </c>
      <c r="AA1393" s="4">
        <v>484</v>
      </c>
      <c r="AB1393" s="4">
        <v>2</v>
      </c>
      <c r="AC1393" s="4">
        <v>4</v>
      </c>
      <c r="AD1393" s="4">
        <v>13</v>
      </c>
      <c r="AE1393" s="4">
        <v>23</v>
      </c>
      <c r="AF1393" s="4">
        <v>8</v>
      </c>
      <c r="AG1393" s="4">
        <v>11</v>
      </c>
      <c r="AH1393" s="4">
        <v>3</v>
      </c>
      <c r="AI1393" s="4">
        <v>6</v>
      </c>
      <c r="AJ1393" s="4">
        <v>7</v>
      </c>
      <c r="AK1393" s="4">
        <v>11</v>
      </c>
      <c r="AL1393" s="4">
        <v>1</v>
      </c>
      <c r="AM1393" s="4">
        <v>3</v>
      </c>
      <c r="AN1393" s="4">
        <v>0</v>
      </c>
      <c r="AO1393" s="4">
        <v>0</v>
      </c>
      <c r="AP1393" s="3" t="s">
        <v>58</v>
      </c>
      <c r="AQ1393" s="3" t="s">
        <v>86</v>
      </c>
      <c r="AR1393" s="6" t="str">
        <f>HYPERLINK("http://catalog.hathitrust.org/Record/001565330","HathiTrust Record")</f>
        <v>HathiTrust Record</v>
      </c>
      <c r="AS1393" s="6" t="str">
        <f>HYPERLINK("https://creighton-primo.hosted.exlibrisgroup.com/primo-explore/search?tab=default_tab&amp;search_scope=EVERYTHING&amp;vid=01CRU&amp;lang=en_US&amp;offset=0&amp;query=any,contains,991003643419702656","Catalog Record")</f>
        <v>Catalog Record</v>
      </c>
      <c r="AT1393" s="6" t="str">
        <f>HYPERLINK("http://www.worldcat.org/oclc/1242029","WorldCat Record")</f>
        <v>WorldCat Record</v>
      </c>
      <c r="AU1393" s="3" t="s">
        <v>17822</v>
      </c>
      <c r="AV1393" s="3" t="s">
        <v>17823</v>
      </c>
      <c r="AW1393" s="3" t="s">
        <v>17824</v>
      </c>
      <c r="AX1393" s="3" t="s">
        <v>17824</v>
      </c>
      <c r="AY1393" s="3" t="s">
        <v>17825</v>
      </c>
      <c r="AZ1393" s="3" t="s">
        <v>74</v>
      </c>
      <c r="BB1393" s="3" t="s">
        <v>17826</v>
      </c>
      <c r="BC1393" s="3" t="s">
        <v>17827</v>
      </c>
      <c r="BD1393" s="3" t="s">
        <v>17828</v>
      </c>
    </row>
    <row r="1394" spans="1:56" ht="42.75" customHeight="1" x14ac:dyDescent="0.25">
      <c r="A1394" s="7" t="s">
        <v>58</v>
      </c>
      <c r="B1394" s="2" t="s">
        <v>17829</v>
      </c>
      <c r="C1394" s="2" t="s">
        <v>17830</v>
      </c>
      <c r="D1394" s="2" t="s">
        <v>17831</v>
      </c>
      <c r="F1394" s="3" t="s">
        <v>58</v>
      </c>
      <c r="G1394" s="3" t="s">
        <v>59</v>
      </c>
      <c r="H1394" s="3" t="s">
        <v>86</v>
      </c>
      <c r="I1394" s="3" t="s">
        <v>58</v>
      </c>
      <c r="J1394" s="3" t="s">
        <v>60</v>
      </c>
      <c r="L1394" s="2" t="s">
        <v>17832</v>
      </c>
      <c r="M1394" s="3" t="s">
        <v>114</v>
      </c>
      <c r="O1394" s="3" t="s">
        <v>64</v>
      </c>
      <c r="P1394" s="3" t="s">
        <v>239</v>
      </c>
      <c r="Q1394" s="2" t="s">
        <v>17833</v>
      </c>
      <c r="R1394" s="3" t="s">
        <v>67</v>
      </c>
      <c r="S1394" s="4">
        <v>4</v>
      </c>
      <c r="T1394" s="4">
        <v>4</v>
      </c>
      <c r="U1394" s="5" t="s">
        <v>17834</v>
      </c>
      <c r="V1394" s="5" t="s">
        <v>17834</v>
      </c>
      <c r="W1394" s="5" t="s">
        <v>4730</v>
      </c>
      <c r="X1394" s="5" t="s">
        <v>4730</v>
      </c>
      <c r="Y1394" s="4">
        <v>427</v>
      </c>
      <c r="Z1394" s="4">
        <v>324</v>
      </c>
      <c r="AA1394" s="4">
        <v>341</v>
      </c>
      <c r="AB1394" s="4">
        <v>3</v>
      </c>
      <c r="AC1394" s="4">
        <v>3</v>
      </c>
      <c r="AD1394" s="4">
        <v>26</v>
      </c>
      <c r="AE1394" s="4">
        <v>28</v>
      </c>
      <c r="AF1394" s="4">
        <v>7</v>
      </c>
      <c r="AG1394" s="4">
        <v>9</v>
      </c>
      <c r="AH1394" s="4">
        <v>7</v>
      </c>
      <c r="AI1394" s="4">
        <v>8</v>
      </c>
      <c r="AJ1394" s="4">
        <v>16</v>
      </c>
      <c r="AK1394" s="4">
        <v>17</v>
      </c>
      <c r="AL1394" s="4">
        <v>1</v>
      </c>
      <c r="AM1394" s="4">
        <v>1</v>
      </c>
      <c r="AN1394" s="4">
        <v>4</v>
      </c>
      <c r="AO1394" s="4">
        <v>4</v>
      </c>
      <c r="AP1394" s="3" t="s">
        <v>58</v>
      </c>
      <c r="AQ1394" s="3" t="s">
        <v>58</v>
      </c>
      <c r="AS1394" s="6" t="str">
        <f>HYPERLINK("https://creighton-primo.hosted.exlibrisgroup.com/primo-explore/search?tab=default_tab&amp;search_scope=EVERYTHING&amp;vid=01CRU&amp;lang=en_US&amp;offset=0&amp;query=any,contains,991000329389702656","Catalog Record")</f>
        <v>Catalog Record</v>
      </c>
      <c r="AT1394" s="6" t="str">
        <f>HYPERLINK("http://www.worldcat.org/oclc/10185543","WorldCat Record")</f>
        <v>WorldCat Record</v>
      </c>
      <c r="AU1394" s="3" t="s">
        <v>17835</v>
      </c>
      <c r="AV1394" s="3" t="s">
        <v>17836</v>
      </c>
      <c r="AW1394" s="3" t="s">
        <v>17837</v>
      </c>
      <c r="AX1394" s="3" t="s">
        <v>17837</v>
      </c>
      <c r="AY1394" s="3" t="s">
        <v>17838</v>
      </c>
      <c r="AZ1394" s="3" t="s">
        <v>74</v>
      </c>
      <c r="BB1394" s="3" t="s">
        <v>17839</v>
      </c>
      <c r="BC1394" s="3" t="s">
        <v>17840</v>
      </c>
      <c r="BD1394" s="3" t="s">
        <v>17841</v>
      </c>
    </row>
    <row r="1395" spans="1:56" ht="42.75" customHeight="1" x14ac:dyDescent="0.25">
      <c r="A1395" s="7" t="s">
        <v>58</v>
      </c>
      <c r="B1395" s="2" t="s">
        <v>17842</v>
      </c>
      <c r="C1395" s="2" t="s">
        <v>17843</v>
      </c>
      <c r="D1395" s="2" t="s">
        <v>17844</v>
      </c>
      <c r="F1395" s="3" t="s">
        <v>58</v>
      </c>
      <c r="G1395" s="3" t="s">
        <v>59</v>
      </c>
      <c r="H1395" s="3" t="s">
        <v>58</v>
      </c>
      <c r="I1395" s="3" t="s">
        <v>58</v>
      </c>
      <c r="J1395" s="3" t="s">
        <v>60</v>
      </c>
      <c r="K1395" s="2" t="s">
        <v>17845</v>
      </c>
      <c r="L1395" s="2" t="s">
        <v>17846</v>
      </c>
      <c r="M1395" s="3" t="s">
        <v>1574</v>
      </c>
      <c r="O1395" s="3" t="s">
        <v>64</v>
      </c>
      <c r="P1395" s="3" t="s">
        <v>83</v>
      </c>
      <c r="R1395" s="3" t="s">
        <v>67</v>
      </c>
      <c r="S1395" s="4">
        <v>2</v>
      </c>
      <c r="T1395" s="4">
        <v>2</v>
      </c>
      <c r="U1395" s="5" t="s">
        <v>17847</v>
      </c>
      <c r="V1395" s="5" t="s">
        <v>17847</v>
      </c>
      <c r="W1395" s="5" t="s">
        <v>4730</v>
      </c>
      <c r="X1395" s="5" t="s">
        <v>4730</v>
      </c>
      <c r="Y1395" s="4">
        <v>306</v>
      </c>
      <c r="Z1395" s="4">
        <v>251</v>
      </c>
      <c r="AA1395" s="4">
        <v>309</v>
      </c>
      <c r="AB1395" s="4">
        <v>2</v>
      </c>
      <c r="AC1395" s="4">
        <v>3</v>
      </c>
      <c r="AD1395" s="4">
        <v>10</v>
      </c>
      <c r="AE1395" s="4">
        <v>13</v>
      </c>
      <c r="AF1395" s="4">
        <v>5</v>
      </c>
      <c r="AG1395" s="4">
        <v>7</v>
      </c>
      <c r="AH1395" s="4">
        <v>0</v>
      </c>
      <c r="AI1395" s="4">
        <v>0</v>
      </c>
      <c r="AJ1395" s="4">
        <v>6</v>
      </c>
      <c r="AK1395" s="4">
        <v>7</v>
      </c>
      <c r="AL1395" s="4">
        <v>1</v>
      </c>
      <c r="AM1395" s="4">
        <v>2</v>
      </c>
      <c r="AN1395" s="4">
        <v>0</v>
      </c>
      <c r="AO1395" s="4">
        <v>0</v>
      </c>
      <c r="AP1395" s="3" t="s">
        <v>58</v>
      </c>
      <c r="AQ1395" s="3" t="s">
        <v>58</v>
      </c>
      <c r="AS1395" s="6" t="str">
        <f>HYPERLINK("https://creighton-primo.hosted.exlibrisgroup.com/primo-explore/search?tab=default_tab&amp;search_scope=EVERYTHING&amp;vid=01CRU&amp;lang=en_US&amp;offset=0&amp;query=any,contains,991000334239702656","Catalog Record")</f>
        <v>Catalog Record</v>
      </c>
      <c r="AT1395" s="6" t="str">
        <f>HYPERLINK("http://www.worldcat.org/oclc/10223349","WorldCat Record")</f>
        <v>WorldCat Record</v>
      </c>
      <c r="AU1395" s="3" t="s">
        <v>17848</v>
      </c>
      <c r="AV1395" s="3" t="s">
        <v>17849</v>
      </c>
      <c r="AW1395" s="3" t="s">
        <v>17850</v>
      </c>
      <c r="AX1395" s="3" t="s">
        <v>17850</v>
      </c>
      <c r="AY1395" s="3" t="s">
        <v>17851</v>
      </c>
      <c r="AZ1395" s="3" t="s">
        <v>74</v>
      </c>
      <c r="BB1395" s="3" t="s">
        <v>17852</v>
      </c>
      <c r="BC1395" s="3" t="s">
        <v>17853</v>
      </c>
      <c r="BD1395" s="3" t="s">
        <v>17854</v>
      </c>
    </row>
    <row r="1396" spans="1:56" ht="42.75" customHeight="1" x14ac:dyDescent="0.25">
      <c r="A1396" s="7" t="s">
        <v>58</v>
      </c>
      <c r="B1396" s="2" t="s">
        <v>17855</v>
      </c>
      <c r="C1396" s="2" t="s">
        <v>17856</v>
      </c>
      <c r="D1396" s="2" t="s">
        <v>17857</v>
      </c>
      <c r="F1396" s="3" t="s">
        <v>58</v>
      </c>
      <c r="G1396" s="3" t="s">
        <v>59</v>
      </c>
      <c r="H1396" s="3" t="s">
        <v>58</v>
      </c>
      <c r="I1396" s="3" t="s">
        <v>58</v>
      </c>
      <c r="J1396" s="3" t="s">
        <v>60</v>
      </c>
      <c r="L1396" s="2" t="s">
        <v>16889</v>
      </c>
      <c r="M1396" s="3" t="s">
        <v>5200</v>
      </c>
      <c r="O1396" s="3" t="s">
        <v>64</v>
      </c>
      <c r="P1396" s="3" t="s">
        <v>83</v>
      </c>
      <c r="R1396" s="3" t="s">
        <v>67</v>
      </c>
      <c r="S1396" s="4">
        <v>3</v>
      </c>
      <c r="T1396" s="4">
        <v>3</v>
      </c>
      <c r="U1396" s="5" t="s">
        <v>5448</v>
      </c>
      <c r="V1396" s="5" t="s">
        <v>5448</v>
      </c>
      <c r="W1396" s="5" t="s">
        <v>13321</v>
      </c>
      <c r="X1396" s="5" t="s">
        <v>13321</v>
      </c>
      <c r="Y1396" s="4">
        <v>286</v>
      </c>
      <c r="Z1396" s="4">
        <v>249</v>
      </c>
      <c r="AA1396" s="4">
        <v>256</v>
      </c>
      <c r="AB1396" s="4">
        <v>3</v>
      </c>
      <c r="AC1396" s="4">
        <v>3</v>
      </c>
      <c r="AD1396" s="4">
        <v>8</v>
      </c>
      <c r="AE1396" s="4">
        <v>8</v>
      </c>
      <c r="AF1396" s="4">
        <v>1</v>
      </c>
      <c r="AG1396" s="4">
        <v>1</v>
      </c>
      <c r="AH1396" s="4">
        <v>2</v>
      </c>
      <c r="AI1396" s="4">
        <v>2</v>
      </c>
      <c r="AJ1396" s="4">
        <v>5</v>
      </c>
      <c r="AK1396" s="4">
        <v>5</v>
      </c>
      <c r="AL1396" s="4">
        <v>2</v>
      </c>
      <c r="AM1396" s="4">
        <v>2</v>
      </c>
      <c r="AN1396" s="4">
        <v>0</v>
      </c>
      <c r="AO1396" s="4">
        <v>0</v>
      </c>
      <c r="AP1396" s="3" t="s">
        <v>58</v>
      </c>
      <c r="AQ1396" s="3" t="s">
        <v>86</v>
      </c>
      <c r="AR1396" s="6" t="str">
        <f>HYPERLINK("http://catalog.hathitrust.org/Record/000007237","HathiTrust Record")</f>
        <v>HathiTrust Record</v>
      </c>
      <c r="AS1396" s="6" t="str">
        <f>HYPERLINK("https://creighton-primo.hosted.exlibrisgroup.com/primo-explore/search?tab=default_tab&amp;search_scope=EVERYTHING&amp;vid=01CRU&amp;lang=en_US&amp;offset=0&amp;query=any,contains,991002936979702656","Catalog Record")</f>
        <v>Catalog Record</v>
      </c>
      <c r="AT1396" s="6" t="str">
        <f>HYPERLINK("http://www.worldcat.org/oclc/533670","WorldCat Record")</f>
        <v>WorldCat Record</v>
      </c>
      <c r="AU1396" s="3" t="s">
        <v>17858</v>
      </c>
      <c r="AV1396" s="3" t="s">
        <v>17859</v>
      </c>
      <c r="AW1396" s="3" t="s">
        <v>17860</v>
      </c>
      <c r="AX1396" s="3" t="s">
        <v>17860</v>
      </c>
      <c r="AY1396" s="3" t="s">
        <v>17861</v>
      </c>
      <c r="AZ1396" s="3" t="s">
        <v>74</v>
      </c>
      <c r="BB1396" s="3" t="s">
        <v>17862</v>
      </c>
      <c r="BC1396" s="3" t="s">
        <v>17863</v>
      </c>
      <c r="BD1396" s="3" t="s">
        <v>17864</v>
      </c>
    </row>
    <row r="1397" spans="1:56" ht="42.75" customHeight="1" x14ac:dyDescent="0.25">
      <c r="A1397" s="7" t="s">
        <v>58</v>
      </c>
      <c r="B1397" s="2" t="s">
        <v>17865</v>
      </c>
      <c r="C1397" s="2" t="s">
        <v>17866</v>
      </c>
      <c r="D1397" s="2" t="s">
        <v>17867</v>
      </c>
      <c r="F1397" s="3" t="s">
        <v>58</v>
      </c>
      <c r="G1397" s="3" t="s">
        <v>59</v>
      </c>
      <c r="H1397" s="3" t="s">
        <v>58</v>
      </c>
      <c r="I1397" s="3" t="s">
        <v>58</v>
      </c>
      <c r="J1397" s="3" t="s">
        <v>60</v>
      </c>
      <c r="K1397" s="2" t="s">
        <v>17868</v>
      </c>
      <c r="L1397" s="2" t="s">
        <v>17869</v>
      </c>
      <c r="M1397" s="3" t="s">
        <v>3124</v>
      </c>
      <c r="O1397" s="3" t="s">
        <v>64</v>
      </c>
      <c r="P1397" s="3" t="s">
        <v>2213</v>
      </c>
      <c r="Q1397" s="2" t="s">
        <v>17870</v>
      </c>
      <c r="R1397" s="3" t="s">
        <v>67</v>
      </c>
      <c r="S1397" s="4">
        <v>7</v>
      </c>
      <c r="T1397" s="4">
        <v>7</v>
      </c>
      <c r="U1397" s="5" t="s">
        <v>17871</v>
      </c>
      <c r="V1397" s="5" t="s">
        <v>17871</v>
      </c>
      <c r="W1397" s="5" t="s">
        <v>2773</v>
      </c>
      <c r="X1397" s="5" t="s">
        <v>2773</v>
      </c>
      <c r="Y1397" s="4">
        <v>159</v>
      </c>
      <c r="Z1397" s="4">
        <v>131</v>
      </c>
      <c r="AA1397" s="4">
        <v>136</v>
      </c>
      <c r="AB1397" s="4">
        <v>2</v>
      </c>
      <c r="AC1397" s="4">
        <v>2</v>
      </c>
      <c r="AD1397" s="4">
        <v>1</v>
      </c>
      <c r="AE1397" s="4">
        <v>1</v>
      </c>
      <c r="AF1397" s="4">
        <v>0</v>
      </c>
      <c r="AG1397" s="4">
        <v>0</v>
      </c>
      <c r="AH1397" s="4">
        <v>0</v>
      </c>
      <c r="AI1397" s="4">
        <v>0</v>
      </c>
      <c r="AJ1397" s="4">
        <v>0</v>
      </c>
      <c r="AK1397" s="4">
        <v>0</v>
      </c>
      <c r="AL1397" s="4">
        <v>1</v>
      </c>
      <c r="AM1397" s="4">
        <v>1</v>
      </c>
      <c r="AN1397" s="4">
        <v>0</v>
      </c>
      <c r="AO1397" s="4">
        <v>0</v>
      </c>
      <c r="AP1397" s="3" t="s">
        <v>58</v>
      </c>
      <c r="AQ1397" s="3" t="s">
        <v>86</v>
      </c>
      <c r="AR1397" s="6" t="str">
        <f>HYPERLINK("http://catalog.hathitrust.org/Record/001565341","HathiTrust Record")</f>
        <v>HathiTrust Record</v>
      </c>
      <c r="AS1397" s="6" t="str">
        <f>HYPERLINK("https://creighton-primo.hosted.exlibrisgroup.com/primo-explore/search?tab=default_tab&amp;search_scope=EVERYTHING&amp;vid=01CRU&amp;lang=en_US&amp;offset=0&amp;query=any,contains,991000720349702656","Catalog Record")</f>
        <v>Catalog Record</v>
      </c>
      <c r="AT1397" s="6" t="str">
        <f>HYPERLINK("http://www.worldcat.org/oclc/126572","WorldCat Record")</f>
        <v>WorldCat Record</v>
      </c>
      <c r="AU1397" s="3" t="s">
        <v>17872</v>
      </c>
      <c r="AV1397" s="3" t="s">
        <v>17873</v>
      </c>
      <c r="AW1397" s="3" t="s">
        <v>17874</v>
      </c>
      <c r="AX1397" s="3" t="s">
        <v>17874</v>
      </c>
      <c r="AY1397" s="3" t="s">
        <v>17875</v>
      </c>
      <c r="AZ1397" s="3" t="s">
        <v>74</v>
      </c>
      <c r="BC1397" s="3" t="s">
        <v>17876</v>
      </c>
      <c r="BD1397" s="3" t="s">
        <v>17877</v>
      </c>
    </row>
    <row r="1398" spans="1:56" ht="42.75" customHeight="1" x14ac:dyDescent="0.25">
      <c r="A1398" s="7" t="s">
        <v>58</v>
      </c>
      <c r="B1398" s="2" t="s">
        <v>17878</v>
      </c>
      <c r="C1398" s="2" t="s">
        <v>17879</v>
      </c>
      <c r="D1398" s="2" t="s">
        <v>17880</v>
      </c>
      <c r="F1398" s="3" t="s">
        <v>58</v>
      </c>
      <c r="G1398" s="3" t="s">
        <v>59</v>
      </c>
      <c r="H1398" s="3" t="s">
        <v>58</v>
      </c>
      <c r="I1398" s="3" t="s">
        <v>58</v>
      </c>
      <c r="J1398" s="3" t="s">
        <v>60</v>
      </c>
      <c r="K1398" s="2" t="s">
        <v>17881</v>
      </c>
      <c r="L1398" s="2" t="s">
        <v>17882</v>
      </c>
      <c r="M1398" s="3" t="s">
        <v>3914</v>
      </c>
      <c r="N1398" s="2" t="s">
        <v>2517</v>
      </c>
      <c r="O1398" s="3" t="s">
        <v>64</v>
      </c>
      <c r="P1398" s="3" t="s">
        <v>3666</v>
      </c>
      <c r="R1398" s="3" t="s">
        <v>67</v>
      </c>
      <c r="S1398" s="4">
        <v>2</v>
      </c>
      <c r="T1398" s="4">
        <v>2</v>
      </c>
      <c r="U1398" s="5" t="s">
        <v>17883</v>
      </c>
      <c r="V1398" s="5" t="s">
        <v>17883</v>
      </c>
      <c r="W1398" s="5" t="s">
        <v>287</v>
      </c>
      <c r="X1398" s="5" t="s">
        <v>287</v>
      </c>
      <c r="Y1398" s="4">
        <v>216</v>
      </c>
      <c r="Z1398" s="4">
        <v>186</v>
      </c>
      <c r="AA1398" s="4">
        <v>588</v>
      </c>
      <c r="AB1398" s="4">
        <v>2</v>
      </c>
      <c r="AC1398" s="4">
        <v>6</v>
      </c>
      <c r="AD1398" s="4">
        <v>8</v>
      </c>
      <c r="AE1398" s="4">
        <v>27</v>
      </c>
      <c r="AF1398" s="4">
        <v>2</v>
      </c>
      <c r="AG1398" s="4">
        <v>9</v>
      </c>
      <c r="AH1398" s="4">
        <v>2</v>
      </c>
      <c r="AI1398" s="4">
        <v>5</v>
      </c>
      <c r="AJ1398" s="4">
        <v>4</v>
      </c>
      <c r="AK1398" s="4">
        <v>15</v>
      </c>
      <c r="AL1398" s="4">
        <v>1</v>
      </c>
      <c r="AM1398" s="4">
        <v>4</v>
      </c>
      <c r="AN1398" s="4">
        <v>0</v>
      </c>
      <c r="AO1398" s="4">
        <v>0</v>
      </c>
      <c r="AP1398" s="3" t="s">
        <v>58</v>
      </c>
      <c r="AQ1398" s="3" t="s">
        <v>86</v>
      </c>
      <c r="AR1398" s="6" t="str">
        <f>HYPERLINK("http://catalog.hathitrust.org/Record/010093736","HathiTrust Record")</f>
        <v>HathiTrust Record</v>
      </c>
      <c r="AS1398" s="6" t="str">
        <f>HYPERLINK("https://creighton-primo.hosted.exlibrisgroup.com/primo-explore/search?tab=default_tab&amp;search_scope=EVERYTHING&amp;vid=01CRU&amp;lang=en_US&amp;offset=0&amp;query=any,contains,991004062549702656","Catalog Record")</f>
        <v>Catalog Record</v>
      </c>
      <c r="AT1398" s="6" t="str">
        <f>HYPERLINK("http://www.worldcat.org/oclc/2276140","WorldCat Record")</f>
        <v>WorldCat Record</v>
      </c>
      <c r="AU1398" s="3" t="s">
        <v>17884</v>
      </c>
      <c r="AV1398" s="3" t="s">
        <v>17885</v>
      </c>
      <c r="AW1398" s="3" t="s">
        <v>17886</v>
      </c>
      <c r="AX1398" s="3" t="s">
        <v>17886</v>
      </c>
      <c r="AY1398" s="3" t="s">
        <v>17887</v>
      </c>
      <c r="AZ1398" s="3" t="s">
        <v>74</v>
      </c>
      <c r="BB1398" s="3" t="s">
        <v>17888</v>
      </c>
      <c r="BC1398" s="3" t="s">
        <v>17889</v>
      </c>
      <c r="BD1398" s="3" t="s">
        <v>17890</v>
      </c>
    </row>
    <row r="1399" spans="1:56" ht="42.75" customHeight="1" x14ac:dyDescent="0.25">
      <c r="A1399" s="7" t="s">
        <v>58</v>
      </c>
      <c r="B1399" s="2" t="s">
        <v>17891</v>
      </c>
      <c r="C1399" s="2" t="s">
        <v>17892</v>
      </c>
      <c r="D1399" s="2" t="s">
        <v>17893</v>
      </c>
      <c r="F1399" s="3" t="s">
        <v>58</v>
      </c>
      <c r="G1399" s="3" t="s">
        <v>59</v>
      </c>
      <c r="H1399" s="3" t="s">
        <v>58</v>
      </c>
      <c r="I1399" s="3" t="s">
        <v>58</v>
      </c>
      <c r="J1399" s="3" t="s">
        <v>60</v>
      </c>
      <c r="K1399" s="2" t="s">
        <v>8194</v>
      </c>
      <c r="L1399" s="2" t="s">
        <v>17894</v>
      </c>
      <c r="M1399" s="3" t="s">
        <v>238</v>
      </c>
      <c r="O1399" s="3" t="s">
        <v>64</v>
      </c>
      <c r="P1399" s="3" t="s">
        <v>115</v>
      </c>
      <c r="R1399" s="3" t="s">
        <v>67</v>
      </c>
      <c r="S1399" s="4">
        <v>10</v>
      </c>
      <c r="T1399" s="4">
        <v>10</v>
      </c>
      <c r="U1399" s="5" t="s">
        <v>14304</v>
      </c>
      <c r="V1399" s="5" t="s">
        <v>14304</v>
      </c>
      <c r="W1399" s="5" t="s">
        <v>4730</v>
      </c>
      <c r="X1399" s="5" t="s">
        <v>4730</v>
      </c>
      <c r="Y1399" s="4">
        <v>317</v>
      </c>
      <c r="Z1399" s="4">
        <v>240</v>
      </c>
      <c r="AA1399" s="4">
        <v>246</v>
      </c>
      <c r="AB1399" s="4">
        <v>1</v>
      </c>
      <c r="AC1399" s="4">
        <v>1</v>
      </c>
      <c r="AD1399" s="4">
        <v>7</v>
      </c>
      <c r="AE1399" s="4">
        <v>7</v>
      </c>
      <c r="AF1399" s="4">
        <v>1</v>
      </c>
      <c r="AG1399" s="4">
        <v>1</v>
      </c>
      <c r="AH1399" s="4">
        <v>1</v>
      </c>
      <c r="AI1399" s="4">
        <v>1</v>
      </c>
      <c r="AJ1399" s="4">
        <v>7</v>
      </c>
      <c r="AK1399" s="4">
        <v>7</v>
      </c>
      <c r="AL1399" s="4">
        <v>0</v>
      </c>
      <c r="AM1399" s="4">
        <v>0</v>
      </c>
      <c r="AN1399" s="4">
        <v>0</v>
      </c>
      <c r="AO1399" s="4">
        <v>0</v>
      </c>
      <c r="AP1399" s="3" t="s">
        <v>58</v>
      </c>
      <c r="AQ1399" s="3" t="s">
        <v>86</v>
      </c>
      <c r="AR1399" s="6" t="str">
        <f>HYPERLINK("http://catalog.hathitrust.org/Record/000181975","HathiTrust Record")</f>
        <v>HathiTrust Record</v>
      </c>
      <c r="AS1399" s="6" t="str">
        <f>HYPERLINK("https://creighton-primo.hosted.exlibrisgroup.com/primo-explore/search?tab=default_tab&amp;search_scope=EVERYTHING&amp;vid=01CRU&amp;lang=en_US&amp;offset=0&amp;query=any,contains,991004564999702656","Catalog Record")</f>
        <v>Catalog Record</v>
      </c>
      <c r="AT1399" s="6" t="str">
        <f>HYPERLINK("http://www.worldcat.org/oclc/4004287","WorldCat Record")</f>
        <v>WorldCat Record</v>
      </c>
      <c r="AU1399" s="3" t="s">
        <v>17895</v>
      </c>
      <c r="AV1399" s="3" t="s">
        <v>17896</v>
      </c>
      <c r="AW1399" s="3" t="s">
        <v>17897</v>
      </c>
      <c r="AX1399" s="3" t="s">
        <v>17897</v>
      </c>
      <c r="AY1399" s="3" t="s">
        <v>17898</v>
      </c>
      <c r="AZ1399" s="3" t="s">
        <v>74</v>
      </c>
      <c r="BB1399" s="3" t="s">
        <v>17899</v>
      </c>
      <c r="BC1399" s="3" t="s">
        <v>17900</v>
      </c>
      <c r="BD1399" s="3" t="s">
        <v>17901</v>
      </c>
    </row>
    <row r="1400" spans="1:56" ht="42.75" customHeight="1" x14ac:dyDescent="0.25">
      <c r="A1400" s="7" t="s">
        <v>58</v>
      </c>
      <c r="B1400" s="2" t="s">
        <v>17902</v>
      </c>
      <c r="C1400" s="2" t="s">
        <v>17903</v>
      </c>
      <c r="D1400" s="2" t="s">
        <v>17904</v>
      </c>
      <c r="F1400" s="3" t="s">
        <v>58</v>
      </c>
      <c r="G1400" s="3" t="s">
        <v>59</v>
      </c>
      <c r="H1400" s="3" t="s">
        <v>58</v>
      </c>
      <c r="I1400" s="3" t="s">
        <v>58</v>
      </c>
      <c r="J1400" s="3" t="s">
        <v>60</v>
      </c>
      <c r="L1400" s="2" t="s">
        <v>16409</v>
      </c>
      <c r="M1400" s="3" t="s">
        <v>223</v>
      </c>
      <c r="O1400" s="3" t="s">
        <v>64</v>
      </c>
      <c r="P1400" s="3" t="s">
        <v>83</v>
      </c>
      <c r="R1400" s="3" t="s">
        <v>67</v>
      </c>
      <c r="S1400" s="4">
        <v>2</v>
      </c>
      <c r="T1400" s="4">
        <v>2</v>
      </c>
      <c r="U1400" s="5" t="s">
        <v>17871</v>
      </c>
      <c r="V1400" s="5" t="s">
        <v>17871</v>
      </c>
      <c r="W1400" s="5" t="s">
        <v>4730</v>
      </c>
      <c r="X1400" s="5" t="s">
        <v>4730</v>
      </c>
      <c r="Y1400" s="4">
        <v>215</v>
      </c>
      <c r="Z1400" s="4">
        <v>181</v>
      </c>
      <c r="AA1400" s="4">
        <v>182</v>
      </c>
      <c r="AB1400" s="4">
        <v>5</v>
      </c>
      <c r="AC1400" s="4">
        <v>5</v>
      </c>
      <c r="AD1400" s="4">
        <v>9</v>
      </c>
      <c r="AE1400" s="4">
        <v>9</v>
      </c>
      <c r="AF1400" s="4">
        <v>1</v>
      </c>
      <c r="AG1400" s="4">
        <v>1</v>
      </c>
      <c r="AH1400" s="4">
        <v>1</v>
      </c>
      <c r="AI1400" s="4">
        <v>1</v>
      </c>
      <c r="AJ1400" s="4">
        <v>5</v>
      </c>
      <c r="AK1400" s="4">
        <v>5</v>
      </c>
      <c r="AL1400" s="4">
        <v>4</v>
      </c>
      <c r="AM1400" s="4">
        <v>4</v>
      </c>
      <c r="AN1400" s="4">
        <v>0</v>
      </c>
      <c r="AO1400" s="4">
        <v>0</v>
      </c>
      <c r="AP1400" s="3" t="s">
        <v>58</v>
      </c>
      <c r="AQ1400" s="3" t="s">
        <v>86</v>
      </c>
      <c r="AR1400" s="6" t="str">
        <f>HYPERLINK("http://catalog.hathitrust.org/Record/000724815","HathiTrust Record")</f>
        <v>HathiTrust Record</v>
      </c>
      <c r="AS1400" s="6" t="str">
        <f>HYPERLINK("https://creighton-primo.hosted.exlibrisgroup.com/primo-explore/search?tab=default_tab&amp;search_scope=EVERYTHING&amp;vid=01CRU&amp;lang=en_US&amp;offset=0&amp;query=any,contains,991004268279702656","Catalog Record")</f>
        <v>Catalog Record</v>
      </c>
      <c r="AT1400" s="6" t="str">
        <f>HYPERLINK("http://www.worldcat.org/oclc/2873691","WorldCat Record")</f>
        <v>WorldCat Record</v>
      </c>
      <c r="AU1400" s="3" t="s">
        <v>17905</v>
      </c>
      <c r="AV1400" s="3" t="s">
        <v>17906</v>
      </c>
      <c r="AW1400" s="3" t="s">
        <v>17907</v>
      </c>
      <c r="AX1400" s="3" t="s">
        <v>17907</v>
      </c>
      <c r="AY1400" s="3" t="s">
        <v>17908</v>
      </c>
      <c r="AZ1400" s="3" t="s">
        <v>74</v>
      </c>
      <c r="BB1400" s="3" t="s">
        <v>17909</v>
      </c>
      <c r="BC1400" s="3" t="s">
        <v>17910</v>
      </c>
      <c r="BD1400" s="3" t="s">
        <v>17911</v>
      </c>
    </row>
    <row r="1401" spans="1:56" ht="42.75" customHeight="1" x14ac:dyDescent="0.25">
      <c r="A1401" s="7" t="s">
        <v>58</v>
      </c>
      <c r="B1401" s="2" t="s">
        <v>17912</v>
      </c>
      <c r="C1401" s="2" t="s">
        <v>17913</v>
      </c>
      <c r="D1401" s="2" t="s">
        <v>17914</v>
      </c>
      <c r="F1401" s="3" t="s">
        <v>58</v>
      </c>
      <c r="G1401" s="3" t="s">
        <v>59</v>
      </c>
      <c r="H1401" s="3" t="s">
        <v>58</v>
      </c>
      <c r="I1401" s="3" t="s">
        <v>58</v>
      </c>
      <c r="J1401" s="3" t="s">
        <v>60</v>
      </c>
      <c r="L1401" s="2" t="s">
        <v>17915</v>
      </c>
      <c r="M1401" s="3" t="s">
        <v>4296</v>
      </c>
      <c r="O1401" s="3" t="s">
        <v>64</v>
      </c>
      <c r="P1401" s="3" t="s">
        <v>3666</v>
      </c>
      <c r="Q1401" s="2" t="s">
        <v>17916</v>
      </c>
      <c r="R1401" s="3" t="s">
        <v>67</v>
      </c>
      <c r="S1401" s="4">
        <v>4</v>
      </c>
      <c r="T1401" s="4">
        <v>4</v>
      </c>
      <c r="U1401" s="5" t="s">
        <v>5704</v>
      </c>
      <c r="V1401" s="5" t="s">
        <v>5704</v>
      </c>
      <c r="W1401" s="5" t="s">
        <v>5704</v>
      </c>
      <c r="X1401" s="5" t="s">
        <v>5704</v>
      </c>
      <c r="Y1401" s="4">
        <v>220</v>
      </c>
      <c r="Z1401" s="4">
        <v>192</v>
      </c>
      <c r="AA1401" s="4">
        <v>194</v>
      </c>
      <c r="AB1401" s="4">
        <v>2</v>
      </c>
      <c r="AC1401" s="4">
        <v>2</v>
      </c>
      <c r="AD1401" s="4">
        <v>6</v>
      </c>
      <c r="AE1401" s="4">
        <v>6</v>
      </c>
      <c r="AF1401" s="4">
        <v>3</v>
      </c>
      <c r="AG1401" s="4">
        <v>3</v>
      </c>
      <c r="AH1401" s="4">
        <v>1</v>
      </c>
      <c r="AI1401" s="4">
        <v>1</v>
      </c>
      <c r="AJ1401" s="4">
        <v>2</v>
      </c>
      <c r="AK1401" s="4">
        <v>2</v>
      </c>
      <c r="AL1401" s="4">
        <v>1</v>
      </c>
      <c r="AM1401" s="4">
        <v>1</v>
      </c>
      <c r="AN1401" s="4">
        <v>0</v>
      </c>
      <c r="AO1401" s="4">
        <v>0</v>
      </c>
      <c r="AP1401" s="3" t="s">
        <v>58</v>
      </c>
      <c r="AQ1401" s="3" t="s">
        <v>58</v>
      </c>
      <c r="AS1401" s="6" t="str">
        <f>HYPERLINK("https://creighton-primo.hosted.exlibrisgroup.com/primo-explore/search?tab=default_tab&amp;search_scope=EVERYTHING&amp;vid=01CRU&amp;lang=en_US&amp;offset=0&amp;query=any,contains,991004388819702656","Catalog Record")</f>
        <v>Catalog Record</v>
      </c>
      <c r="AT1401" s="6" t="str">
        <f>HYPERLINK("http://www.worldcat.org/oclc/3255323","WorldCat Record")</f>
        <v>WorldCat Record</v>
      </c>
      <c r="AU1401" s="3" t="s">
        <v>17917</v>
      </c>
      <c r="AV1401" s="3" t="s">
        <v>17918</v>
      </c>
      <c r="AW1401" s="3" t="s">
        <v>17919</v>
      </c>
      <c r="AX1401" s="3" t="s">
        <v>17919</v>
      </c>
      <c r="AY1401" s="3" t="s">
        <v>17920</v>
      </c>
      <c r="AZ1401" s="3" t="s">
        <v>74</v>
      </c>
      <c r="BC1401" s="3" t="s">
        <v>17921</v>
      </c>
      <c r="BD1401" s="3" t="s">
        <v>17922</v>
      </c>
    </row>
    <row r="1402" spans="1:56" ht="42.75" customHeight="1" x14ac:dyDescent="0.25">
      <c r="A1402" s="7" t="s">
        <v>58</v>
      </c>
      <c r="B1402" s="2" t="s">
        <v>17923</v>
      </c>
      <c r="C1402" s="2" t="s">
        <v>17924</v>
      </c>
      <c r="D1402" s="2" t="s">
        <v>17925</v>
      </c>
      <c r="F1402" s="3" t="s">
        <v>58</v>
      </c>
      <c r="G1402" s="3" t="s">
        <v>59</v>
      </c>
      <c r="H1402" s="3" t="s">
        <v>58</v>
      </c>
      <c r="I1402" s="3" t="s">
        <v>58</v>
      </c>
      <c r="J1402" s="3" t="s">
        <v>60</v>
      </c>
      <c r="K1402" s="2" t="s">
        <v>17926</v>
      </c>
      <c r="L1402" s="2" t="s">
        <v>17927</v>
      </c>
      <c r="M1402" s="3" t="s">
        <v>223</v>
      </c>
      <c r="O1402" s="3" t="s">
        <v>64</v>
      </c>
      <c r="P1402" s="3" t="s">
        <v>83</v>
      </c>
      <c r="R1402" s="3" t="s">
        <v>67</v>
      </c>
      <c r="S1402" s="4">
        <v>4</v>
      </c>
      <c r="T1402" s="4">
        <v>4</v>
      </c>
      <c r="U1402" s="5" t="s">
        <v>4391</v>
      </c>
      <c r="V1402" s="5" t="s">
        <v>4391</v>
      </c>
      <c r="W1402" s="5" t="s">
        <v>17928</v>
      </c>
      <c r="X1402" s="5" t="s">
        <v>17928</v>
      </c>
      <c r="Y1402" s="4">
        <v>292</v>
      </c>
      <c r="Z1402" s="4">
        <v>257</v>
      </c>
      <c r="AA1402" s="4">
        <v>263</v>
      </c>
      <c r="AB1402" s="4">
        <v>6</v>
      </c>
      <c r="AC1402" s="4">
        <v>6</v>
      </c>
      <c r="AD1402" s="4">
        <v>7</v>
      </c>
      <c r="AE1402" s="4">
        <v>7</v>
      </c>
      <c r="AF1402" s="4">
        <v>0</v>
      </c>
      <c r="AG1402" s="4">
        <v>0</v>
      </c>
      <c r="AH1402" s="4">
        <v>1</v>
      </c>
      <c r="AI1402" s="4">
        <v>1</v>
      </c>
      <c r="AJ1402" s="4">
        <v>2</v>
      </c>
      <c r="AK1402" s="4">
        <v>2</v>
      </c>
      <c r="AL1402" s="4">
        <v>5</v>
      </c>
      <c r="AM1402" s="4">
        <v>5</v>
      </c>
      <c r="AN1402" s="4">
        <v>0</v>
      </c>
      <c r="AO1402" s="4">
        <v>0</v>
      </c>
      <c r="AP1402" s="3" t="s">
        <v>58</v>
      </c>
      <c r="AQ1402" s="3" t="s">
        <v>58</v>
      </c>
      <c r="AS1402" s="6" t="str">
        <f>HYPERLINK("https://creighton-primo.hosted.exlibrisgroup.com/primo-explore/search?tab=default_tab&amp;search_scope=EVERYTHING&amp;vid=01CRU&amp;lang=en_US&amp;offset=0&amp;query=any,contains,991004363379702656","Catalog Record")</f>
        <v>Catalog Record</v>
      </c>
      <c r="AT1402" s="6" t="str">
        <f>HYPERLINK("http://www.worldcat.org/oclc/3168423","WorldCat Record")</f>
        <v>WorldCat Record</v>
      </c>
      <c r="AU1402" s="3" t="s">
        <v>17929</v>
      </c>
      <c r="AV1402" s="3" t="s">
        <v>17930</v>
      </c>
      <c r="AW1402" s="3" t="s">
        <v>17931</v>
      </c>
      <c r="AX1402" s="3" t="s">
        <v>17931</v>
      </c>
      <c r="AY1402" s="3" t="s">
        <v>17932</v>
      </c>
      <c r="AZ1402" s="3" t="s">
        <v>74</v>
      </c>
      <c r="BB1402" s="3" t="s">
        <v>17933</v>
      </c>
      <c r="BC1402" s="3" t="s">
        <v>17934</v>
      </c>
      <c r="BD1402" s="3" t="s">
        <v>17935</v>
      </c>
    </row>
    <row r="1403" spans="1:56" ht="42.75" customHeight="1" x14ac:dyDescent="0.25">
      <c r="A1403" s="7" t="s">
        <v>58</v>
      </c>
      <c r="B1403" s="2" t="s">
        <v>17936</v>
      </c>
      <c r="C1403" s="2" t="s">
        <v>17937</v>
      </c>
      <c r="D1403" s="2" t="s">
        <v>17938</v>
      </c>
      <c r="F1403" s="3" t="s">
        <v>58</v>
      </c>
      <c r="G1403" s="3" t="s">
        <v>59</v>
      </c>
      <c r="H1403" s="3" t="s">
        <v>58</v>
      </c>
      <c r="I1403" s="3" t="s">
        <v>58</v>
      </c>
      <c r="J1403" s="3" t="s">
        <v>60</v>
      </c>
      <c r="L1403" s="2" t="s">
        <v>17939</v>
      </c>
      <c r="M1403" s="3" t="s">
        <v>2227</v>
      </c>
      <c r="O1403" s="3" t="s">
        <v>64</v>
      </c>
      <c r="P1403" s="3" t="s">
        <v>65</v>
      </c>
      <c r="R1403" s="3" t="s">
        <v>67</v>
      </c>
      <c r="S1403" s="4">
        <v>1</v>
      </c>
      <c r="T1403" s="4">
        <v>1</v>
      </c>
      <c r="U1403" s="5" t="s">
        <v>17940</v>
      </c>
      <c r="V1403" s="5" t="s">
        <v>17940</v>
      </c>
      <c r="W1403" s="5" t="s">
        <v>2973</v>
      </c>
      <c r="X1403" s="5" t="s">
        <v>2973</v>
      </c>
      <c r="Y1403" s="4">
        <v>295</v>
      </c>
      <c r="Z1403" s="4">
        <v>194</v>
      </c>
      <c r="AA1403" s="4">
        <v>226</v>
      </c>
      <c r="AB1403" s="4">
        <v>2</v>
      </c>
      <c r="AC1403" s="4">
        <v>2</v>
      </c>
      <c r="AD1403" s="4">
        <v>8</v>
      </c>
      <c r="AE1403" s="4">
        <v>8</v>
      </c>
      <c r="AF1403" s="4">
        <v>1</v>
      </c>
      <c r="AG1403" s="4">
        <v>1</v>
      </c>
      <c r="AH1403" s="4">
        <v>3</v>
      </c>
      <c r="AI1403" s="4">
        <v>3</v>
      </c>
      <c r="AJ1403" s="4">
        <v>4</v>
      </c>
      <c r="AK1403" s="4">
        <v>4</v>
      </c>
      <c r="AL1403" s="4">
        <v>1</v>
      </c>
      <c r="AM1403" s="4">
        <v>1</v>
      </c>
      <c r="AN1403" s="4">
        <v>2</v>
      </c>
      <c r="AO1403" s="4">
        <v>2</v>
      </c>
      <c r="AP1403" s="3" t="s">
        <v>58</v>
      </c>
      <c r="AQ1403" s="3" t="s">
        <v>58</v>
      </c>
      <c r="AS1403" s="6" t="str">
        <f>HYPERLINK("https://creighton-primo.hosted.exlibrisgroup.com/primo-explore/search?tab=default_tab&amp;search_scope=EVERYTHING&amp;vid=01CRU&amp;lang=en_US&amp;offset=0&amp;query=any,contains,991000564779702656","Catalog Record")</f>
        <v>Catalog Record</v>
      </c>
      <c r="AT1403" s="6" t="str">
        <f>HYPERLINK("http://www.worldcat.org/oclc/11621442","WorldCat Record")</f>
        <v>WorldCat Record</v>
      </c>
      <c r="AU1403" s="3" t="s">
        <v>17941</v>
      </c>
      <c r="AV1403" s="3" t="s">
        <v>17942</v>
      </c>
      <c r="AW1403" s="3" t="s">
        <v>17943</v>
      </c>
      <c r="AX1403" s="3" t="s">
        <v>17943</v>
      </c>
      <c r="AY1403" s="3" t="s">
        <v>17944</v>
      </c>
      <c r="AZ1403" s="3" t="s">
        <v>74</v>
      </c>
      <c r="BB1403" s="3" t="s">
        <v>17945</v>
      </c>
      <c r="BC1403" s="3" t="s">
        <v>17946</v>
      </c>
      <c r="BD1403" s="3" t="s">
        <v>17947</v>
      </c>
    </row>
    <row r="1404" spans="1:56" ht="42.75" customHeight="1" x14ac:dyDescent="0.25">
      <c r="A1404" s="7" t="s">
        <v>58</v>
      </c>
      <c r="B1404" s="2" t="s">
        <v>17948</v>
      </c>
      <c r="C1404" s="2" t="s">
        <v>17949</v>
      </c>
      <c r="D1404" s="2" t="s">
        <v>17950</v>
      </c>
      <c r="F1404" s="3" t="s">
        <v>58</v>
      </c>
      <c r="G1404" s="3" t="s">
        <v>59</v>
      </c>
      <c r="H1404" s="3" t="s">
        <v>58</v>
      </c>
      <c r="I1404" s="3" t="s">
        <v>58</v>
      </c>
      <c r="J1404" s="3" t="s">
        <v>60</v>
      </c>
      <c r="K1404" s="2" t="s">
        <v>17951</v>
      </c>
      <c r="L1404" s="2" t="s">
        <v>17952</v>
      </c>
      <c r="M1404" s="3" t="s">
        <v>114</v>
      </c>
      <c r="O1404" s="3" t="s">
        <v>64</v>
      </c>
      <c r="P1404" s="3" t="s">
        <v>3070</v>
      </c>
      <c r="R1404" s="3" t="s">
        <v>67</v>
      </c>
      <c r="S1404" s="4">
        <v>2</v>
      </c>
      <c r="T1404" s="4">
        <v>2</v>
      </c>
      <c r="U1404" s="5" t="s">
        <v>17809</v>
      </c>
      <c r="V1404" s="5" t="s">
        <v>17809</v>
      </c>
      <c r="W1404" s="5" t="s">
        <v>13321</v>
      </c>
      <c r="X1404" s="5" t="s">
        <v>13321</v>
      </c>
      <c r="Y1404" s="4">
        <v>86</v>
      </c>
      <c r="Z1404" s="4">
        <v>73</v>
      </c>
      <c r="AA1404" s="4">
        <v>74</v>
      </c>
      <c r="AB1404" s="4">
        <v>2</v>
      </c>
      <c r="AC1404" s="4">
        <v>2</v>
      </c>
      <c r="AD1404" s="4">
        <v>3</v>
      </c>
      <c r="AE1404" s="4">
        <v>3</v>
      </c>
      <c r="AF1404" s="4">
        <v>0</v>
      </c>
      <c r="AG1404" s="4">
        <v>0</v>
      </c>
      <c r="AH1404" s="4">
        <v>0</v>
      </c>
      <c r="AI1404" s="4">
        <v>0</v>
      </c>
      <c r="AJ1404" s="4">
        <v>2</v>
      </c>
      <c r="AK1404" s="4">
        <v>2</v>
      </c>
      <c r="AL1404" s="4">
        <v>1</v>
      </c>
      <c r="AM1404" s="4">
        <v>1</v>
      </c>
      <c r="AN1404" s="4">
        <v>0</v>
      </c>
      <c r="AO1404" s="4">
        <v>0</v>
      </c>
      <c r="AP1404" s="3" t="s">
        <v>58</v>
      </c>
      <c r="AQ1404" s="3" t="s">
        <v>86</v>
      </c>
      <c r="AR1404" s="6" t="str">
        <f>HYPERLINK("http://catalog.hathitrust.org/Record/101987876","HathiTrust Record")</f>
        <v>HathiTrust Record</v>
      </c>
      <c r="AS1404" s="6" t="str">
        <f>HYPERLINK("https://creighton-primo.hosted.exlibrisgroup.com/primo-explore/search?tab=default_tab&amp;search_scope=EVERYTHING&amp;vid=01CRU&amp;lang=en_US&amp;offset=0&amp;query=any,contains,991000358619702656","Catalog Record")</f>
        <v>Catalog Record</v>
      </c>
      <c r="AT1404" s="6" t="str">
        <f>HYPERLINK("http://www.worldcat.org/oclc/10348956","WorldCat Record")</f>
        <v>WorldCat Record</v>
      </c>
      <c r="AU1404" s="3" t="s">
        <v>17953</v>
      </c>
      <c r="AV1404" s="3" t="s">
        <v>17954</v>
      </c>
      <c r="AW1404" s="3" t="s">
        <v>17955</v>
      </c>
      <c r="AX1404" s="3" t="s">
        <v>17955</v>
      </c>
      <c r="AY1404" s="3" t="s">
        <v>17956</v>
      </c>
      <c r="AZ1404" s="3" t="s">
        <v>74</v>
      </c>
      <c r="BB1404" s="3" t="s">
        <v>17957</v>
      </c>
      <c r="BC1404" s="3" t="s">
        <v>17958</v>
      </c>
      <c r="BD1404" s="3" t="s">
        <v>17959</v>
      </c>
    </row>
    <row r="1405" spans="1:56" ht="42.75" customHeight="1" x14ac:dyDescent="0.25">
      <c r="A1405" s="7" t="s">
        <v>58</v>
      </c>
      <c r="B1405" s="2" t="s">
        <v>17960</v>
      </c>
      <c r="C1405" s="2" t="s">
        <v>17961</v>
      </c>
      <c r="D1405" s="2" t="s">
        <v>17962</v>
      </c>
      <c r="F1405" s="3" t="s">
        <v>58</v>
      </c>
      <c r="G1405" s="3" t="s">
        <v>59</v>
      </c>
      <c r="H1405" s="3" t="s">
        <v>58</v>
      </c>
      <c r="I1405" s="3" t="s">
        <v>58</v>
      </c>
      <c r="J1405" s="3" t="s">
        <v>60</v>
      </c>
      <c r="K1405" s="2" t="s">
        <v>17963</v>
      </c>
      <c r="L1405" s="2" t="s">
        <v>17964</v>
      </c>
      <c r="M1405" s="3" t="s">
        <v>98</v>
      </c>
      <c r="O1405" s="3" t="s">
        <v>64</v>
      </c>
      <c r="P1405" s="3" t="s">
        <v>2144</v>
      </c>
      <c r="R1405" s="3" t="s">
        <v>67</v>
      </c>
      <c r="S1405" s="4">
        <v>3</v>
      </c>
      <c r="T1405" s="4">
        <v>3</v>
      </c>
      <c r="U1405" s="5" t="s">
        <v>9536</v>
      </c>
      <c r="V1405" s="5" t="s">
        <v>9536</v>
      </c>
      <c r="W1405" s="5" t="s">
        <v>15830</v>
      </c>
      <c r="X1405" s="5" t="s">
        <v>15830</v>
      </c>
      <c r="Y1405" s="4">
        <v>19</v>
      </c>
      <c r="Z1405" s="4">
        <v>19</v>
      </c>
      <c r="AA1405" s="4">
        <v>19</v>
      </c>
      <c r="AB1405" s="4">
        <v>2</v>
      </c>
      <c r="AC1405" s="4">
        <v>2</v>
      </c>
      <c r="AD1405" s="4">
        <v>1</v>
      </c>
      <c r="AE1405" s="4">
        <v>1</v>
      </c>
      <c r="AF1405" s="4">
        <v>0</v>
      </c>
      <c r="AG1405" s="4">
        <v>0</v>
      </c>
      <c r="AH1405" s="4">
        <v>0</v>
      </c>
      <c r="AI1405" s="4">
        <v>0</v>
      </c>
      <c r="AJ1405" s="4">
        <v>1</v>
      </c>
      <c r="AK1405" s="4">
        <v>1</v>
      </c>
      <c r="AL1405" s="4">
        <v>0</v>
      </c>
      <c r="AM1405" s="4">
        <v>0</v>
      </c>
      <c r="AN1405" s="4">
        <v>0</v>
      </c>
      <c r="AO1405" s="4">
        <v>0</v>
      </c>
      <c r="AP1405" s="3" t="s">
        <v>58</v>
      </c>
      <c r="AQ1405" s="3" t="s">
        <v>58</v>
      </c>
      <c r="AS1405" s="6" t="str">
        <f>HYPERLINK("https://creighton-primo.hosted.exlibrisgroup.com/primo-explore/search?tab=default_tab&amp;search_scope=EVERYTHING&amp;vid=01CRU&amp;lang=en_US&amp;offset=0&amp;query=any,contains,991001485679702656","Catalog Record")</f>
        <v>Catalog Record</v>
      </c>
      <c r="AT1405" s="6" t="str">
        <f>HYPERLINK("http://www.worldcat.org/oclc/19651144","WorldCat Record")</f>
        <v>WorldCat Record</v>
      </c>
      <c r="AU1405" s="3" t="s">
        <v>17965</v>
      </c>
      <c r="AV1405" s="3" t="s">
        <v>17966</v>
      </c>
      <c r="AW1405" s="3" t="s">
        <v>17967</v>
      </c>
      <c r="AX1405" s="3" t="s">
        <v>17967</v>
      </c>
      <c r="AY1405" s="3" t="s">
        <v>17968</v>
      </c>
      <c r="AZ1405" s="3" t="s">
        <v>74</v>
      </c>
      <c r="BB1405" s="3" t="s">
        <v>17969</v>
      </c>
      <c r="BC1405" s="3" t="s">
        <v>17970</v>
      </c>
      <c r="BD1405" s="3" t="s">
        <v>17971</v>
      </c>
    </row>
    <row r="1406" spans="1:56" ht="42.75" customHeight="1" x14ac:dyDescent="0.25">
      <c r="A1406" s="7" t="s">
        <v>58</v>
      </c>
      <c r="B1406" s="2" t="s">
        <v>17972</v>
      </c>
      <c r="C1406" s="2" t="s">
        <v>17973</v>
      </c>
      <c r="D1406" s="2" t="s">
        <v>17974</v>
      </c>
      <c r="F1406" s="3" t="s">
        <v>58</v>
      </c>
      <c r="G1406" s="3" t="s">
        <v>59</v>
      </c>
      <c r="H1406" s="3" t="s">
        <v>58</v>
      </c>
      <c r="I1406" s="3" t="s">
        <v>58</v>
      </c>
      <c r="J1406" s="3" t="s">
        <v>60</v>
      </c>
      <c r="K1406" s="2" t="s">
        <v>17975</v>
      </c>
      <c r="L1406" s="2" t="s">
        <v>17976</v>
      </c>
      <c r="M1406" s="3" t="s">
        <v>4218</v>
      </c>
      <c r="O1406" s="3" t="s">
        <v>64</v>
      </c>
      <c r="P1406" s="3" t="s">
        <v>83</v>
      </c>
      <c r="R1406" s="3" t="s">
        <v>67</v>
      </c>
      <c r="S1406" s="4">
        <v>1</v>
      </c>
      <c r="T1406" s="4">
        <v>1</v>
      </c>
      <c r="U1406" s="5" t="s">
        <v>17977</v>
      </c>
      <c r="V1406" s="5" t="s">
        <v>17977</v>
      </c>
      <c r="W1406" s="5" t="s">
        <v>287</v>
      </c>
      <c r="X1406" s="5" t="s">
        <v>287</v>
      </c>
      <c r="Y1406" s="4">
        <v>543</v>
      </c>
      <c r="Z1406" s="4">
        <v>459</v>
      </c>
      <c r="AA1406" s="4">
        <v>479</v>
      </c>
      <c r="AB1406" s="4">
        <v>3</v>
      </c>
      <c r="AC1406" s="4">
        <v>3</v>
      </c>
      <c r="AD1406" s="4">
        <v>17</v>
      </c>
      <c r="AE1406" s="4">
        <v>17</v>
      </c>
      <c r="AF1406" s="4">
        <v>6</v>
      </c>
      <c r="AG1406" s="4">
        <v>6</v>
      </c>
      <c r="AH1406" s="4">
        <v>1</v>
      </c>
      <c r="AI1406" s="4">
        <v>1</v>
      </c>
      <c r="AJ1406" s="4">
        <v>10</v>
      </c>
      <c r="AK1406" s="4">
        <v>10</v>
      </c>
      <c r="AL1406" s="4">
        <v>2</v>
      </c>
      <c r="AM1406" s="4">
        <v>2</v>
      </c>
      <c r="AN1406" s="4">
        <v>0</v>
      </c>
      <c r="AO1406" s="4">
        <v>0</v>
      </c>
      <c r="AP1406" s="3" t="s">
        <v>58</v>
      </c>
      <c r="AQ1406" s="3" t="s">
        <v>58</v>
      </c>
      <c r="AS1406" s="6" t="str">
        <f>HYPERLINK("https://creighton-primo.hosted.exlibrisgroup.com/primo-explore/search?tab=default_tab&amp;search_scope=EVERYTHING&amp;vid=01CRU&amp;lang=en_US&amp;offset=0&amp;query=any,contains,991003096889702656","Catalog Record")</f>
        <v>Catalog Record</v>
      </c>
      <c r="AT1406" s="6" t="str">
        <f>HYPERLINK("http://www.worldcat.org/oclc/646461","WorldCat Record")</f>
        <v>WorldCat Record</v>
      </c>
      <c r="AU1406" s="3" t="s">
        <v>17978</v>
      </c>
      <c r="AV1406" s="3" t="s">
        <v>17979</v>
      </c>
      <c r="AW1406" s="3" t="s">
        <v>17980</v>
      </c>
      <c r="AX1406" s="3" t="s">
        <v>17980</v>
      </c>
      <c r="AY1406" s="3" t="s">
        <v>17981</v>
      </c>
      <c r="AZ1406" s="3" t="s">
        <v>74</v>
      </c>
      <c r="BC1406" s="3" t="s">
        <v>17982</v>
      </c>
      <c r="BD1406" s="3" t="s">
        <v>17983</v>
      </c>
    </row>
    <row r="1407" spans="1:56" ht="42.75" customHeight="1" x14ac:dyDescent="0.25">
      <c r="A1407" s="7" t="s">
        <v>58</v>
      </c>
      <c r="B1407" s="2" t="s">
        <v>17984</v>
      </c>
      <c r="C1407" s="2" t="s">
        <v>17985</v>
      </c>
      <c r="D1407" s="2" t="s">
        <v>17986</v>
      </c>
      <c r="F1407" s="3" t="s">
        <v>58</v>
      </c>
      <c r="G1407" s="3" t="s">
        <v>59</v>
      </c>
      <c r="H1407" s="3" t="s">
        <v>58</v>
      </c>
      <c r="I1407" s="3" t="s">
        <v>58</v>
      </c>
      <c r="J1407" s="3" t="s">
        <v>60</v>
      </c>
      <c r="L1407" s="2" t="s">
        <v>17987</v>
      </c>
      <c r="M1407" s="3" t="s">
        <v>942</v>
      </c>
      <c r="O1407" s="3" t="s">
        <v>64</v>
      </c>
      <c r="P1407" s="3" t="s">
        <v>17988</v>
      </c>
      <c r="R1407" s="3" t="s">
        <v>67</v>
      </c>
      <c r="S1407" s="4">
        <v>1</v>
      </c>
      <c r="T1407" s="4">
        <v>1</v>
      </c>
      <c r="U1407" s="5" t="s">
        <v>17989</v>
      </c>
      <c r="V1407" s="5" t="s">
        <v>17989</v>
      </c>
      <c r="W1407" s="5" t="s">
        <v>17989</v>
      </c>
      <c r="X1407" s="5" t="s">
        <v>17989</v>
      </c>
      <c r="Y1407" s="4">
        <v>32</v>
      </c>
      <c r="Z1407" s="4">
        <v>32</v>
      </c>
      <c r="AA1407" s="4">
        <v>32</v>
      </c>
      <c r="AB1407" s="4">
        <v>1</v>
      </c>
      <c r="AC1407" s="4">
        <v>1</v>
      </c>
      <c r="AD1407" s="4">
        <v>0</v>
      </c>
      <c r="AE1407" s="4">
        <v>0</v>
      </c>
      <c r="AF1407" s="4">
        <v>0</v>
      </c>
      <c r="AG1407" s="4">
        <v>0</v>
      </c>
      <c r="AH1407" s="4">
        <v>0</v>
      </c>
      <c r="AI1407" s="4">
        <v>0</v>
      </c>
      <c r="AJ1407" s="4">
        <v>0</v>
      </c>
      <c r="AK1407" s="4">
        <v>0</v>
      </c>
      <c r="AL1407" s="4">
        <v>0</v>
      </c>
      <c r="AM1407" s="4">
        <v>0</v>
      </c>
      <c r="AN1407" s="4">
        <v>0</v>
      </c>
      <c r="AO1407" s="4">
        <v>0</v>
      </c>
      <c r="AP1407" s="3" t="s">
        <v>58</v>
      </c>
      <c r="AQ1407" s="3" t="s">
        <v>58</v>
      </c>
      <c r="AS1407" s="6" t="str">
        <f>HYPERLINK("https://creighton-primo.hosted.exlibrisgroup.com/primo-explore/search?tab=default_tab&amp;search_scope=EVERYTHING&amp;vid=01CRU&amp;lang=en_US&amp;offset=0&amp;query=any,contains,991003243529702656","Catalog Record")</f>
        <v>Catalog Record</v>
      </c>
      <c r="AT1407" s="6" t="str">
        <f>HYPERLINK("http://www.worldcat.org/oclc/42679750","WorldCat Record")</f>
        <v>WorldCat Record</v>
      </c>
      <c r="AU1407" s="3" t="s">
        <v>17990</v>
      </c>
      <c r="AV1407" s="3" t="s">
        <v>17991</v>
      </c>
      <c r="AW1407" s="3" t="s">
        <v>17992</v>
      </c>
      <c r="AX1407" s="3" t="s">
        <v>17992</v>
      </c>
      <c r="AY1407" s="3" t="s">
        <v>17993</v>
      </c>
      <c r="AZ1407" s="3" t="s">
        <v>74</v>
      </c>
      <c r="BB1407" s="3" t="s">
        <v>17994</v>
      </c>
      <c r="BC1407" s="3" t="s">
        <v>17995</v>
      </c>
      <c r="BD1407" s="3" t="s">
        <v>17996</v>
      </c>
    </row>
    <row r="1408" spans="1:56" ht="42.75" customHeight="1" x14ac:dyDescent="0.25">
      <c r="A1408" s="7" t="s">
        <v>58</v>
      </c>
      <c r="B1408" s="2" t="s">
        <v>17997</v>
      </c>
      <c r="C1408" s="2" t="s">
        <v>17998</v>
      </c>
      <c r="D1408" s="2" t="s">
        <v>17999</v>
      </c>
      <c r="F1408" s="3" t="s">
        <v>58</v>
      </c>
      <c r="G1408" s="3" t="s">
        <v>59</v>
      </c>
      <c r="H1408" s="3" t="s">
        <v>86</v>
      </c>
      <c r="I1408" s="3" t="s">
        <v>58</v>
      </c>
      <c r="J1408" s="3" t="s">
        <v>60</v>
      </c>
      <c r="L1408" s="2" t="s">
        <v>18000</v>
      </c>
      <c r="M1408" s="3" t="s">
        <v>371</v>
      </c>
      <c r="O1408" s="3" t="s">
        <v>64</v>
      </c>
      <c r="P1408" s="3" t="s">
        <v>99</v>
      </c>
      <c r="R1408" s="3" t="s">
        <v>67</v>
      </c>
      <c r="S1408" s="4">
        <v>2</v>
      </c>
      <c r="T1408" s="4">
        <v>2</v>
      </c>
      <c r="U1408" s="5" t="s">
        <v>18001</v>
      </c>
      <c r="V1408" s="5" t="s">
        <v>18001</v>
      </c>
      <c r="W1408" s="5" t="s">
        <v>4730</v>
      </c>
      <c r="X1408" s="5" t="s">
        <v>4730</v>
      </c>
      <c r="Y1408" s="4">
        <v>395</v>
      </c>
      <c r="Z1408" s="4">
        <v>310</v>
      </c>
      <c r="AA1408" s="4">
        <v>312</v>
      </c>
      <c r="AB1408" s="4">
        <v>7</v>
      </c>
      <c r="AC1408" s="4">
        <v>7</v>
      </c>
      <c r="AD1408" s="4">
        <v>15</v>
      </c>
      <c r="AE1408" s="4">
        <v>15</v>
      </c>
      <c r="AF1408" s="4">
        <v>5</v>
      </c>
      <c r="AG1408" s="4">
        <v>5</v>
      </c>
      <c r="AH1408" s="4">
        <v>1</v>
      </c>
      <c r="AI1408" s="4">
        <v>1</v>
      </c>
      <c r="AJ1408" s="4">
        <v>7</v>
      </c>
      <c r="AK1408" s="4">
        <v>7</v>
      </c>
      <c r="AL1408" s="4">
        <v>5</v>
      </c>
      <c r="AM1408" s="4">
        <v>5</v>
      </c>
      <c r="AN1408" s="4">
        <v>0</v>
      </c>
      <c r="AO1408" s="4">
        <v>0</v>
      </c>
      <c r="AP1408" s="3" t="s">
        <v>58</v>
      </c>
      <c r="AQ1408" s="3" t="s">
        <v>86</v>
      </c>
      <c r="AR1408" s="6" t="str">
        <f>HYPERLINK("http://catalog.hathitrust.org/Record/000662739","HathiTrust Record")</f>
        <v>HathiTrust Record</v>
      </c>
      <c r="AS1408" s="6" t="str">
        <f>HYPERLINK("https://creighton-primo.hosted.exlibrisgroup.com/primo-explore/search?tab=default_tab&amp;search_scope=EVERYTHING&amp;vid=01CRU&amp;lang=en_US&amp;offset=0&amp;query=any,contains,991000704569702656","Catalog Record")</f>
        <v>Catalog Record</v>
      </c>
      <c r="AT1408" s="6" t="str">
        <f>HYPERLINK("http://www.worldcat.org/oclc/12555890","WorldCat Record")</f>
        <v>WorldCat Record</v>
      </c>
      <c r="AU1408" s="3" t="s">
        <v>18002</v>
      </c>
      <c r="AV1408" s="3" t="s">
        <v>18003</v>
      </c>
      <c r="AW1408" s="3" t="s">
        <v>18004</v>
      </c>
      <c r="AX1408" s="3" t="s">
        <v>18004</v>
      </c>
      <c r="AY1408" s="3" t="s">
        <v>18005</v>
      </c>
      <c r="AZ1408" s="3" t="s">
        <v>74</v>
      </c>
      <c r="BB1408" s="3" t="s">
        <v>18006</v>
      </c>
      <c r="BC1408" s="3" t="s">
        <v>18007</v>
      </c>
      <c r="BD1408" s="3" t="s">
        <v>18008</v>
      </c>
    </row>
    <row r="1409" spans="1:56" ht="42.75" customHeight="1" x14ac:dyDescent="0.25">
      <c r="A1409" s="7" t="s">
        <v>58</v>
      </c>
      <c r="B1409" s="2" t="s">
        <v>18009</v>
      </c>
      <c r="C1409" s="2" t="s">
        <v>18010</v>
      </c>
      <c r="D1409" s="2" t="s">
        <v>18011</v>
      </c>
      <c r="F1409" s="3" t="s">
        <v>58</v>
      </c>
      <c r="G1409" s="3" t="s">
        <v>59</v>
      </c>
      <c r="H1409" s="3" t="s">
        <v>58</v>
      </c>
      <c r="I1409" s="3" t="s">
        <v>58</v>
      </c>
      <c r="J1409" s="3" t="s">
        <v>60</v>
      </c>
      <c r="K1409" s="2" t="s">
        <v>18012</v>
      </c>
      <c r="L1409" s="2" t="s">
        <v>18013</v>
      </c>
      <c r="M1409" s="3" t="s">
        <v>329</v>
      </c>
      <c r="O1409" s="3" t="s">
        <v>64</v>
      </c>
      <c r="P1409" s="3" t="s">
        <v>13013</v>
      </c>
      <c r="Q1409" s="2" t="s">
        <v>13014</v>
      </c>
      <c r="R1409" s="3" t="s">
        <v>67</v>
      </c>
      <c r="S1409" s="4">
        <v>1</v>
      </c>
      <c r="T1409" s="4">
        <v>1</v>
      </c>
      <c r="U1409" s="5" t="s">
        <v>18014</v>
      </c>
      <c r="V1409" s="5" t="s">
        <v>18014</v>
      </c>
      <c r="W1409" s="5" t="s">
        <v>165</v>
      </c>
      <c r="X1409" s="5" t="s">
        <v>165</v>
      </c>
      <c r="Y1409" s="4">
        <v>49</v>
      </c>
      <c r="Z1409" s="4">
        <v>32</v>
      </c>
      <c r="AA1409" s="4">
        <v>34</v>
      </c>
      <c r="AB1409" s="4">
        <v>1</v>
      </c>
      <c r="AC1409" s="4">
        <v>1</v>
      </c>
      <c r="AD1409" s="4">
        <v>0</v>
      </c>
      <c r="AE1409" s="4">
        <v>0</v>
      </c>
      <c r="AF1409" s="4">
        <v>0</v>
      </c>
      <c r="AG1409" s="4">
        <v>0</v>
      </c>
      <c r="AH1409" s="4">
        <v>0</v>
      </c>
      <c r="AI1409" s="4">
        <v>0</v>
      </c>
      <c r="AJ1409" s="4">
        <v>0</v>
      </c>
      <c r="AK1409" s="4">
        <v>0</v>
      </c>
      <c r="AL1409" s="4">
        <v>0</v>
      </c>
      <c r="AM1409" s="4">
        <v>0</v>
      </c>
      <c r="AN1409" s="4">
        <v>0</v>
      </c>
      <c r="AO1409" s="4">
        <v>0</v>
      </c>
      <c r="AP1409" s="3" t="s">
        <v>58</v>
      </c>
      <c r="AQ1409" s="3" t="s">
        <v>86</v>
      </c>
      <c r="AR1409" s="6" t="str">
        <f>HYPERLINK("http://catalog.hathitrust.org/Record/001565385","HathiTrust Record")</f>
        <v>HathiTrust Record</v>
      </c>
      <c r="AS1409" s="6" t="str">
        <f>HYPERLINK("https://creighton-primo.hosted.exlibrisgroup.com/primo-explore/search?tab=default_tab&amp;search_scope=EVERYTHING&amp;vid=01CRU&amp;lang=en_US&amp;offset=0&amp;query=any,contains,991003990289702656","Catalog Record")</f>
        <v>Catalog Record</v>
      </c>
      <c r="AT1409" s="6" t="str">
        <f>HYPERLINK("http://www.worldcat.org/oclc/2043989","WorldCat Record")</f>
        <v>WorldCat Record</v>
      </c>
      <c r="AU1409" s="3" t="s">
        <v>18015</v>
      </c>
      <c r="AV1409" s="3" t="s">
        <v>18016</v>
      </c>
      <c r="AW1409" s="3" t="s">
        <v>18017</v>
      </c>
      <c r="AX1409" s="3" t="s">
        <v>18017</v>
      </c>
      <c r="AY1409" s="3" t="s">
        <v>18018</v>
      </c>
      <c r="AZ1409" s="3" t="s">
        <v>74</v>
      </c>
      <c r="BC1409" s="3" t="s">
        <v>18019</v>
      </c>
      <c r="BD1409" s="3" t="s">
        <v>18020</v>
      </c>
    </row>
    <row r="1410" spans="1:56" ht="42.75" customHeight="1" x14ac:dyDescent="0.25">
      <c r="A1410" s="7" t="s">
        <v>58</v>
      </c>
      <c r="B1410" s="2" t="s">
        <v>18021</v>
      </c>
      <c r="C1410" s="2" t="s">
        <v>18022</v>
      </c>
      <c r="D1410" s="2" t="s">
        <v>18023</v>
      </c>
      <c r="F1410" s="3" t="s">
        <v>58</v>
      </c>
      <c r="G1410" s="3" t="s">
        <v>59</v>
      </c>
      <c r="H1410" s="3" t="s">
        <v>58</v>
      </c>
      <c r="I1410" s="3" t="s">
        <v>58</v>
      </c>
      <c r="J1410" s="3" t="s">
        <v>60</v>
      </c>
      <c r="K1410" s="2" t="s">
        <v>18024</v>
      </c>
      <c r="L1410" s="2" t="s">
        <v>18025</v>
      </c>
      <c r="M1410" s="3" t="s">
        <v>1101</v>
      </c>
      <c r="N1410" s="2" t="s">
        <v>1736</v>
      </c>
      <c r="O1410" s="3" t="s">
        <v>64</v>
      </c>
      <c r="P1410" s="3" t="s">
        <v>359</v>
      </c>
      <c r="R1410" s="3" t="s">
        <v>67</v>
      </c>
      <c r="S1410" s="4">
        <v>2</v>
      </c>
      <c r="T1410" s="4">
        <v>2</v>
      </c>
      <c r="U1410" s="5" t="s">
        <v>18014</v>
      </c>
      <c r="V1410" s="5" t="s">
        <v>18014</v>
      </c>
      <c r="W1410" s="5" t="s">
        <v>18026</v>
      </c>
      <c r="X1410" s="5" t="s">
        <v>18026</v>
      </c>
      <c r="Y1410" s="4">
        <v>207</v>
      </c>
      <c r="Z1410" s="4">
        <v>184</v>
      </c>
      <c r="AA1410" s="4">
        <v>218</v>
      </c>
      <c r="AB1410" s="4">
        <v>1</v>
      </c>
      <c r="AC1410" s="4">
        <v>2</v>
      </c>
      <c r="AD1410" s="4">
        <v>1</v>
      </c>
      <c r="AE1410" s="4">
        <v>1</v>
      </c>
      <c r="AF1410" s="4">
        <v>1</v>
      </c>
      <c r="AG1410" s="4">
        <v>1</v>
      </c>
      <c r="AH1410" s="4">
        <v>0</v>
      </c>
      <c r="AI1410" s="4">
        <v>0</v>
      </c>
      <c r="AJ1410" s="4">
        <v>0</v>
      </c>
      <c r="AK1410" s="4">
        <v>0</v>
      </c>
      <c r="AL1410" s="4">
        <v>0</v>
      </c>
      <c r="AM1410" s="4">
        <v>0</v>
      </c>
      <c r="AN1410" s="4">
        <v>0</v>
      </c>
      <c r="AO1410" s="4">
        <v>0</v>
      </c>
      <c r="AP1410" s="3" t="s">
        <v>58</v>
      </c>
      <c r="AQ1410" s="3" t="s">
        <v>58</v>
      </c>
      <c r="AS1410" s="6" t="str">
        <f>HYPERLINK("https://creighton-primo.hosted.exlibrisgroup.com/primo-explore/search?tab=default_tab&amp;search_scope=EVERYTHING&amp;vid=01CRU&amp;lang=en_US&amp;offset=0&amp;query=any,contains,991004181409702656","Catalog Record")</f>
        <v>Catalog Record</v>
      </c>
      <c r="AT1410" s="6" t="str">
        <f>HYPERLINK("http://www.worldcat.org/oclc/50204433","WorldCat Record")</f>
        <v>WorldCat Record</v>
      </c>
      <c r="AU1410" s="3" t="s">
        <v>18027</v>
      </c>
      <c r="AV1410" s="3" t="s">
        <v>18028</v>
      </c>
      <c r="AW1410" s="3" t="s">
        <v>18029</v>
      </c>
      <c r="AX1410" s="3" t="s">
        <v>18029</v>
      </c>
      <c r="AY1410" s="3" t="s">
        <v>18030</v>
      </c>
      <c r="AZ1410" s="3" t="s">
        <v>74</v>
      </c>
      <c r="BB1410" s="3" t="s">
        <v>18031</v>
      </c>
      <c r="BC1410" s="3" t="s">
        <v>18032</v>
      </c>
      <c r="BD1410" s="3" t="s">
        <v>18033</v>
      </c>
    </row>
    <row r="1411" spans="1:56" ht="42.75" customHeight="1" x14ac:dyDescent="0.25">
      <c r="A1411" s="7" t="s">
        <v>58</v>
      </c>
      <c r="B1411" s="2" t="s">
        <v>18034</v>
      </c>
      <c r="C1411" s="2" t="s">
        <v>18035</v>
      </c>
      <c r="D1411" s="2" t="s">
        <v>18036</v>
      </c>
      <c r="F1411" s="3" t="s">
        <v>58</v>
      </c>
      <c r="G1411" s="3" t="s">
        <v>59</v>
      </c>
      <c r="H1411" s="3" t="s">
        <v>58</v>
      </c>
      <c r="I1411" s="3" t="s">
        <v>58</v>
      </c>
      <c r="J1411" s="3" t="s">
        <v>60</v>
      </c>
      <c r="K1411" s="2" t="s">
        <v>18037</v>
      </c>
      <c r="L1411" s="2" t="s">
        <v>18038</v>
      </c>
      <c r="M1411" s="3" t="s">
        <v>344</v>
      </c>
      <c r="O1411" s="3" t="s">
        <v>64</v>
      </c>
      <c r="P1411" s="3" t="s">
        <v>2331</v>
      </c>
      <c r="Q1411" s="2" t="s">
        <v>18039</v>
      </c>
      <c r="R1411" s="3" t="s">
        <v>67</v>
      </c>
      <c r="S1411" s="4">
        <v>17</v>
      </c>
      <c r="T1411" s="4">
        <v>17</v>
      </c>
      <c r="U1411" s="5" t="s">
        <v>14268</v>
      </c>
      <c r="V1411" s="5" t="s">
        <v>14268</v>
      </c>
      <c r="W1411" s="5" t="s">
        <v>15931</v>
      </c>
      <c r="X1411" s="5" t="s">
        <v>15931</v>
      </c>
      <c r="Y1411" s="4">
        <v>123</v>
      </c>
      <c r="Z1411" s="4">
        <v>120</v>
      </c>
      <c r="AA1411" s="4">
        <v>120</v>
      </c>
      <c r="AB1411" s="4">
        <v>2</v>
      </c>
      <c r="AC1411" s="4">
        <v>2</v>
      </c>
      <c r="AD1411" s="4">
        <v>1</v>
      </c>
      <c r="AE1411" s="4">
        <v>1</v>
      </c>
      <c r="AF1411" s="4">
        <v>0</v>
      </c>
      <c r="AG1411" s="4">
        <v>0</v>
      </c>
      <c r="AH1411" s="4">
        <v>0</v>
      </c>
      <c r="AI1411" s="4">
        <v>0</v>
      </c>
      <c r="AJ1411" s="4">
        <v>0</v>
      </c>
      <c r="AK1411" s="4">
        <v>0</v>
      </c>
      <c r="AL1411" s="4">
        <v>1</v>
      </c>
      <c r="AM1411" s="4">
        <v>1</v>
      </c>
      <c r="AN1411" s="4">
        <v>0</v>
      </c>
      <c r="AO1411" s="4">
        <v>0</v>
      </c>
      <c r="AP1411" s="3" t="s">
        <v>58</v>
      </c>
      <c r="AQ1411" s="3" t="s">
        <v>58</v>
      </c>
      <c r="AS1411" s="6" t="str">
        <f>HYPERLINK("https://creighton-primo.hosted.exlibrisgroup.com/primo-explore/search?tab=default_tab&amp;search_scope=EVERYTHING&amp;vid=01CRU&amp;lang=en_US&amp;offset=0&amp;query=any,contains,991004987749702656","Catalog Record")</f>
        <v>Catalog Record</v>
      </c>
      <c r="AT1411" s="6" t="str">
        <f>HYPERLINK("http://www.worldcat.org/oclc/6470431","WorldCat Record")</f>
        <v>WorldCat Record</v>
      </c>
      <c r="AU1411" s="3" t="s">
        <v>18040</v>
      </c>
      <c r="AV1411" s="3" t="s">
        <v>18041</v>
      </c>
      <c r="AW1411" s="3" t="s">
        <v>18042</v>
      </c>
      <c r="AX1411" s="3" t="s">
        <v>18042</v>
      </c>
      <c r="AY1411" s="3" t="s">
        <v>18043</v>
      </c>
      <c r="AZ1411" s="3" t="s">
        <v>74</v>
      </c>
      <c r="BB1411" s="3" t="s">
        <v>18044</v>
      </c>
      <c r="BC1411" s="3" t="s">
        <v>18045</v>
      </c>
      <c r="BD1411" s="3" t="s">
        <v>18046</v>
      </c>
    </row>
    <row r="1412" spans="1:56" ht="42.75" customHeight="1" x14ac:dyDescent="0.25">
      <c r="A1412" s="7" t="s">
        <v>58</v>
      </c>
      <c r="B1412" s="2" t="s">
        <v>18047</v>
      </c>
      <c r="C1412" s="2" t="s">
        <v>18048</v>
      </c>
      <c r="D1412" s="2" t="s">
        <v>18049</v>
      </c>
      <c r="F1412" s="3" t="s">
        <v>58</v>
      </c>
      <c r="G1412" s="3" t="s">
        <v>59</v>
      </c>
      <c r="H1412" s="3" t="s">
        <v>58</v>
      </c>
      <c r="I1412" s="3" t="s">
        <v>58</v>
      </c>
      <c r="J1412" s="3" t="s">
        <v>60</v>
      </c>
      <c r="K1412" s="2" t="s">
        <v>18050</v>
      </c>
      <c r="L1412" s="2" t="s">
        <v>16565</v>
      </c>
      <c r="M1412" s="3" t="s">
        <v>3215</v>
      </c>
      <c r="O1412" s="3" t="s">
        <v>64</v>
      </c>
      <c r="P1412" s="3" t="s">
        <v>208</v>
      </c>
      <c r="R1412" s="3" t="s">
        <v>67</v>
      </c>
      <c r="S1412" s="4">
        <v>6</v>
      </c>
      <c r="T1412" s="4">
        <v>6</v>
      </c>
      <c r="U1412" s="5" t="s">
        <v>14268</v>
      </c>
      <c r="V1412" s="5" t="s">
        <v>14268</v>
      </c>
      <c r="W1412" s="5" t="s">
        <v>18051</v>
      </c>
      <c r="X1412" s="5" t="s">
        <v>18051</v>
      </c>
      <c r="Y1412" s="4">
        <v>76</v>
      </c>
      <c r="Z1412" s="4">
        <v>70</v>
      </c>
      <c r="AA1412" s="4">
        <v>190</v>
      </c>
      <c r="AB1412" s="4">
        <v>1</v>
      </c>
      <c r="AC1412" s="4">
        <v>3</v>
      </c>
      <c r="AD1412" s="4">
        <v>2</v>
      </c>
      <c r="AE1412" s="4">
        <v>9</v>
      </c>
      <c r="AF1412" s="4">
        <v>0</v>
      </c>
      <c r="AG1412" s="4">
        <v>2</v>
      </c>
      <c r="AH1412" s="4">
        <v>0</v>
      </c>
      <c r="AI1412" s="4">
        <v>2</v>
      </c>
      <c r="AJ1412" s="4">
        <v>2</v>
      </c>
      <c r="AK1412" s="4">
        <v>5</v>
      </c>
      <c r="AL1412" s="4">
        <v>0</v>
      </c>
      <c r="AM1412" s="4">
        <v>1</v>
      </c>
      <c r="AN1412" s="4">
        <v>0</v>
      </c>
      <c r="AO1412" s="4">
        <v>0</v>
      </c>
      <c r="AP1412" s="3" t="s">
        <v>58</v>
      </c>
      <c r="AQ1412" s="3" t="s">
        <v>86</v>
      </c>
      <c r="AR1412" s="6" t="str">
        <f>HYPERLINK("http://catalog.hathitrust.org/Record/001565396","HathiTrust Record")</f>
        <v>HathiTrust Record</v>
      </c>
      <c r="AS1412" s="6" t="str">
        <f>HYPERLINK("https://creighton-primo.hosted.exlibrisgroup.com/primo-explore/search?tab=default_tab&amp;search_scope=EVERYTHING&amp;vid=01CRU&amp;lang=en_US&amp;offset=0&amp;query=any,contains,991003413969702656","Catalog Record")</f>
        <v>Catalog Record</v>
      </c>
      <c r="AT1412" s="6" t="str">
        <f>HYPERLINK("http://www.worldcat.org/oclc/952696","WorldCat Record")</f>
        <v>WorldCat Record</v>
      </c>
      <c r="AU1412" s="3" t="s">
        <v>18052</v>
      </c>
      <c r="AV1412" s="3" t="s">
        <v>18053</v>
      </c>
      <c r="AW1412" s="3" t="s">
        <v>18054</v>
      </c>
      <c r="AX1412" s="3" t="s">
        <v>18054</v>
      </c>
      <c r="AY1412" s="3" t="s">
        <v>18055</v>
      </c>
      <c r="AZ1412" s="3" t="s">
        <v>74</v>
      </c>
      <c r="BC1412" s="3" t="s">
        <v>18056</v>
      </c>
      <c r="BD1412" s="3" t="s">
        <v>18057</v>
      </c>
    </row>
    <row r="1413" spans="1:56" ht="42.75" customHeight="1" x14ac:dyDescent="0.25">
      <c r="A1413" s="7" t="s">
        <v>58</v>
      </c>
      <c r="B1413" s="2" t="s">
        <v>18058</v>
      </c>
      <c r="C1413" s="2" t="s">
        <v>18059</v>
      </c>
      <c r="D1413" s="2" t="s">
        <v>18060</v>
      </c>
      <c r="F1413" s="3" t="s">
        <v>58</v>
      </c>
      <c r="G1413" s="3" t="s">
        <v>59</v>
      </c>
      <c r="H1413" s="3" t="s">
        <v>58</v>
      </c>
      <c r="I1413" s="3" t="s">
        <v>58</v>
      </c>
      <c r="J1413" s="3" t="s">
        <v>60</v>
      </c>
      <c r="K1413" s="2" t="s">
        <v>18061</v>
      </c>
      <c r="L1413" s="2" t="s">
        <v>15729</v>
      </c>
      <c r="M1413" s="3" t="s">
        <v>344</v>
      </c>
      <c r="O1413" s="3" t="s">
        <v>64</v>
      </c>
      <c r="P1413" s="3" t="s">
        <v>115</v>
      </c>
      <c r="Q1413" s="2" t="s">
        <v>18062</v>
      </c>
      <c r="R1413" s="3" t="s">
        <v>67</v>
      </c>
      <c r="S1413" s="4">
        <v>7</v>
      </c>
      <c r="T1413" s="4">
        <v>7</v>
      </c>
      <c r="U1413" s="5" t="s">
        <v>14268</v>
      </c>
      <c r="V1413" s="5" t="s">
        <v>14268</v>
      </c>
      <c r="W1413" s="5" t="s">
        <v>17072</v>
      </c>
      <c r="X1413" s="5" t="s">
        <v>17072</v>
      </c>
      <c r="Y1413" s="4">
        <v>161</v>
      </c>
      <c r="Z1413" s="4">
        <v>138</v>
      </c>
      <c r="AA1413" s="4">
        <v>140</v>
      </c>
      <c r="AB1413" s="4">
        <v>1</v>
      </c>
      <c r="AC1413" s="4">
        <v>1</v>
      </c>
      <c r="AD1413" s="4">
        <v>1</v>
      </c>
      <c r="AE1413" s="4">
        <v>1</v>
      </c>
      <c r="AF1413" s="4">
        <v>0</v>
      </c>
      <c r="AG1413" s="4">
        <v>0</v>
      </c>
      <c r="AH1413" s="4">
        <v>0</v>
      </c>
      <c r="AI1413" s="4">
        <v>0</v>
      </c>
      <c r="AJ1413" s="4">
        <v>1</v>
      </c>
      <c r="AK1413" s="4">
        <v>1</v>
      </c>
      <c r="AL1413" s="4">
        <v>0</v>
      </c>
      <c r="AM1413" s="4">
        <v>0</v>
      </c>
      <c r="AN1413" s="4">
        <v>0</v>
      </c>
      <c r="AO1413" s="4">
        <v>0</v>
      </c>
      <c r="AP1413" s="3" t="s">
        <v>58</v>
      </c>
      <c r="AQ1413" s="3" t="s">
        <v>58</v>
      </c>
      <c r="AS1413" s="6" t="str">
        <f>HYPERLINK("https://creighton-primo.hosted.exlibrisgroup.com/primo-explore/search?tab=default_tab&amp;search_scope=EVERYTHING&amp;vid=01CRU&amp;lang=en_US&amp;offset=0&amp;query=any,contains,991004820479702656","Catalog Record")</f>
        <v>Catalog Record</v>
      </c>
      <c r="AT1413" s="6" t="str">
        <f>HYPERLINK("http://www.worldcat.org/oclc/5333559","WorldCat Record")</f>
        <v>WorldCat Record</v>
      </c>
      <c r="AU1413" s="3" t="s">
        <v>18063</v>
      </c>
      <c r="AV1413" s="3" t="s">
        <v>18064</v>
      </c>
      <c r="AW1413" s="3" t="s">
        <v>18065</v>
      </c>
      <c r="AX1413" s="3" t="s">
        <v>18065</v>
      </c>
      <c r="AY1413" s="3" t="s">
        <v>18066</v>
      </c>
      <c r="AZ1413" s="3" t="s">
        <v>74</v>
      </c>
      <c r="BB1413" s="3" t="s">
        <v>18067</v>
      </c>
      <c r="BC1413" s="3" t="s">
        <v>18068</v>
      </c>
      <c r="BD1413" s="3" t="s">
        <v>18069</v>
      </c>
    </row>
    <row r="1414" spans="1:56" ht="42.75" customHeight="1" x14ac:dyDescent="0.25">
      <c r="A1414" s="7" t="s">
        <v>58</v>
      </c>
      <c r="B1414" s="2" t="s">
        <v>18070</v>
      </c>
      <c r="C1414" s="2" t="s">
        <v>18071</v>
      </c>
      <c r="D1414" s="2" t="s">
        <v>18072</v>
      </c>
      <c r="F1414" s="3" t="s">
        <v>58</v>
      </c>
      <c r="G1414" s="3" t="s">
        <v>59</v>
      </c>
      <c r="H1414" s="3" t="s">
        <v>58</v>
      </c>
      <c r="I1414" s="3" t="s">
        <v>58</v>
      </c>
      <c r="J1414" s="3" t="s">
        <v>60</v>
      </c>
      <c r="K1414" s="2" t="s">
        <v>18073</v>
      </c>
      <c r="L1414" s="2" t="s">
        <v>18074</v>
      </c>
      <c r="M1414" s="3" t="s">
        <v>5200</v>
      </c>
      <c r="N1414" s="2" t="s">
        <v>3823</v>
      </c>
      <c r="O1414" s="3" t="s">
        <v>64</v>
      </c>
      <c r="P1414" s="3" t="s">
        <v>65</v>
      </c>
      <c r="Q1414" s="2" t="s">
        <v>18075</v>
      </c>
      <c r="R1414" s="3" t="s">
        <v>67</v>
      </c>
      <c r="S1414" s="4">
        <v>2</v>
      </c>
      <c r="T1414" s="4">
        <v>2</v>
      </c>
      <c r="U1414" s="5" t="s">
        <v>18076</v>
      </c>
      <c r="V1414" s="5" t="s">
        <v>18076</v>
      </c>
      <c r="W1414" s="5" t="s">
        <v>18051</v>
      </c>
      <c r="X1414" s="5" t="s">
        <v>18051</v>
      </c>
      <c r="Y1414" s="4">
        <v>419</v>
      </c>
      <c r="Z1414" s="4">
        <v>281</v>
      </c>
      <c r="AA1414" s="4">
        <v>320</v>
      </c>
      <c r="AB1414" s="4">
        <v>3</v>
      </c>
      <c r="AC1414" s="4">
        <v>3</v>
      </c>
      <c r="AD1414" s="4">
        <v>9</v>
      </c>
      <c r="AE1414" s="4">
        <v>12</v>
      </c>
      <c r="AF1414" s="4">
        <v>3</v>
      </c>
      <c r="AG1414" s="4">
        <v>5</v>
      </c>
      <c r="AH1414" s="4">
        <v>2</v>
      </c>
      <c r="AI1414" s="4">
        <v>4</v>
      </c>
      <c r="AJ1414" s="4">
        <v>2</v>
      </c>
      <c r="AK1414" s="4">
        <v>2</v>
      </c>
      <c r="AL1414" s="4">
        <v>2</v>
      </c>
      <c r="AM1414" s="4">
        <v>2</v>
      </c>
      <c r="AN1414" s="4">
        <v>1</v>
      </c>
      <c r="AO1414" s="4">
        <v>1</v>
      </c>
      <c r="AP1414" s="3" t="s">
        <v>58</v>
      </c>
      <c r="AQ1414" s="3" t="s">
        <v>86</v>
      </c>
      <c r="AR1414" s="6" t="str">
        <f>HYPERLINK("http://catalog.hathitrust.org/Record/001565407","HathiTrust Record")</f>
        <v>HathiTrust Record</v>
      </c>
      <c r="AS1414" s="6" t="str">
        <f>HYPERLINK("https://creighton-primo.hosted.exlibrisgroup.com/primo-explore/search?tab=default_tab&amp;search_scope=EVERYTHING&amp;vid=01CRU&amp;lang=en_US&amp;offset=0&amp;query=any,contains,991002898119702656","Catalog Record")</f>
        <v>Catalog Record</v>
      </c>
      <c r="AT1414" s="6" t="str">
        <f>HYPERLINK("http://www.worldcat.org/oclc/515161","WorldCat Record")</f>
        <v>WorldCat Record</v>
      </c>
      <c r="AU1414" s="3" t="s">
        <v>18077</v>
      </c>
      <c r="AV1414" s="3" t="s">
        <v>18078</v>
      </c>
      <c r="AW1414" s="3" t="s">
        <v>18079</v>
      </c>
      <c r="AX1414" s="3" t="s">
        <v>18079</v>
      </c>
      <c r="AY1414" s="3" t="s">
        <v>18080</v>
      </c>
      <c r="AZ1414" s="3" t="s">
        <v>74</v>
      </c>
      <c r="BB1414" s="3" t="s">
        <v>18081</v>
      </c>
      <c r="BC1414" s="3" t="s">
        <v>18082</v>
      </c>
      <c r="BD1414" s="3" t="s">
        <v>18083</v>
      </c>
    </row>
    <row r="1415" spans="1:56" ht="42.75" customHeight="1" x14ac:dyDescent="0.25">
      <c r="A1415" s="7" t="s">
        <v>58</v>
      </c>
      <c r="B1415" s="2" t="s">
        <v>18084</v>
      </c>
      <c r="C1415" s="2" t="s">
        <v>18085</v>
      </c>
      <c r="D1415" s="2" t="s">
        <v>18086</v>
      </c>
      <c r="F1415" s="3" t="s">
        <v>58</v>
      </c>
      <c r="G1415" s="3" t="s">
        <v>59</v>
      </c>
      <c r="H1415" s="3" t="s">
        <v>58</v>
      </c>
      <c r="I1415" s="3" t="s">
        <v>58</v>
      </c>
      <c r="J1415" s="3" t="s">
        <v>60</v>
      </c>
      <c r="K1415" s="2" t="s">
        <v>18087</v>
      </c>
      <c r="M1415" s="3" t="s">
        <v>314</v>
      </c>
      <c r="O1415" s="3" t="s">
        <v>64</v>
      </c>
      <c r="P1415" s="3" t="s">
        <v>1749</v>
      </c>
      <c r="Q1415" s="2" t="s">
        <v>18088</v>
      </c>
      <c r="R1415" s="3" t="s">
        <v>67</v>
      </c>
      <c r="S1415" s="4">
        <v>5</v>
      </c>
      <c r="T1415" s="4">
        <v>5</v>
      </c>
      <c r="U1415" s="5" t="s">
        <v>18089</v>
      </c>
      <c r="V1415" s="5" t="s">
        <v>18089</v>
      </c>
      <c r="W1415" s="5" t="s">
        <v>18090</v>
      </c>
      <c r="X1415" s="5" t="s">
        <v>18090</v>
      </c>
      <c r="Y1415" s="4">
        <v>190</v>
      </c>
      <c r="Z1415" s="4">
        <v>114</v>
      </c>
      <c r="AA1415" s="4">
        <v>116</v>
      </c>
      <c r="AB1415" s="4">
        <v>2</v>
      </c>
      <c r="AC1415" s="4">
        <v>2</v>
      </c>
      <c r="AD1415" s="4">
        <v>5</v>
      </c>
      <c r="AE1415" s="4">
        <v>5</v>
      </c>
      <c r="AF1415" s="4">
        <v>2</v>
      </c>
      <c r="AG1415" s="4">
        <v>2</v>
      </c>
      <c r="AH1415" s="4">
        <v>0</v>
      </c>
      <c r="AI1415" s="4">
        <v>0</v>
      </c>
      <c r="AJ1415" s="4">
        <v>1</v>
      </c>
      <c r="AK1415" s="4">
        <v>1</v>
      </c>
      <c r="AL1415" s="4">
        <v>1</v>
      </c>
      <c r="AM1415" s="4">
        <v>1</v>
      </c>
      <c r="AN1415" s="4">
        <v>1</v>
      </c>
      <c r="AO1415" s="4">
        <v>1</v>
      </c>
      <c r="AP1415" s="3" t="s">
        <v>58</v>
      </c>
      <c r="AQ1415" s="3" t="s">
        <v>86</v>
      </c>
      <c r="AR1415" s="6" t="str">
        <f>HYPERLINK("http://catalog.hathitrust.org/Record/001565418","HathiTrust Record")</f>
        <v>HathiTrust Record</v>
      </c>
      <c r="AS1415" s="6" t="str">
        <f>HYPERLINK("https://creighton-primo.hosted.exlibrisgroup.com/primo-explore/search?tab=default_tab&amp;search_scope=EVERYTHING&amp;vid=01CRU&amp;lang=en_US&amp;offset=0&amp;query=any,contains,991000011739702656","Catalog Record")</f>
        <v>Catalog Record</v>
      </c>
      <c r="AT1415" s="6" t="str">
        <f>HYPERLINK("http://www.worldcat.org/oclc/15025","WorldCat Record")</f>
        <v>WorldCat Record</v>
      </c>
      <c r="AU1415" s="3" t="s">
        <v>18091</v>
      </c>
      <c r="AV1415" s="3" t="s">
        <v>18092</v>
      </c>
      <c r="AW1415" s="3" t="s">
        <v>18093</v>
      </c>
      <c r="AX1415" s="3" t="s">
        <v>18093</v>
      </c>
      <c r="AY1415" s="3" t="s">
        <v>18094</v>
      </c>
      <c r="AZ1415" s="3" t="s">
        <v>74</v>
      </c>
      <c r="BC1415" s="3" t="s">
        <v>18095</v>
      </c>
      <c r="BD1415" s="3" t="s">
        <v>18096</v>
      </c>
    </row>
    <row r="1416" spans="1:56" ht="42.75" customHeight="1" x14ac:dyDescent="0.25">
      <c r="A1416" s="7" t="s">
        <v>58</v>
      </c>
      <c r="B1416" s="2" t="s">
        <v>18097</v>
      </c>
      <c r="C1416" s="2" t="s">
        <v>18098</v>
      </c>
      <c r="D1416" s="2" t="s">
        <v>18099</v>
      </c>
      <c r="F1416" s="3" t="s">
        <v>58</v>
      </c>
      <c r="G1416" s="3" t="s">
        <v>59</v>
      </c>
      <c r="H1416" s="3" t="s">
        <v>58</v>
      </c>
      <c r="I1416" s="3" t="s">
        <v>58</v>
      </c>
      <c r="J1416" s="3" t="s">
        <v>60</v>
      </c>
      <c r="L1416" s="2" t="s">
        <v>18100</v>
      </c>
      <c r="M1416" s="3" t="s">
        <v>207</v>
      </c>
      <c r="O1416" s="3" t="s">
        <v>64</v>
      </c>
      <c r="P1416" s="3" t="s">
        <v>115</v>
      </c>
      <c r="Q1416" s="2" t="s">
        <v>18101</v>
      </c>
      <c r="R1416" s="3" t="s">
        <v>67</v>
      </c>
      <c r="S1416" s="4">
        <v>6</v>
      </c>
      <c r="T1416" s="4">
        <v>6</v>
      </c>
      <c r="U1416" s="5" t="s">
        <v>18102</v>
      </c>
      <c r="V1416" s="5" t="s">
        <v>18102</v>
      </c>
      <c r="W1416" s="5" t="s">
        <v>4730</v>
      </c>
      <c r="X1416" s="5" t="s">
        <v>4730</v>
      </c>
      <c r="Y1416" s="4">
        <v>401</v>
      </c>
      <c r="Z1416" s="4">
        <v>300</v>
      </c>
      <c r="AA1416" s="4">
        <v>569</v>
      </c>
      <c r="AB1416" s="4">
        <v>3</v>
      </c>
      <c r="AC1416" s="4">
        <v>4</v>
      </c>
      <c r="AD1416" s="4">
        <v>13</v>
      </c>
      <c r="AE1416" s="4">
        <v>24</v>
      </c>
      <c r="AF1416" s="4">
        <v>6</v>
      </c>
      <c r="AG1416" s="4">
        <v>7</v>
      </c>
      <c r="AH1416" s="4">
        <v>3</v>
      </c>
      <c r="AI1416" s="4">
        <v>7</v>
      </c>
      <c r="AJ1416" s="4">
        <v>7</v>
      </c>
      <c r="AK1416" s="4">
        <v>13</v>
      </c>
      <c r="AL1416" s="4">
        <v>1</v>
      </c>
      <c r="AM1416" s="4">
        <v>2</v>
      </c>
      <c r="AN1416" s="4">
        <v>0</v>
      </c>
      <c r="AO1416" s="4">
        <v>0</v>
      </c>
      <c r="AP1416" s="3" t="s">
        <v>58</v>
      </c>
      <c r="AQ1416" s="3" t="s">
        <v>86</v>
      </c>
      <c r="AR1416" s="6" t="str">
        <f>HYPERLINK("http://catalog.hathitrust.org/Record/000227502","HathiTrust Record")</f>
        <v>HathiTrust Record</v>
      </c>
      <c r="AS1416" s="6" t="str">
        <f>HYPERLINK("https://creighton-primo.hosted.exlibrisgroup.com/primo-explore/search?tab=default_tab&amp;search_scope=EVERYTHING&amp;vid=01CRU&amp;lang=en_US&amp;offset=0&amp;query=any,contains,991005132729702656","Catalog Record")</f>
        <v>Catalog Record</v>
      </c>
      <c r="AT1416" s="6" t="str">
        <f>HYPERLINK("http://www.worldcat.org/oclc/7573694","WorldCat Record")</f>
        <v>WorldCat Record</v>
      </c>
      <c r="AU1416" s="3" t="s">
        <v>18103</v>
      </c>
      <c r="AV1416" s="3" t="s">
        <v>18104</v>
      </c>
      <c r="AW1416" s="3" t="s">
        <v>18105</v>
      </c>
      <c r="AX1416" s="3" t="s">
        <v>18105</v>
      </c>
      <c r="AY1416" s="3" t="s">
        <v>18106</v>
      </c>
      <c r="AZ1416" s="3" t="s">
        <v>74</v>
      </c>
      <c r="BB1416" s="3" t="s">
        <v>18107</v>
      </c>
      <c r="BC1416" s="3" t="s">
        <v>18108</v>
      </c>
      <c r="BD1416" s="3" t="s">
        <v>18109</v>
      </c>
    </row>
    <row r="1417" spans="1:56" ht="42.75" customHeight="1" x14ac:dyDescent="0.25">
      <c r="A1417" s="7" t="s">
        <v>58</v>
      </c>
      <c r="B1417" s="2" t="s">
        <v>18110</v>
      </c>
      <c r="C1417" s="2" t="s">
        <v>18111</v>
      </c>
      <c r="D1417" s="2" t="s">
        <v>18112</v>
      </c>
      <c r="F1417" s="3" t="s">
        <v>58</v>
      </c>
      <c r="G1417" s="3" t="s">
        <v>59</v>
      </c>
      <c r="H1417" s="3" t="s">
        <v>58</v>
      </c>
      <c r="I1417" s="3" t="s">
        <v>58</v>
      </c>
      <c r="J1417" s="3" t="s">
        <v>60</v>
      </c>
      <c r="K1417" s="2" t="s">
        <v>18113</v>
      </c>
      <c r="L1417" s="2" t="s">
        <v>18114</v>
      </c>
      <c r="M1417" s="3" t="s">
        <v>177</v>
      </c>
      <c r="O1417" s="3" t="s">
        <v>64</v>
      </c>
      <c r="P1417" s="3" t="s">
        <v>1654</v>
      </c>
      <c r="R1417" s="3" t="s">
        <v>67</v>
      </c>
      <c r="S1417" s="4">
        <v>11</v>
      </c>
      <c r="T1417" s="4">
        <v>11</v>
      </c>
      <c r="U1417" s="5" t="s">
        <v>2228</v>
      </c>
      <c r="V1417" s="5" t="s">
        <v>2228</v>
      </c>
      <c r="W1417" s="5" t="s">
        <v>2291</v>
      </c>
      <c r="X1417" s="5" t="s">
        <v>2291</v>
      </c>
      <c r="Y1417" s="4">
        <v>62</v>
      </c>
      <c r="Z1417" s="4">
        <v>40</v>
      </c>
      <c r="AA1417" s="4">
        <v>41</v>
      </c>
      <c r="AB1417" s="4">
        <v>1</v>
      </c>
      <c r="AC1417" s="4">
        <v>1</v>
      </c>
      <c r="AD1417" s="4">
        <v>3</v>
      </c>
      <c r="AE1417" s="4">
        <v>3</v>
      </c>
      <c r="AF1417" s="4">
        <v>2</v>
      </c>
      <c r="AG1417" s="4">
        <v>2</v>
      </c>
      <c r="AH1417" s="4">
        <v>1</v>
      </c>
      <c r="AI1417" s="4">
        <v>1</v>
      </c>
      <c r="AJ1417" s="4">
        <v>2</v>
      </c>
      <c r="AK1417" s="4">
        <v>2</v>
      </c>
      <c r="AL1417" s="4">
        <v>0</v>
      </c>
      <c r="AM1417" s="4">
        <v>0</v>
      </c>
      <c r="AN1417" s="4">
        <v>0</v>
      </c>
      <c r="AO1417" s="4">
        <v>0</v>
      </c>
      <c r="AP1417" s="3" t="s">
        <v>58</v>
      </c>
      <c r="AQ1417" s="3" t="s">
        <v>58</v>
      </c>
      <c r="AS1417" s="6" t="str">
        <f>HYPERLINK("https://creighton-primo.hosted.exlibrisgroup.com/primo-explore/search?tab=default_tab&amp;search_scope=EVERYTHING&amp;vid=01CRU&amp;lang=en_US&amp;offset=0&amp;query=any,contains,991003130799702656","Catalog Record")</f>
        <v>Catalog Record</v>
      </c>
      <c r="AT1417" s="6" t="str">
        <f>HYPERLINK("http://www.worldcat.org/oclc/673618","WorldCat Record")</f>
        <v>WorldCat Record</v>
      </c>
      <c r="AU1417" s="3" t="s">
        <v>18115</v>
      </c>
      <c r="AV1417" s="3" t="s">
        <v>18116</v>
      </c>
      <c r="AW1417" s="3" t="s">
        <v>18117</v>
      </c>
      <c r="AX1417" s="3" t="s">
        <v>18117</v>
      </c>
      <c r="AY1417" s="3" t="s">
        <v>18118</v>
      </c>
      <c r="AZ1417" s="3" t="s">
        <v>74</v>
      </c>
      <c r="BB1417" s="3" t="s">
        <v>18119</v>
      </c>
      <c r="BC1417" s="3" t="s">
        <v>18120</v>
      </c>
      <c r="BD1417" s="3" t="s">
        <v>18121</v>
      </c>
    </row>
    <row r="1418" spans="1:56" ht="42.75" customHeight="1" x14ac:dyDescent="0.25">
      <c r="A1418" s="7" t="s">
        <v>58</v>
      </c>
      <c r="B1418" s="2" t="s">
        <v>18122</v>
      </c>
      <c r="C1418" s="2" t="s">
        <v>18123</v>
      </c>
      <c r="D1418" s="2" t="s">
        <v>18124</v>
      </c>
      <c r="F1418" s="3" t="s">
        <v>58</v>
      </c>
      <c r="G1418" s="3" t="s">
        <v>59</v>
      </c>
      <c r="H1418" s="3" t="s">
        <v>86</v>
      </c>
      <c r="I1418" s="3" t="s">
        <v>58</v>
      </c>
      <c r="J1418" s="3" t="s">
        <v>60</v>
      </c>
      <c r="L1418" s="2" t="s">
        <v>18125</v>
      </c>
      <c r="M1418" s="3" t="s">
        <v>586</v>
      </c>
      <c r="O1418" s="3" t="s">
        <v>64</v>
      </c>
      <c r="P1418" s="3" t="s">
        <v>18126</v>
      </c>
      <c r="Q1418" s="2" t="s">
        <v>18127</v>
      </c>
      <c r="R1418" s="3" t="s">
        <v>67</v>
      </c>
      <c r="S1418" s="4">
        <v>12</v>
      </c>
      <c r="T1418" s="4">
        <v>31</v>
      </c>
      <c r="U1418" s="5" t="s">
        <v>18128</v>
      </c>
      <c r="V1418" s="5" t="s">
        <v>2999</v>
      </c>
      <c r="W1418" s="5" t="s">
        <v>18129</v>
      </c>
      <c r="X1418" s="5" t="s">
        <v>18129</v>
      </c>
      <c r="Y1418" s="4">
        <v>59</v>
      </c>
      <c r="Z1418" s="4">
        <v>49</v>
      </c>
      <c r="AA1418" s="4">
        <v>69</v>
      </c>
      <c r="AB1418" s="4">
        <v>2</v>
      </c>
      <c r="AC1418" s="4">
        <v>2</v>
      </c>
      <c r="AD1418" s="4">
        <v>0</v>
      </c>
      <c r="AE1418" s="4">
        <v>0</v>
      </c>
      <c r="AF1418" s="4">
        <v>0</v>
      </c>
      <c r="AG1418" s="4">
        <v>0</v>
      </c>
      <c r="AH1418" s="4">
        <v>0</v>
      </c>
      <c r="AI1418" s="4">
        <v>0</v>
      </c>
      <c r="AJ1418" s="4">
        <v>0</v>
      </c>
      <c r="AK1418" s="4">
        <v>0</v>
      </c>
      <c r="AL1418" s="4">
        <v>0</v>
      </c>
      <c r="AM1418" s="4">
        <v>0</v>
      </c>
      <c r="AN1418" s="4">
        <v>0</v>
      </c>
      <c r="AO1418" s="4">
        <v>0</v>
      </c>
      <c r="AP1418" s="3" t="s">
        <v>58</v>
      </c>
      <c r="AQ1418" s="3" t="s">
        <v>58</v>
      </c>
      <c r="AS1418" s="6" t="str">
        <f>HYPERLINK("https://creighton-primo.hosted.exlibrisgroup.com/primo-explore/search?tab=default_tab&amp;search_scope=EVERYTHING&amp;vid=01CRU&amp;lang=en_US&amp;offset=0&amp;query=any,contains,991001761349702656","Catalog Record")</f>
        <v>Catalog Record</v>
      </c>
      <c r="AT1418" s="6" t="str">
        <f>HYPERLINK("http://www.worldcat.org/oclc/22208175","WorldCat Record")</f>
        <v>WorldCat Record</v>
      </c>
      <c r="AU1418" s="3" t="s">
        <v>18130</v>
      </c>
      <c r="AV1418" s="3" t="s">
        <v>18131</v>
      </c>
      <c r="AW1418" s="3" t="s">
        <v>18132</v>
      </c>
      <c r="AX1418" s="3" t="s">
        <v>18132</v>
      </c>
      <c r="AY1418" s="3" t="s">
        <v>18133</v>
      </c>
      <c r="AZ1418" s="3" t="s">
        <v>74</v>
      </c>
      <c r="BB1418" s="3" t="s">
        <v>18134</v>
      </c>
      <c r="BC1418" s="3" t="s">
        <v>18135</v>
      </c>
      <c r="BD1418" s="3" t="s">
        <v>18136</v>
      </c>
    </row>
    <row r="1419" spans="1:56" ht="42.75" customHeight="1" x14ac:dyDescent="0.25">
      <c r="A1419" s="7" t="s">
        <v>58</v>
      </c>
      <c r="B1419" s="2" t="s">
        <v>18137</v>
      </c>
      <c r="C1419" s="2" t="s">
        <v>18138</v>
      </c>
      <c r="D1419" s="2" t="s">
        <v>18139</v>
      </c>
      <c r="F1419" s="3" t="s">
        <v>58</v>
      </c>
      <c r="G1419" s="3" t="s">
        <v>59</v>
      </c>
      <c r="H1419" s="3" t="s">
        <v>58</v>
      </c>
      <c r="I1419" s="3" t="s">
        <v>58</v>
      </c>
      <c r="J1419" s="3" t="s">
        <v>60</v>
      </c>
      <c r="K1419" s="2" t="s">
        <v>18140</v>
      </c>
      <c r="L1419" s="2" t="s">
        <v>18141</v>
      </c>
      <c r="M1419" s="3" t="s">
        <v>207</v>
      </c>
      <c r="O1419" s="3" t="s">
        <v>64</v>
      </c>
      <c r="P1419" s="3" t="s">
        <v>115</v>
      </c>
      <c r="R1419" s="3" t="s">
        <v>67</v>
      </c>
      <c r="S1419" s="4">
        <v>16</v>
      </c>
      <c r="T1419" s="4">
        <v>16</v>
      </c>
      <c r="U1419" s="5" t="s">
        <v>18142</v>
      </c>
      <c r="V1419" s="5" t="s">
        <v>18142</v>
      </c>
      <c r="W1419" s="5" t="s">
        <v>18143</v>
      </c>
      <c r="X1419" s="5" t="s">
        <v>18143</v>
      </c>
      <c r="Y1419" s="4">
        <v>140</v>
      </c>
      <c r="Z1419" s="4">
        <v>102</v>
      </c>
      <c r="AA1419" s="4">
        <v>105</v>
      </c>
      <c r="AB1419" s="4">
        <v>1</v>
      </c>
      <c r="AC1419" s="4">
        <v>1</v>
      </c>
      <c r="AD1419" s="4">
        <v>0</v>
      </c>
      <c r="AE1419" s="4">
        <v>0</v>
      </c>
      <c r="AF1419" s="4">
        <v>0</v>
      </c>
      <c r="AG1419" s="4">
        <v>0</v>
      </c>
      <c r="AH1419" s="4">
        <v>0</v>
      </c>
      <c r="AI1419" s="4">
        <v>0</v>
      </c>
      <c r="AJ1419" s="4">
        <v>0</v>
      </c>
      <c r="AK1419" s="4">
        <v>0</v>
      </c>
      <c r="AL1419" s="4">
        <v>0</v>
      </c>
      <c r="AM1419" s="4">
        <v>0</v>
      </c>
      <c r="AN1419" s="4">
        <v>0</v>
      </c>
      <c r="AO1419" s="4">
        <v>0</v>
      </c>
      <c r="AP1419" s="3" t="s">
        <v>58</v>
      </c>
      <c r="AQ1419" s="3" t="s">
        <v>86</v>
      </c>
      <c r="AR1419" s="6" t="str">
        <f>HYPERLINK("http://catalog.hathitrust.org/Record/008744916","HathiTrust Record")</f>
        <v>HathiTrust Record</v>
      </c>
      <c r="AS1419" s="6" t="str">
        <f>HYPERLINK("https://creighton-primo.hosted.exlibrisgroup.com/primo-explore/search?tab=default_tab&amp;search_scope=EVERYTHING&amp;vid=01CRU&amp;lang=en_US&amp;offset=0&amp;query=any,contains,991005098319702656","Catalog Record")</f>
        <v>Catalog Record</v>
      </c>
      <c r="AT1419" s="6" t="str">
        <f>HYPERLINK("http://www.worldcat.org/oclc/7277648","WorldCat Record")</f>
        <v>WorldCat Record</v>
      </c>
      <c r="AU1419" s="3" t="s">
        <v>18144</v>
      </c>
      <c r="AV1419" s="3" t="s">
        <v>18145</v>
      </c>
      <c r="AW1419" s="3" t="s">
        <v>18146</v>
      </c>
      <c r="AX1419" s="3" t="s">
        <v>18146</v>
      </c>
      <c r="AY1419" s="3" t="s">
        <v>18147</v>
      </c>
      <c r="AZ1419" s="3" t="s">
        <v>74</v>
      </c>
      <c r="BB1419" s="3" t="s">
        <v>18148</v>
      </c>
      <c r="BC1419" s="3" t="s">
        <v>18149</v>
      </c>
      <c r="BD1419" s="3" t="s">
        <v>18150</v>
      </c>
    </row>
    <row r="1420" spans="1:56" ht="42.75" customHeight="1" x14ac:dyDescent="0.25">
      <c r="A1420" s="7" t="s">
        <v>58</v>
      </c>
      <c r="B1420" s="2" t="s">
        <v>18151</v>
      </c>
      <c r="C1420" s="2" t="s">
        <v>18152</v>
      </c>
      <c r="D1420" s="2" t="s">
        <v>18153</v>
      </c>
      <c r="F1420" s="3" t="s">
        <v>58</v>
      </c>
      <c r="G1420" s="3" t="s">
        <v>59</v>
      </c>
      <c r="H1420" s="3" t="s">
        <v>86</v>
      </c>
      <c r="I1420" s="3" t="s">
        <v>58</v>
      </c>
      <c r="J1420" s="3" t="s">
        <v>60</v>
      </c>
      <c r="K1420" s="2" t="s">
        <v>18154</v>
      </c>
      <c r="L1420" s="2" t="s">
        <v>18155</v>
      </c>
      <c r="M1420" s="3" t="s">
        <v>4013</v>
      </c>
      <c r="O1420" s="3" t="s">
        <v>64</v>
      </c>
      <c r="P1420" s="3" t="s">
        <v>115</v>
      </c>
      <c r="R1420" s="3" t="s">
        <v>67</v>
      </c>
      <c r="S1420" s="4">
        <v>0</v>
      </c>
      <c r="T1420" s="4">
        <v>16</v>
      </c>
      <c r="V1420" s="5" t="s">
        <v>18156</v>
      </c>
      <c r="W1420" s="5" t="s">
        <v>165</v>
      </c>
      <c r="X1420" s="5" t="s">
        <v>165</v>
      </c>
      <c r="Y1420" s="4">
        <v>1067</v>
      </c>
      <c r="Z1420" s="4">
        <v>927</v>
      </c>
      <c r="AA1420" s="4">
        <v>1100</v>
      </c>
      <c r="AB1420" s="4">
        <v>9</v>
      </c>
      <c r="AC1420" s="4">
        <v>11</v>
      </c>
      <c r="AD1420" s="4">
        <v>39</v>
      </c>
      <c r="AE1420" s="4">
        <v>45</v>
      </c>
      <c r="AF1420" s="4">
        <v>15</v>
      </c>
      <c r="AG1420" s="4">
        <v>18</v>
      </c>
      <c r="AH1420" s="4">
        <v>7</v>
      </c>
      <c r="AI1420" s="4">
        <v>8</v>
      </c>
      <c r="AJ1420" s="4">
        <v>19</v>
      </c>
      <c r="AK1420" s="4">
        <v>20</v>
      </c>
      <c r="AL1420" s="4">
        <v>7</v>
      </c>
      <c r="AM1420" s="4">
        <v>9</v>
      </c>
      <c r="AN1420" s="4">
        <v>0</v>
      </c>
      <c r="AO1420" s="4">
        <v>0</v>
      </c>
      <c r="AP1420" s="3" t="s">
        <v>58</v>
      </c>
      <c r="AQ1420" s="3" t="s">
        <v>86</v>
      </c>
      <c r="AR1420" s="6" t="str">
        <f>HYPERLINK("http://catalog.hathitrust.org/Record/000431189","HathiTrust Record")</f>
        <v>HathiTrust Record</v>
      </c>
      <c r="AS1420" s="6" t="str">
        <f>HYPERLINK("https://creighton-primo.hosted.exlibrisgroup.com/primo-explore/search?tab=default_tab&amp;search_scope=EVERYTHING&amp;vid=01CRU&amp;lang=en_US&amp;offset=0&amp;query=any,contains,991001791509702656","Catalog Record")</f>
        <v>Catalog Record</v>
      </c>
      <c r="AT1420" s="6" t="str">
        <f>HYPERLINK("http://www.worldcat.org/oclc/189799","WorldCat Record")</f>
        <v>WorldCat Record</v>
      </c>
      <c r="AU1420" s="3" t="s">
        <v>18157</v>
      </c>
      <c r="AV1420" s="3" t="s">
        <v>18158</v>
      </c>
      <c r="AW1420" s="3" t="s">
        <v>18159</v>
      </c>
      <c r="AX1420" s="3" t="s">
        <v>18159</v>
      </c>
      <c r="AY1420" s="3" t="s">
        <v>18160</v>
      </c>
      <c r="AZ1420" s="3" t="s">
        <v>74</v>
      </c>
      <c r="BC1420" s="3" t="s">
        <v>18161</v>
      </c>
      <c r="BD1420" s="3" t="s">
        <v>18162</v>
      </c>
    </row>
    <row r="1421" spans="1:56" ht="42.75" customHeight="1" x14ac:dyDescent="0.25">
      <c r="A1421" s="7" t="s">
        <v>58</v>
      </c>
      <c r="B1421" s="2" t="s">
        <v>18163</v>
      </c>
      <c r="C1421" s="2" t="s">
        <v>18164</v>
      </c>
      <c r="D1421" s="2" t="s">
        <v>18165</v>
      </c>
      <c r="F1421" s="3" t="s">
        <v>58</v>
      </c>
      <c r="G1421" s="3" t="s">
        <v>59</v>
      </c>
      <c r="H1421" s="3" t="s">
        <v>58</v>
      </c>
      <c r="I1421" s="3" t="s">
        <v>58</v>
      </c>
      <c r="J1421" s="3" t="s">
        <v>60</v>
      </c>
      <c r="K1421" s="2" t="s">
        <v>18166</v>
      </c>
      <c r="L1421" s="2" t="s">
        <v>18167</v>
      </c>
      <c r="M1421" s="3" t="s">
        <v>18168</v>
      </c>
      <c r="O1421" s="3" t="s">
        <v>64</v>
      </c>
      <c r="P1421" s="3" t="s">
        <v>115</v>
      </c>
      <c r="Q1421" s="2" t="s">
        <v>18169</v>
      </c>
      <c r="R1421" s="3" t="s">
        <v>67</v>
      </c>
      <c r="S1421" s="4">
        <v>3</v>
      </c>
      <c r="T1421" s="4">
        <v>3</v>
      </c>
      <c r="U1421" s="5" t="s">
        <v>18170</v>
      </c>
      <c r="V1421" s="5" t="s">
        <v>18170</v>
      </c>
      <c r="W1421" s="5" t="s">
        <v>165</v>
      </c>
      <c r="X1421" s="5" t="s">
        <v>165</v>
      </c>
      <c r="Y1421" s="4">
        <v>134</v>
      </c>
      <c r="Z1421" s="4">
        <v>121</v>
      </c>
      <c r="AA1421" s="4">
        <v>220</v>
      </c>
      <c r="AB1421" s="4">
        <v>3</v>
      </c>
      <c r="AC1421" s="4">
        <v>4</v>
      </c>
      <c r="AD1421" s="4">
        <v>4</v>
      </c>
      <c r="AE1421" s="4">
        <v>10</v>
      </c>
      <c r="AF1421" s="4">
        <v>0</v>
      </c>
      <c r="AG1421" s="4">
        <v>2</v>
      </c>
      <c r="AH1421" s="4">
        <v>0</v>
      </c>
      <c r="AI1421" s="4">
        <v>0</v>
      </c>
      <c r="AJ1421" s="4">
        <v>2</v>
      </c>
      <c r="AK1421" s="4">
        <v>5</v>
      </c>
      <c r="AL1421" s="4">
        <v>2</v>
      </c>
      <c r="AM1421" s="4">
        <v>3</v>
      </c>
      <c r="AN1421" s="4">
        <v>0</v>
      </c>
      <c r="AO1421" s="4">
        <v>0</v>
      </c>
      <c r="AP1421" s="3" t="s">
        <v>86</v>
      </c>
      <c r="AQ1421" s="3" t="s">
        <v>58</v>
      </c>
      <c r="AR1421" s="6" t="str">
        <f>HYPERLINK("http://catalog.hathitrust.org/Record/000661310","HathiTrust Record")</f>
        <v>HathiTrust Record</v>
      </c>
      <c r="AS1421" s="6" t="str">
        <f>HYPERLINK("https://creighton-primo.hosted.exlibrisgroup.com/primo-explore/search?tab=default_tab&amp;search_scope=EVERYTHING&amp;vid=01CRU&amp;lang=en_US&amp;offset=0&amp;query=any,contains,991003709589702656","Catalog Record")</f>
        <v>Catalog Record</v>
      </c>
      <c r="AT1421" s="6" t="str">
        <f>HYPERLINK("http://www.worldcat.org/oclc/1348463","WorldCat Record")</f>
        <v>WorldCat Record</v>
      </c>
      <c r="AU1421" s="3" t="s">
        <v>18171</v>
      </c>
      <c r="AV1421" s="3" t="s">
        <v>18172</v>
      </c>
      <c r="AW1421" s="3" t="s">
        <v>18173</v>
      </c>
      <c r="AX1421" s="3" t="s">
        <v>18173</v>
      </c>
      <c r="AY1421" s="3" t="s">
        <v>18174</v>
      </c>
      <c r="AZ1421" s="3" t="s">
        <v>74</v>
      </c>
      <c r="BC1421" s="3" t="s">
        <v>18175</v>
      </c>
      <c r="BD1421" s="3" t="s">
        <v>18176</v>
      </c>
    </row>
    <row r="1422" spans="1:56" ht="42.75" customHeight="1" x14ac:dyDescent="0.25">
      <c r="A1422" s="7" t="s">
        <v>58</v>
      </c>
      <c r="B1422" s="2" t="s">
        <v>18177</v>
      </c>
      <c r="C1422" s="2" t="s">
        <v>18178</v>
      </c>
      <c r="D1422" s="2" t="s">
        <v>18179</v>
      </c>
      <c r="F1422" s="3" t="s">
        <v>58</v>
      </c>
      <c r="G1422" s="3" t="s">
        <v>59</v>
      </c>
      <c r="H1422" s="3" t="s">
        <v>58</v>
      </c>
      <c r="I1422" s="3" t="s">
        <v>58</v>
      </c>
      <c r="J1422" s="3" t="s">
        <v>60</v>
      </c>
      <c r="L1422" s="2" t="s">
        <v>18180</v>
      </c>
      <c r="M1422" s="3" t="s">
        <v>1448</v>
      </c>
      <c r="N1422" s="2" t="s">
        <v>18181</v>
      </c>
      <c r="O1422" s="3" t="s">
        <v>64</v>
      </c>
      <c r="P1422" s="3" t="s">
        <v>115</v>
      </c>
      <c r="R1422" s="3" t="s">
        <v>67</v>
      </c>
      <c r="S1422" s="4">
        <v>1</v>
      </c>
      <c r="T1422" s="4">
        <v>1</v>
      </c>
      <c r="U1422" s="5" t="s">
        <v>18182</v>
      </c>
      <c r="V1422" s="5" t="s">
        <v>18182</v>
      </c>
      <c r="W1422" s="5" t="s">
        <v>18183</v>
      </c>
      <c r="X1422" s="5" t="s">
        <v>18183</v>
      </c>
      <c r="Y1422" s="4">
        <v>240</v>
      </c>
      <c r="Z1422" s="4">
        <v>208</v>
      </c>
      <c r="AA1422" s="4">
        <v>216</v>
      </c>
      <c r="AB1422" s="4">
        <v>2</v>
      </c>
      <c r="AC1422" s="4">
        <v>2</v>
      </c>
      <c r="AD1422" s="4">
        <v>8</v>
      </c>
      <c r="AE1422" s="4">
        <v>8</v>
      </c>
      <c r="AF1422" s="4">
        <v>1</v>
      </c>
      <c r="AG1422" s="4">
        <v>1</v>
      </c>
      <c r="AH1422" s="4">
        <v>3</v>
      </c>
      <c r="AI1422" s="4">
        <v>3</v>
      </c>
      <c r="AJ1422" s="4">
        <v>4</v>
      </c>
      <c r="AK1422" s="4">
        <v>4</v>
      </c>
      <c r="AL1422" s="4">
        <v>1</v>
      </c>
      <c r="AM1422" s="4">
        <v>1</v>
      </c>
      <c r="AN1422" s="4">
        <v>0</v>
      </c>
      <c r="AO1422" s="4">
        <v>0</v>
      </c>
      <c r="AP1422" s="3" t="s">
        <v>58</v>
      </c>
      <c r="AQ1422" s="3" t="s">
        <v>58</v>
      </c>
      <c r="AS1422" s="6" t="str">
        <f>HYPERLINK("https://creighton-primo.hosted.exlibrisgroup.com/primo-explore/search?tab=default_tab&amp;search_scope=EVERYTHING&amp;vid=01CRU&amp;lang=en_US&amp;offset=0&amp;query=any,contains,991005375919702656","Catalog Record")</f>
        <v>Catalog Record</v>
      </c>
      <c r="AT1422" s="6" t="str">
        <f>HYPERLINK("http://www.worldcat.org/oclc/317250805","WorldCat Record")</f>
        <v>WorldCat Record</v>
      </c>
      <c r="AU1422" s="3" t="s">
        <v>18184</v>
      </c>
      <c r="AV1422" s="3" t="s">
        <v>18185</v>
      </c>
      <c r="AW1422" s="3" t="s">
        <v>18186</v>
      </c>
      <c r="AX1422" s="3" t="s">
        <v>18186</v>
      </c>
      <c r="AY1422" s="3" t="s">
        <v>18187</v>
      </c>
      <c r="AZ1422" s="3" t="s">
        <v>74</v>
      </c>
      <c r="BB1422" s="3" t="s">
        <v>18188</v>
      </c>
      <c r="BC1422" s="3" t="s">
        <v>18189</v>
      </c>
      <c r="BD1422" s="3" t="s">
        <v>18190</v>
      </c>
    </row>
    <row r="1423" spans="1:56" ht="42.75" customHeight="1" x14ac:dyDescent="0.25">
      <c r="A1423" s="7" t="s">
        <v>58</v>
      </c>
      <c r="B1423" s="2" t="s">
        <v>18191</v>
      </c>
      <c r="C1423" s="2" t="s">
        <v>18192</v>
      </c>
      <c r="D1423" s="2" t="s">
        <v>18193</v>
      </c>
      <c r="F1423" s="3" t="s">
        <v>58</v>
      </c>
      <c r="G1423" s="3" t="s">
        <v>59</v>
      </c>
      <c r="H1423" s="3" t="s">
        <v>58</v>
      </c>
      <c r="I1423" s="3" t="s">
        <v>58</v>
      </c>
      <c r="J1423" s="3" t="s">
        <v>60</v>
      </c>
      <c r="L1423" s="2" t="s">
        <v>18194</v>
      </c>
      <c r="M1423" s="3" t="s">
        <v>1361</v>
      </c>
      <c r="O1423" s="3" t="s">
        <v>64</v>
      </c>
      <c r="P1423" s="3" t="s">
        <v>115</v>
      </c>
      <c r="Q1423" s="2" t="s">
        <v>18195</v>
      </c>
      <c r="R1423" s="3" t="s">
        <v>67</v>
      </c>
      <c r="S1423" s="4">
        <v>1</v>
      </c>
      <c r="T1423" s="4">
        <v>1</v>
      </c>
      <c r="U1423" s="5" t="s">
        <v>18196</v>
      </c>
      <c r="V1423" s="5" t="s">
        <v>18196</v>
      </c>
      <c r="W1423" s="5" t="s">
        <v>18196</v>
      </c>
      <c r="X1423" s="5" t="s">
        <v>18196</v>
      </c>
      <c r="Y1423" s="4">
        <v>97</v>
      </c>
      <c r="Z1423" s="4">
        <v>79</v>
      </c>
      <c r="AA1423" s="4">
        <v>153</v>
      </c>
      <c r="AB1423" s="4">
        <v>4</v>
      </c>
      <c r="AC1423" s="4">
        <v>4</v>
      </c>
      <c r="AD1423" s="4">
        <v>8</v>
      </c>
      <c r="AE1423" s="4">
        <v>10</v>
      </c>
      <c r="AF1423" s="4">
        <v>3</v>
      </c>
      <c r="AG1423" s="4">
        <v>4</v>
      </c>
      <c r="AH1423" s="4">
        <v>0</v>
      </c>
      <c r="AI1423" s="4">
        <v>1</v>
      </c>
      <c r="AJ1423" s="4">
        <v>3</v>
      </c>
      <c r="AK1423" s="4">
        <v>3</v>
      </c>
      <c r="AL1423" s="4">
        <v>3</v>
      </c>
      <c r="AM1423" s="4">
        <v>3</v>
      </c>
      <c r="AN1423" s="4">
        <v>0</v>
      </c>
      <c r="AO1423" s="4">
        <v>0</v>
      </c>
      <c r="AP1423" s="3" t="s">
        <v>58</v>
      </c>
      <c r="AQ1423" s="3" t="s">
        <v>58</v>
      </c>
      <c r="AS1423" s="6" t="str">
        <f>HYPERLINK("https://creighton-primo.hosted.exlibrisgroup.com/primo-explore/search?tab=default_tab&amp;search_scope=EVERYTHING&amp;vid=01CRU&amp;lang=en_US&amp;offset=0&amp;query=any,contains,991005270489702656","Catalog Record")</f>
        <v>Catalog Record</v>
      </c>
      <c r="AT1423" s="6" t="str">
        <f>HYPERLINK("http://www.worldcat.org/oclc/64770959","WorldCat Record")</f>
        <v>WorldCat Record</v>
      </c>
      <c r="AU1423" s="3" t="s">
        <v>18197</v>
      </c>
      <c r="AV1423" s="3" t="s">
        <v>18198</v>
      </c>
      <c r="AW1423" s="3" t="s">
        <v>18199</v>
      </c>
      <c r="AX1423" s="3" t="s">
        <v>18199</v>
      </c>
      <c r="AY1423" s="3" t="s">
        <v>18200</v>
      </c>
      <c r="AZ1423" s="3" t="s">
        <v>74</v>
      </c>
      <c r="BB1423" s="3" t="s">
        <v>18201</v>
      </c>
      <c r="BC1423" s="3" t="s">
        <v>18202</v>
      </c>
      <c r="BD1423" s="3" t="s">
        <v>18203</v>
      </c>
    </row>
    <row r="1424" spans="1:56" ht="42.75" customHeight="1" x14ac:dyDescent="0.25">
      <c r="A1424" s="7" t="s">
        <v>58</v>
      </c>
      <c r="B1424" s="2" t="s">
        <v>18204</v>
      </c>
      <c r="C1424" s="2" t="s">
        <v>18205</v>
      </c>
      <c r="D1424" s="2" t="s">
        <v>18206</v>
      </c>
      <c r="F1424" s="3" t="s">
        <v>58</v>
      </c>
      <c r="G1424" s="3" t="s">
        <v>59</v>
      </c>
      <c r="H1424" s="3" t="s">
        <v>58</v>
      </c>
      <c r="I1424" s="3" t="s">
        <v>58</v>
      </c>
      <c r="J1424" s="3" t="s">
        <v>60</v>
      </c>
      <c r="K1424" s="2" t="s">
        <v>18207</v>
      </c>
      <c r="L1424" s="2" t="s">
        <v>18208</v>
      </c>
      <c r="M1424" s="3" t="s">
        <v>1141</v>
      </c>
      <c r="N1424" s="2" t="s">
        <v>1844</v>
      </c>
      <c r="O1424" s="3" t="s">
        <v>64</v>
      </c>
      <c r="P1424" s="3" t="s">
        <v>115</v>
      </c>
      <c r="Q1424" s="2" t="s">
        <v>2986</v>
      </c>
      <c r="R1424" s="3" t="s">
        <v>67</v>
      </c>
      <c r="S1424" s="4">
        <v>4</v>
      </c>
      <c r="T1424" s="4">
        <v>4</v>
      </c>
      <c r="U1424" s="5" t="s">
        <v>5904</v>
      </c>
      <c r="V1424" s="5" t="s">
        <v>5904</v>
      </c>
      <c r="W1424" s="5" t="s">
        <v>5904</v>
      </c>
      <c r="X1424" s="5" t="s">
        <v>5904</v>
      </c>
      <c r="Y1424" s="4">
        <v>547</v>
      </c>
      <c r="Z1424" s="4">
        <v>482</v>
      </c>
      <c r="AA1424" s="4">
        <v>629</v>
      </c>
      <c r="AB1424" s="4">
        <v>2</v>
      </c>
      <c r="AC1424" s="4">
        <v>2</v>
      </c>
      <c r="AD1424" s="4">
        <v>9</v>
      </c>
      <c r="AE1424" s="4">
        <v>9</v>
      </c>
      <c r="AF1424" s="4">
        <v>3</v>
      </c>
      <c r="AG1424" s="4">
        <v>3</v>
      </c>
      <c r="AH1424" s="4">
        <v>1</v>
      </c>
      <c r="AI1424" s="4">
        <v>1</v>
      </c>
      <c r="AJ1424" s="4">
        <v>5</v>
      </c>
      <c r="AK1424" s="4">
        <v>5</v>
      </c>
      <c r="AL1424" s="4">
        <v>1</v>
      </c>
      <c r="AM1424" s="4">
        <v>1</v>
      </c>
      <c r="AN1424" s="4">
        <v>0</v>
      </c>
      <c r="AO1424" s="4">
        <v>0</v>
      </c>
      <c r="AP1424" s="3" t="s">
        <v>58</v>
      </c>
      <c r="AQ1424" s="3" t="s">
        <v>58</v>
      </c>
      <c r="AS1424" s="6" t="str">
        <f>HYPERLINK("https://creighton-primo.hosted.exlibrisgroup.com/primo-explore/search?tab=default_tab&amp;search_scope=EVERYTHING&amp;vid=01CRU&amp;lang=en_US&amp;offset=0&amp;query=any,contains,991004251639702656","Catalog Record")</f>
        <v>Catalog Record</v>
      </c>
      <c r="AT1424" s="6" t="str">
        <f>HYPERLINK("http://www.worldcat.org/oclc/50694853","WorldCat Record")</f>
        <v>WorldCat Record</v>
      </c>
      <c r="AU1424" s="3" t="s">
        <v>18209</v>
      </c>
      <c r="AV1424" s="3" t="s">
        <v>18210</v>
      </c>
      <c r="AW1424" s="3" t="s">
        <v>18211</v>
      </c>
      <c r="AX1424" s="3" t="s">
        <v>18211</v>
      </c>
      <c r="AY1424" s="3" t="s">
        <v>18212</v>
      </c>
      <c r="AZ1424" s="3" t="s">
        <v>74</v>
      </c>
      <c r="BB1424" s="3" t="s">
        <v>18213</v>
      </c>
      <c r="BC1424" s="3" t="s">
        <v>18214</v>
      </c>
      <c r="BD1424" s="3" t="s">
        <v>18215</v>
      </c>
    </row>
    <row r="1425" spans="1:56" ht="42.75" customHeight="1" x14ac:dyDescent="0.25">
      <c r="A1425" s="7" t="s">
        <v>58</v>
      </c>
      <c r="B1425" s="2" t="s">
        <v>18216</v>
      </c>
      <c r="C1425" s="2" t="s">
        <v>18217</v>
      </c>
      <c r="D1425" s="2" t="s">
        <v>18218</v>
      </c>
      <c r="F1425" s="3" t="s">
        <v>58</v>
      </c>
      <c r="G1425" s="3" t="s">
        <v>59</v>
      </c>
      <c r="H1425" s="3" t="s">
        <v>58</v>
      </c>
      <c r="I1425" s="3" t="s">
        <v>58</v>
      </c>
      <c r="J1425" s="3" t="s">
        <v>60</v>
      </c>
      <c r="K1425" s="2" t="s">
        <v>18219</v>
      </c>
      <c r="L1425" s="2" t="s">
        <v>18220</v>
      </c>
      <c r="M1425" s="3" t="s">
        <v>144</v>
      </c>
      <c r="O1425" s="3" t="s">
        <v>64</v>
      </c>
      <c r="P1425" s="3" t="s">
        <v>1898</v>
      </c>
      <c r="Q1425" s="2" t="s">
        <v>18221</v>
      </c>
      <c r="R1425" s="3" t="s">
        <v>67</v>
      </c>
      <c r="S1425" s="4">
        <v>2</v>
      </c>
      <c r="T1425" s="4">
        <v>2</v>
      </c>
      <c r="U1425" s="5" t="s">
        <v>18222</v>
      </c>
      <c r="V1425" s="5" t="s">
        <v>18222</v>
      </c>
      <c r="W1425" s="5" t="s">
        <v>18223</v>
      </c>
      <c r="X1425" s="5" t="s">
        <v>18223</v>
      </c>
      <c r="Y1425" s="4">
        <v>189</v>
      </c>
      <c r="Z1425" s="4">
        <v>166</v>
      </c>
      <c r="AA1425" s="4">
        <v>175</v>
      </c>
      <c r="AB1425" s="4">
        <v>1</v>
      </c>
      <c r="AC1425" s="4">
        <v>1</v>
      </c>
      <c r="AD1425" s="4">
        <v>10</v>
      </c>
      <c r="AE1425" s="4">
        <v>11</v>
      </c>
      <c r="AF1425" s="4">
        <v>3</v>
      </c>
      <c r="AG1425" s="4">
        <v>4</v>
      </c>
      <c r="AH1425" s="4">
        <v>3</v>
      </c>
      <c r="AI1425" s="4">
        <v>3</v>
      </c>
      <c r="AJ1425" s="4">
        <v>6</v>
      </c>
      <c r="AK1425" s="4">
        <v>6</v>
      </c>
      <c r="AL1425" s="4">
        <v>0</v>
      </c>
      <c r="AM1425" s="4">
        <v>0</v>
      </c>
      <c r="AN1425" s="4">
        <v>0</v>
      </c>
      <c r="AO1425" s="4">
        <v>0</v>
      </c>
      <c r="AP1425" s="3" t="s">
        <v>58</v>
      </c>
      <c r="AQ1425" s="3" t="s">
        <v>58</v>
      </c>
      <c r="AS1425" s="6" t="str">
        <f>HYPERLINK("https://creighton-primo.hosted.exlibrisgroup.com/primo-explore/search?tab=default_tab&amp;search_scope=EVERYTHING&amp;vid=01CRU&amp;lang=en_US&amp;offset=0&amp;query=any,contains,991002683669702656","Catalog Record")</f>
        <v>Catalog Record</v>
      </c>
      <c r="AT1425" s="6" t="str">
        <f>HYPERLINK("http://www.worldcat.org/oclc/35068149","WorldCat Record")</f>
        <v>WorldCat Record</v>
      </c>
      <c r="AU1425" s="3" t="s">
        <v>18224</v>
      </c>
      <c r="AV1425" s="3" t="s">
        <v>18225</v>
      </c>
      <c r="AW1425" s="3" t="s">
        <v>18226</v>
      </c>
      <c r="AX1425" s="3" t="s">
        <v>18226</v>
      </c>
      <c r="AY1425" s="3" t="s">
        <v>18227</v>
      </c>
      <c r="AZ1425" s="3" t="s">
        <v>74</v>
      </c>
      <c r="BB1425" s="3" t="s">
        <v>18228</v>
      </c>
      <c r="BC1425" s="3" t="s">
        <v>18229</v>
      </c>
      <c r="BD1425" s="3" t="s">
        <v>18230</v>
      </c>
    </row>
    <row r="1426" spans="1:56" ht="42.75" customHeight="1" x14ac:dyDescent="0.25">
      <c r="A1426" s="7" t="s">
        <v>58</v>
      </c>
      <c r="B1426" s="2" t="s">
        <v>18231</v>
      </c>
      <c r="C1426" s="2" t="s">
        <v>18232</v>
      </c>
      <c r="D1426" s="2" t="s">
        <v>18233</v>
      </c>
      <c r="F1426" s="3" t="s">
        <v>58</v>
      </c>
      <c r="G1426" s="3" t="s">
        <v>59</v>
      </c>
      <c r="H1426" s="3" t="s">
        <v>58</v>
      </c>
      <c r="I1426" s="3" t="s">
        <v>58</v>
      </c>
      <c r="J1426" s="3" t="s">
        <v>60</v>
      </c>
      <c r="L1426" s="2" t="s">
        <v>18234</v>
      </c>
      <c r="M1426" s="3" t="s">
        <v>642</v>
      </c>
      <c r="O1426" s="3" t="s">
        <v>64</v>
      </c>
      <c r="P1426" s="3" t="s">
        <v>2893</v>
      </c>
      <c r="R1426" s="3" t="s">
        <v>67</v>
      </c>
      <c r="S1426" s="4">
        <v>20</v>
      </c>
      <c r="T1426" s="4">
        <v>20</v>
      </c>
      <c r="U1426" s="5" t="s">
        <v>18235</v>
      </c>
      <c r="V1426" s="5" t="s">
        <v>18235</v>
      </c>
      <c r="W1426" s="5" t="s">
        <v>18236</v>
      </c>
      <c r="X1426" s="5" t="s">
        <v>18236</v>
      </c>
      <c r="Y1426" s="4">
        <v>380</v>
      </c>
      <c r="Z1426" s="4">
        <v>337</v>
      </c>
      <c r="AA1426" s="4">
        <v>343</v>
      </c>
      <c r="AB1426" s="4">
        <v>3</v>
      </c>
      <c r="AC1426" s="4">
        <v>3</v>
      </c>
      <c r="AD1426" s="4">
        <v>17</v>
      </c>
      <c r="AE1426" s="4">
        <v>17</v>
      </c>
      <c r="AF1426" s="4">
        <v>5</v>
      </c>
      <c r="AG1426" s="4">
        <v>5</v>
      </c>
      <c r="AH1426" s="4">
        <v>4</v>
      </c>
      <c r="AI1426" s="4">
        <v>4</v>
      </c>
      <c r="AJ1426" s="4">
        <v>10</v>
      </c>
      <c r="AK1426" s="4">
        <v>10</v>
      </c>
      <c r="AL1426" s="4">
        <v>2</v>
      </c>
      <c r="AM1426" s="4">
        <v>2</v>
      </c>
      <c r="AN1426" s="4">
        <v>0</v>
      </c>
      <c r="AO1426" s="4">
        <v>0</v>
      </c>
      <c r="AP1426" s="3" t="s">
        <v>58</v>
      </c>
      <c r="AQ1426" s="3" t="s">
        <v>86</v>
      </c>
      <c r="AR1426" s="6" t="str">
        <f>HYPERLINK("http://catalog.hathitrust.org/Record/002617753","HathiTrust Record")</f>
        <v>HathiTrust Record</v>
      </c>
      <c r="AS1426" s="6" t="str">
        <f>HYPERLINK("https://creighton-primo.hosted.exlibrisgroup.com/primo-explore/search?tab=default_tab&amp;search_scope=EVERYTHING&amp;vid=01CRU&amp;lang=en_US&amp;offset=0&amp;query=any,contains,991002039579702656","Catalog Record")</f>
        <v>Catalog Record</v>
      </c>
      <c r="AT1426" s="6" t="str">
        <f>HYPERLINK("http://www.worldcat.org/oclc/26013603","WorldCat Record")</f>
        <v>WorldCat Record</v>
      </c>
      <c r="AU1426" s="3" t="s">
        <v>18237</v>
      </c>
      <c r="AV1426" s="3" t="s">
        <v>18238</v>
      </c>
      <c r="AW1426" s="3" t="s">
        <v>18239</v>
      </c>
      <c r="AX1426" s="3" t="s">
        <v>18239</v>
      </c>
      <c r="AY1426" s="3" t="s">
        <v>18240</v>
      </c>
      <c r="AZ1426" s="3" t="s">
        <v>74</v>
      </c>
      <c r="BB1426" s="3" t="s">
        <v>18241</v>
      </c>
      <c r="BC1426" s="3" t="s">
        <v>18242</v>
      </c>
      <c r="BD1426" s="3" t="s">
        <v>18243</v>
      </c>
    </row>
    <row r="1427" spans="1:56" ht="42.75" customHeight="1" x14ac:dyDescent="0.25">
      <c r="A1427" s="7" t="s">
        <v>58</v>
      </c>
      <c r="B1427" s="2" t="s">
        <v>18244</v>
      </c>
      <c r="C1427" s="2" t="s">
        <v>18245</v>
      </c>
      <c r="D1427" s="2" t="s">
        <v>18246</v>
      </c>
      <c r="F1427" s="3" t="s">
        <v>58</v>
      </c>
      <c r="G1427" s="3" t="s">
        <v>59</v>
      </c>
      <c r="H1427" s="3" t="s">
        <v>58</v>
      </c>
      <c r="I1427" s="3" t="s">
        <v>58</v>
      </c>
      <c r="J1427" s="3" t="s">
        <v>60</v>
      </c>
      <c r="L1427" s="2" t="s">
        <v>18247</v>
      </c>
      <c r="M1427" s="3" t="s">
        <v>805</v>
      </c>
      <c r="N1427" s="2" t="s">
        <v>1844</v>
      </c>
      <c r="O1427" s="3" t="s">
        <v>64</v>
      </c>
      <c r="P1427" s="3" t="s">
        <v>115</v>
      </c>
      <c r="R1427" s="3" t="s">
        <v>67</v>
      </c>
      <c r="S1427" s="4">
        <v>11</v>
      </c>
      <c r="T1427" s="4">
        <v>11</v>
      </c>
      <c r="U1427" s="5" t="s">
        <v>18248</v>
      </c>
      <c r="V1427" s="5" t="s">
        <v>18248</v>
      </c>
      <c r="W1427" s="5" t="s">
        <v>18249</v>
      </c>
      <c r="X1427" s="5" t="s">
        <v>18249</v>
      </c>
      <c r="Y1427" s="4">
        <v>333</v>
      </c>
      <c r="Z1427" s="4">
        <v>287</v>
      </c>
      <c r="AA1427" s="4">
        <v>417</v>
      </c>
      <c r="AB1427" s="4">
        <v>2</v>
      </c>
      <c r="AC1427" s="4">
        <v>2</v>
      </c>
      <c r="AD1427" s="4">
        <v>18</v>
      </c>
      <c r="AE1427" s="4">
        <v>22</v>
      </c>
      <c r="AF1427" s="4">
        <v>5</v>
      </c>
      <c r="AG1427" s="4">
        <v>8</v>
      </c>
      <c r="AH1427" s="4">
        <v>3</v>
      </c>
      <c r="AI1427" s="4">
        <v>3</v>
      </c>
      <c r="AJ1427" s="4">
        <v>7</v>
      </c>
      <c r="AK1427" s="4">
        <v>10</v>
      </c>
      <c r="AL1427" s="4">
        <v>1</v>
      </c>
      <c r="AM1427" s="4">
        <v>1</v>
      </c>
      <c r="AN1427" s="4">
        <v>4</v>
      </c>
      <c r="AO1427" s="4">
        <v>5</v>
      </c>
      <c r="AP1427" s="3" t="s">
        <v>58</v>
      </c>
      <c r="AQ1427" s="3" t="s">
        <v>58</v>
      </c>
      <c r="AS1427" s="6" t="str">
        <f>HYPERLINK("https://creighton-primo.hosted.exlibrisgroup.com/primo-explore/search?tab=default_tab&amp;search_scope=EVERYTHING&amp;vid=01CRU&amp;lang=en_US&amp;offset=0&amp;query=any,contains,991002618439702656","Catalog Record")</f>
        <v>Catalog Record</v>
      </c>
      <c r="AT1427" s="6" t="str">
        <f>HYPERLINK("http://www.worldcat.org/oclc/34320398","WorldCat Record")</f>
        <v>WorldCat Record</v>
      </c>
      <c r="AU1427" s="3" t="s">
        <v>18250</v>
      </c>
      <c r="AV1427" s="3" t="s">
        <v>18251</v>
      </c>
      <c r="AW1427" s="3" t="s">
        <v>18252</v>
      </c>
      <c r="AX1427" s="3" t="s">
        <v>18252</v>
      </c>
      <c r="AY1427" s="3" t="s">
        <v>18253</v>
      </c>
      <c r="AZ1427" s="3" t="s">
        <v>74</v>
      </c>
      <c r="BB1427" s="3" t="s">
        <v>18254</v>
      </c>
      <c r="BC1427" s="3" t="s">
        <v>18255</v>
      </c>
      <c r="BD1427" s="3" t="s">
        <v>18256</v>
      </c>
    </row>
    <row r="1428" spans="1:56" ht="42.75" customHeight="1" x14ac:dyDescent="0.25">
      <c r="A1428" s="7" t="s">
        <v>58</v>
      </c>
      <c r="B1428" s="2" t="s">
        <v>18257</v>
      </c>
      <c r="C1428" s="2" t="s">
        <v>18258</v>
      </c>
      <c r="D1428" s="2" t="s">
        <v>18259</v>
      </c>
      <c r="F1428" s="3" t="s">
        <v>58</v>
      </c>
      <c r="G1428" s="3" t="s">
        <v>59</v>
      </c>
      <c r="H1428" s="3" t="s">
        <v>58</v>
      </c>
      <c r="I1428" s="3" t="s">
        <v>58</v>
      </c>
      <c r="J1428" s="3" t="s">
        <v>60</v>
      </c>
      <c r="L1428" s="2" t="s">
        <v>16627</v>
      </c>
      <c r="M1428" s="3" t="s">
        <v>480</v>
      </c>
      <c r="O1428" s="3" t="s">
        <v>64</v>
      </c>
      <c r="P1428" s="3" t="s">
        <v>115</v>
      </c>
      <c r="R1428" s="3" t="s">
        <v>67</v>
      </c>
      <c r="S1428" s="4">
        <v>18</v>
      </c>
      <c r="T1428" s="4">
        <v>18</v>
      </c>
      <c r="U1428" s="5" t="s">
        <v>467</v>
      </c>
      <c r="V1428" s="5" t="s">
        <v>467</v>
      </c>
      <c r="W1428" s="5" t="s">
        <v>4552</v>
      </c>
      <c r="X1428" s="5" t="s">
        <v>4552</v>
      </c>
      <c r="Y1428" s="4">
        <v>216</v>
      </c>
      <c r="Z1428" s="4">
        <v>177</v>
      </c>
      <c r="AA1428" s="4">
        <v>177</v>
      </c>
      <c r="AB1428" s="4">
        <v>1</v>
      </c>
      <c r="AC1428" s="4">
        <v>1</v>
      </c>
      <c r="AD1428" s="4">
        <v>9</v>
      </c>
      <c r="AE1428" s="4">
        <v>9</v>
      </c>
      <c r="AF1428" s="4">
        <v>2</v>
      </c>
      <c r="AG1428" s="4">
        <v>2</v>
      </c>
      <c r="AH1428" s="4">
        <v>2</v>
      </c>
      <c r="AI1428" s="4">
        <v>2</v>
      </c>
      <c r="AJ1428" s="4">
        <v>7</v>
      </c>
      <c r="AK1428" s="4">
        <v>7</v>
      </c>
      <c r="AL1428" s="4">
        <v>0</v>
      </c>
      <c r="AM1428" s="4">
        <v>0</v>
      </c>
      <c r="AN1428" s="4">
        <v>1</v>
      </c>
      <c r="AO1428" s="4">
        <v>1</v>
      </c>
      <c r="AP1428" s="3" t="s">
        <v>58</v>
      </c>
      <c r="AQ1428" s="3" t="s">
        <v>58</v>
      </c>
      <c r="AS1428" s="6" t="str">
        <f>HYPERLINK("https://creighton-primo.hosted.exlibrisgroup.com/primo-explore/search?tab=default_tab&amp;search_scope=EVERYTHING&amp;vid=01CRU&amp;lang=en_US&amp;offset=0&amp;query=any,contains,991001482719702656","Catalog Record")</f>
        <v>Catalog Record</v>
      </c>
      <c r="AT1428" s="6" t="str">
        <f>HYPERLINK("http://www.worldcat.org/oclc/19628313","WorldCat Record")</f>
        <v>WorldCat Record</v>
      </c>
      <c r="AU1428" s="3" t="s">
        <v>18260</v>
      </c>
      <c r="AV1428" s="3" t="s">
        <v>18261</v>
      </c>
      <c r="AW1428" s="3" t="s">
        <v>18262</v>
      </c>
      <c r="AX1428" s="3" t="s">
        <v>18262</v>
      </c>
      <c r="AY1428" s="3" t="s">
        <v>18263</v>
      </c>
      <c r="AZ1428" s="3" t="s">
        <v>74</v>
      </c>
      <c r="BB1428" s="3" t="s">
        <v>18264</v>
      </c>
      <c r="BC1428" s="3" t="s">
        <v>18265</v>
      </c>
      <c r="BD1428" s="3" t="s">
        <v>18266</v>
      </c>
    </row>
    <row r="1429" spans="1:56" ht="42.75" customHeight="1" x14ac:dyDescent="0.25">
      <c r="A1429" s="7" t="s">
        <v>58</v>
      </c>
      <c r="B1429" s="2" t="s">
        <v>18267</v>
      </c>
      <c r="C1429" s="2" t="s">
        <v>18268</v>
      </c>
      <c r="D1429" s="2" t="s">
        <v>18269</v>
      </c>
      <c r="F1429" s="3" t="s">
        <v>58</v>
      </c>
      <c r="G1429" s="3" t="s">
        <v>59</v>
      </c>
      <c r="H1429" s="3" t="s">
        <v>58</v>
      </c>
      <c r="I1429" s="3" t="s">
        <v>58</v>
      </c>
      <c r="J1429" s="3" t="s">
        <v>60</v>
      </c>
      <c r="L1429" s="2" t="s">
        <v>18270</v>
      </c>
      <c r="M1429" s="3" t="s">
        <v>737</v>
      </c>
      <c r="O1429" s="3" t="s">
        <v>64</v>
      </c>
      <c r="P1429" s="3" t="s">
        <v>316</v>
      </c>
      <c r="R1429" s="3" t="s">
        <v>67</v>
      </c>
      <c r="S1429" s="4">
        <v>17</v>
      </c>
      <c r="T1429" s="4">
        <v>17</v>
      </c>
      <c r="U1429" s="5" t="s">
        <v>16149</v>
      </c>
      <c r="V1429" s="5" t="s">
        <v>16149</v>
      </c>
      <c r="W1429" s="5" t="s">
        <v>18271</v>
      </c>
      <c r="X1429" s="5" t="s">
        <v>18271</v>
      </c>
      <c r="Y1429" s="4">
        <v>374</v>
      </c>
      <c r="Z1429" s="4">
        <v>337</v>
      </c>
      <c r="AA1429" s="4">
        <v>562</v>
      </c>
      <c r="AB1429" s="4">
        <v>1</v>
      </c>
      <c r="AC1429" s="4">
        <v>1</v>
      </c>
      <c r="AD1429" s="4">
        <v>21</v>
      </c>
      <c r="AE1429" s="4">
        <v>27</v>
      </c>
      <c r="AF1429" s="4">
        <v>7</v>
      </c>
      <c r="AG1429" s="4">
        <v>10</v>
      </c>
      <c r="AH1429" s="4">
        <v>5</v>
      </c>
      <c r="AI1429" s="4">
        <v>7</v>
      </c>
      <c r="AJ1429" s="4">
        <v>9</v>
      </c>
      <c r="AK1429" s="4">
        <v>12</v>
      </c>
      <c r="AL1429" s="4">
        <v>0</v>
      </c>
      <c r="AM1429" s="4">
        <v>0</v>
      </c>
      <c r="AN1429" s="4">
        <v>6</v>
      </c>
      <c r="AO1429" s="4">
        <v>6</v>
      </c>
      <c r="AP1429" s="3" t="s">
        <v>58</v>
      </c>
      <c r="AQ1429" s="3" t="s">
        <v>58</v>
      </c>
      <c r="AS1429" s="6" t="str">
        <f>HYPERLINK("https://creighton-primo.hosted.exlibrisgroup.com/primo-explore/search?tab=default_tab&amp;search_scope=EVERYTHING&amp;vid=01CRU&amp;lang=en_US&amp;offset=0&amp;query=any,contains,991002266629702656","Catalog Record")</f>
        <v>Catalog Record</v>
      </c>
      <c r="AT1429" s="6" t="str">
        <f>HYPERLINK("http://www.worldcat.org/oclc/29390396","WorldCat Record")</f>
        <v>WorldCat Record</v>
      </c>
      <c r="AU1429" s="3" t="s">
        <v>18272</v>
      </c>
      <c r="AV1429" s="3" t="s">
        <v>18273</v>
      </c>
      <c r="AW1429" s="3" t="s">
        <v>18274</v>
      </c>
      <c r="AX1429" s="3" t="s">
        <v>18274</v>
      </c>
      <c r="AY1429" s="3" t="s">
        <v>18275</v>
      </c>
      <c r="AZ1429" s="3" t="s">
        <v>74</v>
      </c>
      <c r="BB1429" s="3" t="s">
        <v>18276</v>
      </c>
      <c r="BC1429" s="3" t="s">
        <v>18277</v>
      </c>
      <c r="BD1429" s="3" t="s">
        <v>18278</v>
      </c>
    </row>
    <row r="1430" spans="1:56" ht="42.75" customHeight="1" x14ac:dyDescent="0.25">
      <c r="A1430" s="7" t="s">
        <v>58</v>
      </c>
      <c r="B1430" s="2" t="s">
        <v>18279</v>
      </c>
      <c r="C1430" s="2" t="s">
        <v>18280</v>
      </c>
      <c r="D1430" s="2" t="s">
        <v>18281</v>
      </c>
      <c r="F1430" s="3" t="s">
        <v>58</v>
      </c>
      <c r="G1430" s="3" t="s">
        <v>59</v>
      </c>
      <c r="H1430" s="3" t="s">
        <v>58</v>
      </c>
      <c r="I1430" s="3" t="s">
        <v>58</v>
      </c>
      <c r="J1430" s="3" t="s">
        <v>60</v>
      </c>
      <c r="L1430" s="2" t="s">
        <v>18282</v>
      </c>
      <c r="M1430" s="3" t="s">
        <v>586</v>
      </c>
      <c r="O1430" s="3" t="s">
        <v>64</v>
      </c>
      <c r="P1430" s="3" t="s">
        <v>115</v>
      </c>
      <c r="R1430" s="3" t="s">
        <v>67</v>
      </c>
      <c r="S1430" s="4">
        <v>35</v>
      </c>
      <c r="T1430" s="4">
        <v>35</v>
      </c>
      <c r="U1430" s="5" t="s">
        <v>18283</v>
      </c>
      <c r="V1430" s="5" t="s">
        <v>18283</v>
      </c>
      <c r="W1430" s="5" t="s">
        <v>10583</v>
      </c>
      <c r="X1430" s="5" t="s">
        <v>10583</v>
      </c>
      <c r="Y1430" s="4">
        <v>534</v>
      </c>
      <c r="Z1430" s="4">
        <v>472</v>
      </c>
      <c r="AA1430" s="4">
        <v>489</v>
      </c>
      <c r="AB1430" s="4">
        <v>1</v>
      </c>
      <c r="AC1430" s="4">
        <v>1</v>
      </c>
      <c r="AD1430" s="4">
        <v>12</v>
      </c>
      <c r="AE1430" s="4">
        <v>14</v>
      </c>
      <c r="AF1430" s="4">
        <v>2</v>
      </c>
      <c r="AG1430" s="4">
        <v>3</v>
      </c>
      <c r="AH1430" s="4">
        <v>1</v>
      </c>
      <c r="AI1430" s="4">
        <v>2</v>
      </c>
      <c r="AJ1430" s="4">
        <v>9</v>
      </c>
      <c r="AK1430" s="4">
        <v>9</v>
      </c>
      <c r="AL1430" s="4">
        <v>0</v>
      </c>
      <c r="AM1430" s="4">
        <v>0</v>
      </c>
      <c r="AN1430" s="4">
        <v>1</v>
      </c>
      <c r="AO1430" s="4">
        <v>1</v>
      </c>
      <c r="AP1430" s="3" t="s">
        <v>58</v>
      </c>
      <c r="AQ1430" s="3" t="s">
        <v>86</v>
      </c>
      <c r="AR1430" s="6" t="str">
        <f>HYPERLINK("http://catalog.hathitrust.org/Record/002465059","HathiTrust Record")</f>
        <v>HathiTrust Record</v>
      </c>
      <c r="AS1430" s="6" t="str">
        <f>HYPERLINK("https://creighton-primo.hosted.exlibrisgroup.com/primo-explore/search?tab=default_tab&amp;search_scope=EVERYTHING&amp;vid=01CRU&amp;lang=en_US&amp;offset=0&amp;query=any,contains,991001792019702656","Catalog Record")</f>
        <v>Catalog Record</v>
      </c>
      <c r="AT1430" s="6" t="str">
        <f>HYPERLINK("http://www.worldcat.org/oclc/22544616","WorldCat Record")</f>
        <v>WorldCat Record</v>
      </c>
      <c r="AU1430" s="3" t="s">
        <v>18284</v>
      </c>
      <c r="AV1430" s="3" t="s">
        <v>18285</v>
      </c>
      <c r="AW1430" s="3" t="s">
        <v>18286</v>
      </c>
      <c r="AX1430" s="3" t="s">
        <v>18286</v>
      </c>
      <c r="AY1430" s="3" t="s">
        <v>18287</v>
      </c>
      <c r="AZ1430" s="3" t="s">
        <v>74</v>
      </c>
      <c r="BB1430" s="3" t="s">
        <v>18288</v>
      </c>
      <c r="BC1430" s="3" t="s">
        <v>18289</v>
      </c>
      <c r="BD1430" s="3" t="s">
        <v>18290</v>
      </c>
    </row>
    <row r="1431" spans="1:56" ht="42.75" customHeight="1" x14ac:dyDescent="0.25">
      <c r="A1431" s="7" t="s">
        <v>58</v>
      </c>
      <c r="B1431" s="2" t="s">
        <v>18291</v>
      </c>
      <c r="C1431" s="2" t="s">
        <v>18292</v>
      </c>
      <c r="D1431" s="2" t="s">
        <v>18293</v>
      </c>
      <c r="F1431" s="3" t="s">
        <v>58</v>
      </c>
      <c r="G1431" s="3" t="s">
        <v>59</v>
      </c>
      <c r="H1431" s="3" t="s">
        <v>58</v>
      </c>
      <c r="I1431" s="3" t="s">
        <v>58</v>
      </c>
      <c r="J1431" s="3" t="s">
        <v>60</v>
      </c>
      <c r="K1431" s="2" t="s">
        <v>18294</v>
      </c>
      <c r="L1431" s="2" t="s">
        <v>18295</v>
      </c>
      <c r="M1431" s="3" t="s">
        <v>805</v>
      </c>
      <c r="O1431" s="3" t="s">
        <v>64</v>
      </c>
      <c r="P1431" s="3" t="s">
        <v>115</v>
      </c>
      <c r="R1431" s="3" t="s">
        <v>67</v>
      </c>
      <c r="S1431" s="4">
        <v>5</v>
      </c>
      <c r="T1431" s="4">
        <v>5</v>
      </c>
      <c r="U1431" s="5" t="s">
        <v>18296</v>
      </c>
      <c r="V1431" s="5" t="s">
        <v>18296</v>
      </c>
      <c r="W1431" s="5" t="s">
        <v>793</v>
      </c>
      <c r="X1431" s="5" t="s">
        <v>793</v>
      </c>
      <c r="Y1431" s="4">
        <v>250</v>
      </c>
      <c r="Z1431" s="4">
        <v>230</v>
      </c>
      <c r="AA1431" s="4">
        <v>236</v>
      </c>
      <c r="AB1431" s="4">
        <v>1</v>
      </c>
      <c r="AC1431" s="4">
        <v>1</v>
      </c>
      <c r="AD1431" s="4">
        <v>11</v>
      </c>
      <c r="AE1431" s="4">
        <v>11</v>
      </c>
      <c r="AF1431" s="4">
        <v>3</v>
      </c>
      <c r="AG1431" s="4">
        <v>3</v>
      </c>
      <c r="AH1431" s="4">
        <v>3</v>
      </c>
      <c r="AI1431" s="4">
        <v>3</v>
      </c>
      <c r="AJ1431" s="4">
        <v>9</v>
      </c>
      <c r="AK1431" s="4">
        <v>9</v>
      </c>
      <c r="AL1431" s="4">
        <v>0</v>
      </c>
      <c r="AM1431" s="4">
        <v>0</v>
      </c>
      <c r="AN1431" s="4">
        <v>0</v>
      </c>
      <c r="AO1431" s="4">
        <v>0</v>
      </c>
      <c r="AP1431" s="3" t="s">
        <v>58</v>
      </c>
      <c r="AQ1431" s="3" t="s">
        <v>86</v>
      </c>
      <c r="AR1431" s="6" t="str">
        <f>HYPERLINK("http://catalog.hathitrust.org/Record/003124527","HathiTrust Record")</f>
        <v>HathiTrust Record</v>
      </c>
      <c r="AS1431" s="6" t="str">
        <f>HYPERLINK("https://creighton-primo.hosted.exlibrisgroup.com/primo-explore/search?tab=default_tab&amp;search_scope=EVERYTHING&amp;vid=01CRU&amp;lang=en_US&amp;offset=0&amp;query=any,contains,991002649809702656","Catalog Record")</f>
        <v>Catalog Record</v>
      </c>
      <c r="AT1431" s="6" t="str">
        <f>HYPERLINK("http://www.worldcat.org/oclc/34669041","WorldCat Record")</f>
        <v>WorldCat Record</v>
      </c>
      <c r="AU1431" s="3" t="s">
        <v>18297</v>
      </c>
      <c r="AV1431" s="3" t="s">
        <v>18298</v>
      </c>
      <c r="AW1431" s="3" t="s">
        <v>18299</v>
      </c>
      <c r="AX1431" s="3" t="s">
        <v>18299</v>
      </c>
      <c r="AY1431" s="3" t="s">
        <v>18300</v>
      </c>
      <c r="AZ1431" s="3" t="s">
        <v>74</v>
      </c>
      <c r="BB1431" s="3" t="s">
        <v>18301</v>
      </c>
      <c r="BC1431" s="3" t="s">
        <v>18302</v>
      </c>
      <c r="BD1431" s="3" t="s">
        <v>18303</v>
      </c>
    </row>
    <row r="1432" spans="1:56" ht="42.75" customHeight="1" x14ac:dyDescent="0.25">
      <c r="A1432" s="7" t="s">
        <v>58</v>
      </c>
      <c r="B1432" s="2" t="s">
        <v>18304</v>
      </c>
      <c r="C1432" s="2" t="s">
        <v>18305</v>
      </c>
      <c r="D1432" s="2" t="s">
        <v>18306</v>
      </c>
      <c r="F1432" s="3" t="s">
        <v>58</v>
      </c>
      <c r="G1432" s="3" t="s">
        <v>59</v>
      </c>
      <c r="H1432" s="3" t="s">
        <v>58</v>
      </c>
      <c r="I1432" s="3" t="s">
        <v>58</v>
      </c>
      <c r="J1432" s="3" t="s">
        <v>60</v>
      </c>
      <c r="K1432" s="2" t="s">
        <v>18307</v>
      </c>
      <c r="L1432" s="2" t="s">
        <v>18308</v>
      </c>
      <c r="M1432" s="3" t="s">
        <v>534</v>
      </c>
      <c r="N1432" s="2" t="s">
        <v>1736</v>
      </c>
      <c r="O1432" s="3" t="s">
        <v>64</v>
      </c>
      <c r="P1432" s="3" t="s">
        <v>115</v>
      </c>
      <c r="R1432" s="3" t="s">
        <v>67</v>
      </c>
      <c r="S1432" s="4">
        <v>16</v>
      </c>
      <c r="T1432" s="4">
        <v>16</v>
      </c>
      <c r="U1432" s="5" t="s">
        <v>18309</v>
      </c>
      <c r="V1432" s="5" t="s">
        <v>18309</v>
      </c>
      <c r="W1432" s="5" t="s">
        <v>18310</v>
      </c>
      <c r="X1432" s="5" t="s">
        <v>18310</v>
      </c>
      <c r="Y1432" s="4">
        <v>523</v>
      </c>
      <c r="Z1432" s="4">
        <v>487</v>
      </c>
      <c r="AA1432" s="4">
        <v>566</v>
      </c>
      <c r="AB1432" s="4">
        <v>3</v>
      </c>
      <c r="AC1432" s="4">
        <v>3</v>
      </c>
      <c r="AD1432" s="4">
        <v>5</v>
      </c>
      <c r="AE1432" s="4">
        <v>7</v>
      </c>
      <c r="AF1432" s="4">
        <v>0</v>
      </c>
      <c r="AG1432" s="4">
        <v>0</v>
      </c>
      <c r="AH1432" s="4">
        <v>1</v>
      </c>
      <c r="AI1432" s="4">
        <v>1</v>
      </c>
      <c r="AJ1432" s="4">
        <v>3</v>
      </c>
      <c r="AK1432" s="4">
        <v>5</v>
      </c>
      <c r="AL1432" s="4">
        <v>0</v>
      </c>
      <c r="AM1432" s="4">
        <v>0</v>
      </c>
      <c r="AN1432" s="4">
        <v>1</v>
      </c>
      <c r="AO1432" s="4">
        <v>1</v>
      </c>
      <c r="AP1432" s="3" t="s">
        <v>58</v>
      </c>
      <c r="AQ1432" s="3" t="s">
        <v>58</v>
      </c>
      <c r="AS1432" s="6" t="str">
        <f>HYPERLINK("https://creighton-primo.hosted.exlibrisgroup.com/primo-explore/search?tab=default_tab&amp;search_scope=EVERYTHING&amp;vid=01CRU&amp;lang=en_US&amp;offset=0&amp;query=any,contains,991001663499702656","Catalog Record")</f>
        <v>Catalog Record</v>
      </c>
      <c r="AT1432" s="6" t="str">
        <f>HYPERLINK("http://www.worldcat.org/oclc/21036093","WorldCat Record")</f>
        <v>WorldCat Record</v>
      </c>
      <c r="AU1432" s="3" t="s">
        <v>18311</v>
      </c>
      <c r="AV1432" s="3" t="s">
        <v>18312</v>
      </c>
      <c r="AW1432" s="3" t="s">
        <v>18313</v>
      </c>
      <c r="AX1432" s="3" t="s">
        <v>18313</v>
      </c>
      <c r="AY1432" s="3" t="s">
        <v>18314</v>
      </c>
      <c r="AZ1432" s="3" t="s">
        <v>74</v>
      </c>
      <c r="BB1432" s="3" t="s">
        <v>18315</v>
      </c>
      <c r="BC1432" s="3" t="s">
        <v>18316</v>
      </c>
      <c r="BD1432" s="3" t="s">
        <v>18317</v>
      </c>
    </row>
    <row r="1433" spans="1:56" ht="42.75" customHeight="1" x14ac:dyDescent="0.25">
      <c r="A1433" s="7" t="s">
        <v>58</v>
      </c>
      <c r="B1433" s="2" t="s">
        <v>18318</v>
      </c>
      <c r="C1433" s="2" t="s">
        <v>18319</v>
      </c>
      <c r="D1433" s="2" t="s">
        <v>18320</v>
      </c>
      <c r="F1433" s="3" t="s">
        <v>58</v>
      </c>
      <c r="G1433" s="3" t="s">
        <v>59</v>
      </c>
      <c r="H1433" s="3" t="s">
        <v>58</v>
      </c>
      <c r="I1433" s="3" t="s">
        <v>58</v>
      </c>
      <c r="J1433" s="3" t="s">
        <v>60</v>
      </c>
      <c r="K1433" s="2" t="s">
        <v>18321</v>
      </c>
      <c r="L1433" s="2" t="s">
        <v>18322</v>
      </c>
      <c r="M1433" s="3" t="s">
        <v>98</v>
      </c>
      <c r="O1433" s="3" t="s">
        <v>64</v>
      </c>
      <c r="P1433" s="3" t="s">
        <v>99</v>
      </c>
      <c r="R1433" s="3" t="s">
        <v>67</v>
      </c>
      <c r="S1433" s="4">
        <v>17</v>
      </c>
      <c r="T1433" s="4">
        <v>17</v>
      </c>
      <c r="U1433" s="5" t="s">
        <v>18323</v>
      </c>
      <c r="V1433" s="5" t="s">
        <v>18323</v>
      </c>
      <c r="W1433" s="5" t="s">
        <v>1576</v>
      </c>
      <c r="X1433" s="5" t="s">
        <v>1576</v>
      </c>
      <c r="Y1433" s="4">
        <v>317</v>
      </c>
      <c r="Z1433" s="4">
        <v>294</v>
      </c>
      <c r="AA1433" s="4">
        <v>299</v>
      </c>
      <c r="AB1433" s="4">
        <v>4</v>
      </c>
      <c r="AC1433" s="4">
        <v>4</v>
      </c>
      <c r="AD1433" s="4">
        <v>10</v>
      </c>
      <c r="AE1433" s="4">
        <v>10</v>
      </c>
      <c r="AF1433" s="4">
        <v>2</v>
      </c>
      <c r="AG1433" s="4">
        <v>2</v>
      </c>
      <c r="AH1433" s="4">
        <v>3</v>
      </c>
      <c r="AI1433" s="4">
        <v>3</v>
      </c>
      <c r="AJ1433" s="4">
        <v>3</v>
      </c>
      <c r="AK1433" s="4">
        <v>3</v>
      </c>
      <c r="AL1433" s="4">
        <v>2</v>
      </c>
      <c r="AM1433" s="4">
        <v>2</v>
      </c>
      <c r="AN1433" s="4">
        <v>1</v>
      </c>
      <c r="AO1433" s="4">
        <v>1</v>
      </c>
      <c r="AP1433" s="3" t="s">
        <v>58</v>
      </c>
      <c r="AQ1433" s="3" t="s">
        <v>58</v>
      </c>
      <c r="AS1433" s="6" t="str">
        <f>HYPERLINK("https://creighton-primo.hosted.exlibrisgroup.com/primo-explore/search?tab=default_tab&amp;search_scope=EVERYTHING&amp;vid=01CRU&amp;lang=en_US&amp;offset=0&amp;query=any,contains,991001200289702656","Catalog Record")</f>
        <v>Catalog Record</v>
      </c>
      <c r="AT1433" s="6" t="str">
        <f>HYPERLINK("http://www.worldcat.org/oclc/17300751","WorldCat Record")</f>
        <v>WorldCat Record</v>
      </c>
      <c r="AU1433" s="3" t="s">
        <v>18324</v>
      </c>
      <c r="AV1433" s="3" t="s">
        <v>18325</v>
      </c>
      <c r="AW1433" s="3" t="s">
        <v>18326</v>
      </c>
      <c r="AX1433" s="3" t="s">
        <v>18326</v>
      </c>
      <c r="AY1433" s="3" t="s">
        <v>18327</v>
      </c>
      <c r="AZ1433" s="3" t="s">
        <v>74</v>
      </c>
      <c r="BB1433" s="3" t="s">
        <v>18328</v>
      </c>
      <c r="BC1433" s="3" t="s">
        <v>18329</v>
      </c>
      <c r="BD1433" s="3" t="s">
        <v>18330</v>
      </c>
    </row>
    <row r="1434" spans="1:56" ht="42.75" customHeight="1" x14ac:dyDescent="0.25">
      <c r="A1434" s="7" t="s">
        <v>58</v>
      </c>
      <c r="B1434" s="2" t="s">
        <v>18331</v>
      </c>
      <c r="C1434" s="2" t="s">
        <v>18332</v>
      </c>
      <c r="D1434" s="2" t="s">
        <v>18333</v>
      </c>
      <c r="F1434" s="3" t="s">
        <v>58</v>
      </c>
      <c r="G1434" s="3" t="s">
        <v>59</v>
      </c>
      <c r="H1434" s="3" t="s">
        <v>58</v>
      </c>
      <c r="I1434" s="3" t="s">
        <v>58</v>
      </c>
      <c r="J1434" s="3" t="s">
        <v>60</v>
      </c>
      <c r="K1434" s="2" t="s">
        <v>18334</v>
      </c>
      <c r="L1434" s="2" t="s">
        <v>18335</v>
      </c>
      <c r="M1434" s="3" t="s">
        <v>534</v>
      </c>
      <c r="O1434" s="3" t="s">
        <v>64</v>
      </c>
      <c r="P1434" s="3" t="s">
        <v>145</v>
      </c>
      <c r="Q1434" s="2" t="s">
        <v>18336</v>
      </c>
      <c r="R1434" s="3" t="s">
        <v>67</v>
      </c>
      <c r="S1434" s="4">
        <v>24</v>
      </c>
      <c r="T1434" s="4">
        <v>24</v>
      </c>
      <c r="U1434" s="5" t="s">
        <v>10508</v>
      </c>
      <c r="V1434" s="5" t="s">
        <v>10508</v>
      </c>
      <c r="W1434" s="5" t="s">
        <v>3785</v>
      </c>
      <c r="X1434" s="5" t="s">
        <v>3785</v>
      </c>
      <c r="Y1434" s="4">
        <v>96</v>
      </c>
      <c r="Z1434" s="4">
        <v>95</v>
      </c>
      <c r="AA1434" s="4">
        <v>102</v>
      </c>
      <c r="AB1434" s="4">
        <v>1</v>
      </c>
      <c r="AC1434" s="4">
        <v>1</v>
      </c>
      <c r="AD1434" s="4">
        <v>14</v>
      </c>
      <c r="AE1434" s="4">
        <v>14</v>
      </c>
      <c r="AF1434" s="4">
        <v>4</v>
      </c>
      <c r="AG1434" s="4">
        <v>4</v>
      </c>
      <c r="AH1434" s="4">
        <v>4</v>
      </c>
      <c r="AI1434" s="4">
        <v>4</v>
      </c>
      <c r="AJ1434" s="4">
        <v>12</v>
      </c>
      <c r="AK1434" s="4">
        <v>12</v>
      </c>
      <c r="AL1434" s="4">
        <v>0</v>
      </c>
      <c r="AM1434" s="4">
        <v>0</v>
      </c>
      <c r="AN1434" s="4">
        <v>0</v>
      </c>
      <c r="AO1434" s="4">
        <v>0</v>
      </c>
      <c r="AP1434" s="3" t="s">
        <v>58</v>
      </c>
      <c r="AQ1434" s="3" t="s">
        <v>86</v>
      </c>
      <c r="AR1434" s="6" t="str">
        <f>HYPERLINK("http://catalog.hathitrust.org/Record/012285426","HathiTrust Record")</f>
        <v>HathiTrust Record</v>
      </c>
      <c r="AS1434" s="6" t="str">
        <f>HYPERLINK("https://creighton-primo.hosted.exlibrisgroup.com/primo-explore/search?tab=default_tab&amp;search_scope=EVERYTHING&amp;vid=01CRU&amp;lang=en_US&amp;offset=0&amp;query=any,contains,991001669989702656","Catalog Record")</f>
        <v>Catalog Record</v>
      </c>
      <c r="AT1434" s="6" t="str">
        <f>HYPERLINK("http://www.worldcat.org/oclc/21266752","WorldCat Record")</f>
        <v>WorldCat Record</v>
      </c>
      <c r="AU1434" s="3" t="s">
        <v>18337</v>
      </c>
      <c r="AV1434" s="3" t="s">
        <v>18338</v>
      </c>
      <c r="AW1434" s="3" t="s">
        <v>18339</v>
      </c>
      <c r="AX1434" s="3" t="s">
        <v>18339</v>
      </c>
      <c r="AY1434" s="3" t="s">
        <v>18340</v>
      </c>
      <c r="AZ1434" s="3" t="s">
        <v>74</v>
      </c>
      <c r="BB1434" s="3" t="s">
        <v>18341</v>
      </c>
      <c r="BC1434" s="3" t="s">
        <v>18342</v>
      </c>
      <c r="BD1434" s="3" t="s">
        <v>18343</v>
      </c>
    </row>
    <row r="1435" spans="1:56" ht="42.75" customHeight="1" x14ac:dyDescent="0.25">
      <c r="A1435" s="7" t="s">
        <v>58</v>
      </c>
      <c r="B1435" s="2" t="s">
        <v>18344</v>
      </c>
      <c r="C1435" s="2" t="s">
        <v>18345</v>
      </c>
      <c r="D1435" s="2" t="s">
        <v>18346</v>
      </c>
      <c r="F1435" s="3" t="s">
        <v>58</v>
      </c>
      <c r="G1435" s="3" t="s">
        <v>59</v>
      </c>
      <c r="H1435" s="3" t="s">
        <v>58</v>
      </c>
      <c r="I1435" s="3" t="s">
        <v>58</v>
      </c>
      <c r="J1435" s="3" t="s">
        <v>60</v>
      </c>
      <c r="K1435" s="2" t="s">
        <v>18347</v>
      </c>
      <c r="L1435" s="2" t="s">
        <v>18348</v>
      </c>
      <c r="M1435" s="3" t="s">
        <v>765</v>
      </c>
      <c r="N1435" s="2" t="s">
        <v>1736</v>
      </c>
      <c r="O1435" s="3" t="s">
        <v>64</v>
      </c>
      <c r="P1435" s="3" t="s">
        <v>99</v>
      </c>
      <c r="R1435" s="3" t="s">
        <v>67</v>
      </c>
      <c r="S1435" s="4">
        <v>2</v>
      </c>
      <c r="T1435" s="4">
        <v>2</v>
      </c>
      <c r="U1435" s="5" t="s">
        <v>18349</v>
      </c>
      <c r="V1435" s="5" t="s">
        <v>18349</v>
      </c>
      <c r="W1435" s="5" t="s">
        <v>18350</v>
      </c>
      <c r="X1435" s="5" t="s">
        <v>18350</v>
      </c>
      <c r="Y1435" s="4">
        <v>132</v>
      </c>
      <c r="Z1435" s="4">
        <v>128</v>
      </c>
      <c r="AA1435" s="4">
        <v>160</v>
      </c>
      <c r="AB1435" s="4">
        <v>2</v>
      </c>
      <c r="AC1435" s="4">
        <v>2</v>
      </c>
      <c r="AD1435" s="4">
        <v>4</v>
      </c>
      <c r="AE1435" s="4">
        <v>5</v>
      </c>
      <c r="AF1435" s="4">
        <v>0</v>
      </c>
      <c r="AG1435" s="4">
        <v>0</v>
      </c>
      <c r="AH1435" s="4">
        <v>0</v>
      </c>
      <c r="AI1435" s="4">
        <v>1</v>
      </c>
      <c r="AJ1435" s="4">
        <v>3</v>
      </c>
      <c r="AK1435" s="4">
        <v>4</v>
      </c>
      <c r="AL1435" s="4">
        <v>1</v>
      </c>
      <c r="AM1435" s="4">
        <v>1</v>
      </c>
      <c r="AN1435" s="4">
        <v>0</v>
      </c>
      <c r="AO1435" s="4">
        <v>0</v>
      </c>
      <c r="AP1435" s="3" t="s">
        <v>58</v>
      </c>
      <c r="AQ1435" s="3" t="s">
        <v>86</v>
      </c>
      <c r="AR1435" s="6" t="str">
        <f>HYPERLINK("http://catalog.hathitrust.org/Record/008744932","HathiTrust Record")</f>
        <v>HathiTrust Record</v>
      </c>
      <c r="AS1435" s="6" t="str">
        <f>HYPERLINK("https://creighton-primo.hosted.exlibrisgroup.com/primo-explore/search?tab=default_tab&amp;search_scope=EVERYTHING&amp;vid=01CRU&amp;lang=en_US&amp;offset=0&amp;query=any,contains,991002375259702656","Catalog Record")</f>
        <v>Catalog Record</v>
      </c>
      <c r="AT1435" s="6" t="str">
        <f>HYPERLINK("http://www.worldcat.org/oclc/30893668","WorldCat Record")</f>
        <v>WorldCat Record</v>
      </c>
      <c r="AU1435" s="3" t="s">
        <v>18351</v>
      </c>
      <c r="AV1435" s="3" t="s">
        <v>18352</v>
      </c>
      <c r="AW1435" s="3" t="s">
        <v>18353</v>
      </c>
      <c r="AX1435" s="3" t="s">
        <v>18353</v>
      </c>
      <c r="AY1435" s="3" t="s">
        <v>18354</v>
      </c>
      <c r="AZ1435" s="3" t="s">
        <v>74</v>
      </c>
      <c r="BB1435" s="3" t="s">
        <v>18355</v>
      </c>
      <c r="BC1435" s="3" t="s">
        <v>18356</v>
      </c>
      <c r="BD1435" s="3" t="s">
        <v>18357</v>
      </c>
    </row>
    <row r="1436" spans="1:56" ht="42.75" customHeight="1" x14ac:dyDescent="0.25">
      <c r="A1436" s="7" t="s">
        <v>58</v>
      </c>
      <c r="B1436" s="2" t="s">
        <v>18358</v>
      </c>
      <c r="C1436" s="2" t="s">
        <v>18359</v>
      </c>
      <c r="D1436" s="2" t="s">
        <v>18360</v>
      </c>
      <c r="F1436" s="3" t="s">
        <v>58</v>
      </c>
      <c r="G1436" s="3" t="s">
        <v>59</v>
      </c>
      <c r="H1436" s="3" t="s">
        <v>58</v>
      </c>
      <c r="I1436" s="3" t="s">
        <v>58</v>
      </c>
      <c r="J1436" s="3" t="s">
        <v>60</v>
      </c>
      <c r="K1436" s="2" t="s">
        <v>18361</v>
      </c>
      <c r="L1436" s="2" t="s">
        <v>18362</v>
      </c>
      <c r="M1436" s="3" t="s">
        <v>805</v>
      </c>
      <c r="O1436" s="3" t="s">
        <v>64</v>
      </c>
      <c r="P1436" s="3" t="s">
        <v>145</v>
      </c>
      <c r="R1436" s="3" t="s">
        <v>67</v>
      </c>
      <c r="S1436" s="4">
        <v>8</v>
      </c>
      <c r="T1436" s="4">
        <v>8</v>
      </c>
      <c r="U1436" s="5" t="s">
        <v>18363</v>
      </c>
      <c r="V1436" s="5" t="s">
        <v>18363</v>
      </c>
      <c r="W1436" s="5" t="s">
        <v>18364</v>
      </c>
      <c r="X1436" s="5" t="s">
        <v>18364</v>
      </c>
      <c r="Y1436" s="4">
        <v>771</v>
      </c>
      <c r="Z1436" s="4">
        <v>714</v>
      </c>
      <c r="AA1436" s="4">
        <v>732</v>
      </c>
      <c r="AB1436" s="4">
        <v>3</v>
      </c>
      <c r="AC1436" s="4">
        <v>3</v>
      </c>
      <c r="AD1436" s="4">
        <v>17</v>
      </c>
      <c r="AE1436" s="4">
        <v>17</v>
      </c>
      <c r="AF1436" s="4">
        <v>5</v>
      </c>
      <c r="AG1436" s="4">
        <v>5</v>
      </c>
      <c r="AH1436" s="4">
        <v>3</v>
      </c>
      <c r="AI1436" s="4">
        <v>3</v>
      </c>
      <c r="AJ1436" s="4">
        <v>11</v>
      </c>
      <c r="AK1436" s="4">
        <v>11</v>
      </c>
      <c r="AL1436" s="4">
        <v>1</v>
      </c>
      <c r="AM1436" s="4">
        <v>1</v>
      </c>
      <c r="AN1436" s="4">
        <v>1</v>
      </c>
      <c r="AO1436" s="4">
        <v>1</v>
      </c>
      <c r="AP1436" s="3" t="s">
        <v>58</v>
      </c>
      <c r="AQ1436" s="3" t="s">
        <v>58</v>
      </c>
      <c r="AS1436" s="6" t="str">
        <f>HYPERLINK("https://creighton-primo.hosted.exlibrisgroup.com/primo-explore/search?tab=default_tab&amp;search_scope=EVERYTHING&amp;vid=01CRU&amp;lang=en_US&amp;offset=0&amp;query=any,contains,991002560069702656","Catalog Record")</f>
        <v>Catalog Record</v>
      </c>
      <c r="AT1436" s="6" t="str">
        <f>HYPERLINK("http://www.worldcat.org/oclc/33276899","WorldCat Record")</f>
        <v>WorldCat Record</v>
      </c>
      <c r="AU1436" s="3" t="s">
        <v>18365</v>
      </c>
      <c r="AV1436" s="3" t="s">
        <v>18366</v>
      </c>
      <c r="AW1436" s="3" t="s">
        <v>18367</v>
      </c>
      <c r="AX1436" s="3" t="s">
        <v>18367</v>
      </c>
      <c r="AY1436" s="3" t="s">
        <v>18368</v>
      </c>
      <c r="AZ1436" s="3" t="s">
        <v>74</v>
      </c>
      <c r="BB1436" s="3" t="s">
        <v>18369</v>
      </c>
      <c r="BC1436" s="3" t="s">
        <v>18370</v>
      </c>
      <c r="BD1436" s="3" t="s">
        <v>18371</v>
      </c>
    </row>
    <row r="1437" spans="1:56" ht="42.75" customHeight="1" x14ac:dyDescent="0.25">
      <c r="A1437" s="7" t="s">
        <v>58</v>
      </c>
      <c r="B1437" s="2" t="s">
        <v>18372</v>
      </c>
      <c r="C1437" s="2" t="s">
        <v>18373</v>
      </c>
      <c r="D1437" s="2" t="s">
        <v>18374</v>
      </c>
      <c r="F1437" s="3" t="s">
        <v>58</v>
      </c>
      <c r="G1437" s="3" t="s">
        <v>59</v>
      </c>
      <c r="H1437" s="3" t="s">
        <v>58</v>
      </c>
      <c r="I1437" s="3" t="s">
        <v>86</v>
      </c>
      <c r="J1437" s="3" t="s">
        <v>60</v>
      </c>
      <c r="K1437" s="2" t="s">
        <v>18375</v>
      </c>
      <c r="L1437" s="2" t="s">
        <v>18376</v>
      </c>
      <c r="M1437" s="3" t="s">
        <v>586</v>
      </c>
      <c r="N1437" s="2" t="s">
        <v>1844</v>
      </c>
      <c r="O1437" s="3" t="s">
        <v>64</v>
      </c>
      <c r="P1437" s="3" t="s">
        <v>208</v>
      </c>
      <c r="Q1437" s="2" t="s">
        <v>3415</v>
      </c>
      <c r="R1437" s="3" t="s">
        <v>67</v>
      </c>
      <c r="S1437" s="4">
        <v>52</v>
      </c>
      <c r="T1437" s="4">
        <v>52</v>
      </c>
      <c r="U1437" s="5" t="s">
        <v>18377</v>
      </c>
      <c r="V1437" s="5" t="s">
        <v>18377</v>
      </c>
      <c r="W1437" s="5" t="s">
        <v>15991</v>
      </c>
      <c r="X1437" s="5" t="s">
        <v>15991</v>
      </c>
      <c r="Y1437" s="4">
        <v>332</v>
      </c>
      <c r="Z1437" s="4">
        <v>292</v>
      </c>
      <c r="AA1437" s="4">
        <v>639</v>
      </c>
      <c r="AB1437" s="4">
        <v>3</v>
      </c>
      <c r="AC1437" s="4">
        <v>6</v>
      </c>
      <c r="AD1437" s="4">
        <v>6</v>
      </c>
      <c r="AE1437" s="4">
        <v>28</v>
      </c>
      <c r="AF1437" s="4">
        <v>2</v>
      </c>
      <c r="AG1437" s="4">
        <v>10</v>
      </c>
      <c r="AH1437" s="4">
        <v>0</v>
      </c>
      <c r="AI1437" s="4">
        <v>6</v>
      </c>
      <c r="AJ1437" s="4">
        <v>3</v>
      </c>
      <c r="AK1437" s="4">
        <v>15</v>
      </c>
      <c r="AL1437" s="4">
        <v>2</v>
      </c>
      <c r="AM1437" s="4">
        <v>4</v>
      </c>
      <c r="AN1437" s="4">
        <v>0</v>
      </c>
      <c r="AO1437" s="4">
        <v>1</v>
      </c>
      <c r="AP1437" s="3" t="s">
        <v>58</v>
      </c>
      <c r="AQ1437" s="3" t="s">
        <v>58</v>
      </c>
      <c r="AS1437" s="6" t="str">
        <f>HYPERLINK("https://creighton-primo.hosted.exlibrisgroup.com/primo-explore/search?tab=default_tab&amp;search_scope=EVERYTHING&amp;vid=01CRU&amp;lang=en_US&amp;offset=0&amp;query=any,contains,991001805799702656","Catalog Record")</f>
        <v>Catalog Record</v>
      </c>
      <c r="AT1437" s="6" t="str">
        <f>HYPERLINK("http://www.worldcat.org/oclc/22706361","WorldCat Record")</f>
        <v>WorldCat Record</v>
      </c>
      <c r="AU1437" s="3" t="s">
        <v>18378</v>
      </c>
      <c r="AV1437" s="3" t="s">
        <v>18379</v>
      </c>
      <c r="AW1437" s="3" t="s">
        <v>18380</v>
      </c>
      <c r="AX1437" s="3" t="s">
        <v>18380</v>
      </c>
      <c r="AY1437" s="3" t="s">
        <v>18381</v>
      </c>
      <c r="AZ1437" s="3" t="s">
        <v>74</v>
      </c>
      <c r="BB1437" s="3" t="s">
        <v>18382</v>
      </c>
      <c r="BC1437" s="3" t="s">
        <v>18383</v>
      </c>
      <c r="BD1437" s="3" t="s">
        <v>18384</v>
      </c>
    </row>
    <row r="1438" spans="1:56" ht="42.75" customHeight="1" x14ac:dyDescent="0.25">
      <c r="A1438" s="7" t="s">
        <v>58</v>
      </c>
      <c r="B1438" s="2" t="s">
        <v>18385</v>
      </c>
      <c r="C1438" s="2" t="s">
        <v>18386</v>
      </c>
      <c r="D1438" s="2" t="s">
        <v>18387</v>
      </c>
      <c r="F1438" s="3" t="s">
        <v>58</v>
      </c>
      <c r="G1438" s="3" t="s">
        <v>59</v>
      </c>
      <c r="H1438" s="3" t="s">
        <v>58</v>
      </c>
      <c r="I1438" s="3" t="s">
        <v>58</v>
      </c>
      <c r="J1438" s="3" t="s">
        <v>60</v>
      </c>
      <c r="K1438" s="2" t="s">
        <v>18388</v>
      </c>
      <c r="L1438" s="2" t="s">
        <v>18389</v>
      </c>
      <c r="M1438" s="3" t="s">
        <v>114</v>
      </c>
      <c r="N1438" s="2" t="s">
        <v>1736</v>
      </c>
      <c r="O1438" s="3" t="s">
        <v>64</v>
      </c>
      <c r="P1438" s="3" t="s">
        <v>115</v>
      </c>
      <c r="R1438" s="3" t="s">
        <v>67</v>
      </c>
      <c r="S1438" s="4">
        <v>15</v>
      </c>
      <c r="T1438" s="4">
        <v>15</v>
      </c>
      <c r="U1438" s="5" t="s">
        <v>18390</v>
      </c>
      <c r="V1438" s="5" t="s">
        <v>18390</v>
      </c>
      <c r="W1438" s="5" t="s">
        <v>18391</v>
      </c>
      <c r="X1438" s="5" t="s">
        <v>18391</v>
      </c>
      <c r="Y1438" s="4">
        <v>579</v>
      </c>
      <c r="Z1438" s="4">
        <v>546</v>
      </c>
      <c r="AA1438" s="4">
        <v>878</v>
      </c>
      <c r="AB1438" s="4">
        <v>2</v>
      </c>
      <c r="AC1438" s="4">
        <v>5</v>
      </c>
      <c r="AD1438" s="4">
        <v>8</v>
      </c>
      <c r="AE1438" s="4">
        <v>19</v>
      </c>
      <c r="AF1438" s="4">
        <v>2</v>
      </c>
      <c r="AG1438" s="4">
        <v>5</v>
      </c>
      <c r="AH1438" s="4">
        <v>3</v>
      </c>
      <c r="AI1438" s="4">
        <v>3</v>
      </c>
      <c r="AJ1438" s="4">
        <v>4</v>
      </c>
      <c r="AK1438" s="4">
        <v>11</v>
      </c>
      <c r="AL1438" s="4">
        <v>1</v>
      </c>
      <c r="AM1438" s="4">
        <v>3</v>
      </c>
      <c r="AN1438" s="4">
        <v>0</v>
      </c>
      <c r="AO1438" s="4">
        <v>1</v>
      </c>
      <c r="AP1438" s="3" t="s">
        <v>58</v>
      </c>
      <c r="AQ1438" s="3" t="s">
        <v>86</v>
      </c>
      <c r="AR1438" s="6" t="str">
        <f>HYPERLINK("http://catalog.hathitrust.org/Record/000604594","HathiTrust Record")</f>
        <v>HathiTrust Record</v>
      </c>
      <c r="AS1438" s="6" t="str">
        <f>HYPERLINK("https://creighton-primo.hosted.exlibrisgroup.com/primo-explore/search?tab=default_tab&amp;search_scope=EVERYTHING&amp;vid=01CRU&amp;lang=en_US&amp;offset=0&amp;query=any,contains,991000326579702656","Catalog Record")</f>
        <v>Catalog Record</v>
      </c>
      <c r="AT1438" s="6" t="str">
        <f>HYPERLINK("http://www.worldcat.org/oclc/10183152","WorldCat Record")</f>
        <v>WorldCat Record</v>
      </c>
      <c r="AU1438" s="3" t="s">
        <v>18392</v>
      </c>
      <c r="AV1438" s="3" t="s">
        <v>18393</v>
      </c>
      <c r="AW1438" s="3" t="s">
        <v>18394</v>
      </c>
      <c r="AX1438" s="3" t="s">
        <v>18394</v>
      </c>
      <c r="AY1438" s="3" t="s">
        <v>18395</v>
      </c>
      <c r="AZ1438" s="3" t="s">
        <v>74</v>
      </c>
      <c r="BB1438" s="3" t="s">
        <v>18396</v>
      </c>
      <c r="BC1438" s="3" t="s">
        <v>18397</v>
      </c>
      <c r="BD1438" s="3" t="s">
        <v>18398</v>
      </c>
    </row>
    <row r="1439" spans="1:56" ht="42.75" customHeight="1" x14ac:dyDescent="0.25">
      <c r="A1439" s="7" t="s">
        <v>58</v>
      </c>
      <c r="B1439" s="2" t="s">
        <v>18399</v>
      </c>
      <c r="C1439" s="2" t="s">
        <v>18400</v>
      </c>
      <c r="D1439" s="2" t="s">
        <v>18401</v>
      </c>
      <c r="F1439" s="3" t="s">
        <v>58</v>
      </c>
      <c r="G1439" s="3" t="s">
        <v>59</v>
      </c>
      <c r="H1439" s="3" t="s">
        <v>58</v>
      </c>
      <c r="I1439" s="3" t="s">
        <v>58</v>
      </c>
      <c r="J1439" s="3" t="s">
        <v>60</v>
      </c>
      <c r="K1439" s="2" t="s">
        <v>18402</v>
      </c>
      <c r="L1439" s="2" t="s">
        <v>18403</v>
      </c>
      <c r="M1439" s="3" t="s">
        <v>765</v>
      </c>
      <c r="O1439" s="3" t="s">
        <v>64</v>
      </c>
      <c r="P1439" s="3" t="s">
        <v>115</v>
      </c>
      <c r="R1439" s="3" t="s">
        <v>67</v>
      </c>
      <c r="S1439" s="4">
        <v>6</v>
      </c>
      <c r="T1439" s="4">
        <v>6</v>
      </c>
      <c r="U1439" s="5" t="s">
        <v>18404</v>
      </c>
      <c r="V1439" s="5" t="s">
        <v>18404</v>
      </c>
      <c r="W1439" s="5" t="s">
        <v>18405</v>
      </c>
      <c r="X1439" s="5" t="s">
        <v>18405</v>
      </c>
      <c r="Y1439" s="4">
        <v>433</v>
      </c>
      <c r="Z1439" s="4">
        <v>417</v>
      </c>
      <c r="AA1439" s="4">
        <v>424</v>
      </c>
      <c r="AB1439" s="4">
        <v>4</v>
      </c>
      <c r="AC1439" s="4">
        <v>4</v>
      </c>
      <c r="AD1439" s="4">
        <v>11</v>
      </c>
      <c r="AE1439" s="4">
        <v>11</v>
      </c>
      <c r="AF1439" s="4">
        <v>3</v>
      </c>
      <c r="AG1439" s="4">
        <v>3</v>
      </c>
      <c r="AH1439" s="4">
        <v>2</v>
      </c>
      <c r="AI1439" s="4">
        <v>2</v>
      </c>
      <c r="AJ1439" s="4">
        <v>4</v>
      </c>
      <c r="AK1439" s="4">
        <v>4</v>
      </c>
      <c r="AL1439" s="4">
        <v>2</v>
      </c>
      <c r="AM1439" s="4">
        <v>2</v>
      </c>
      <c r="AN1439" s="4">
        <v>0</v>
      </c>
      <c r="AO1439" s="4">
        <v>0</v>
      </c>
      <c r="AP1439" s="3" t="s">
        <v>58</v>
      </c>
      <c r="AQ1439" s="3" t="s">
        <v>58</v>
      </c>
      <c r="AS1439" s="6" t="str">
        <f>HYPERLINK("https://creighton-primo.hosted.exlibrisgroup.com/primo-explore/search?tab=default_tab&amp;search_scope=EVERYTHING&amp;vid=01CRU&amp;lang=en_US&amp;offset=0&amp;query=any,contains,991002466779702656","Catalog Record")</f>
        <v>Catalog Record</v>
      </c>
      <c r="AT1439" s="6" t="str">
        <f>HYPERLINK("http://www.worldcat.org/oclc/32132855","WorldCat Record")</f>
        <v>WorldCat Record</v>
      </c>
      <c r="AU1439" s="3" t="s">
        <v>18406</v>
      </c>
      <c r="AV1439" s="3" t="s">
        <v>18407</v>
      </c>
      <c r="AW1439" s="3" t="s">
        <v>18408</v>
      </c>
      <c r="AX1439" s="3" t="s">
        <v>18408</v>
      </c>
      <c r="AY1439" s="3" t="s">
        <v>18409</v>
      </c>
      <c r="AZ1439" s="3" t="s">
        <v>74</v>
      </c>
      <c r="BB1439" s="3" t="s">
        <v>18410</v>
      </c>
      <c r="BC1439" s="3" t="s">
        <v>18411</v>
      </c>
      <c r="BD1439" s="3" t="s">
        <v>18412</v>
      </c>
    </row>
    <row r="1440" spans="1:56" ht="42.75" customHeight="1" x14ac:dyDescent="0.25">
      <c r="A1440" s="7" t="s">
        <v>58</v>
      </c>
      <c r="B1440" s="2" t="s">
        <v>18413</v>
      </c>
      <c r="C1440" s="2" t="s">
        <v>18414</v>
      </c>
      <c r="D1440" s="2" t="s">
        <v>18415</v>
      </c>
      <c r="F1440" s="3" t="s">
        <v>58</v>
      </c>
      <c r="G1440" s="3" t="s">
        <v>59</v>
      </c>
      <c r="H1440" s="3" t="s">
        <v>58</v>
      </c>
      <c r="I1440" s="3" t="s">
        <v>58</v>
      </c>
      <c r="J1440" s="3" t="s">
        <v>60</v>
      </c>
      <c r="K1440" s="2" t="s">
        <v>18402</v>
      </c>
      <c r="L1440" s="2" t="s">
        <v>18416</v>
      </c>
      <c r="M1440" s="3" t="s">
        <v>737</v>
      </c>
      <c r="N1440" s="2" t="s">
        <v>1736</v>
      </c>
      <c r="O1440" s="3" t="s">
        <v>64</v>
      </c>
      <c r="P1440" s="3" t="s">
        <v>18417</v>
      </c>
      <c r="R1440" s="3" t="s">
        <v>67</v>
      </c>
      <c r="S1440" s="4">
        <v>9</v>
      </c>
      <c r="T1440" s="4">
        <v>9</v>
      </c>
      <c r="U1440" s="5" t="s">
        <v>18404</v>
      </c>
      <c r="V1440" s="5" t="s">
        <v>18404</v>
      </c>
      <c r="W1440" s="5" t="s">
        <v>12796</v>
      </c>
      <c r="X1440" s="5" t="s">
        <v>12796</v>
      </c>
      <c r="Y1440" s="4">
        <v>476</v>
      </c>
      <c r="Z1440" s="4">
        <v>456</v>
      </c>
      <c r="AA1440" s="4">
        <v>464</v>
      </c>
      <c r="AB1440" s="4">
        <v>1</v>
      </c>
      <c r="AC1440" s="4">
        <v>1</v>
      </c>
      <c r="AD1440" s="4">
        <v>6</v>
      </c>
      <c r="AE1440" s="4">
        <v>6</v>
      </c>
      <c r="AF1440" s="4">
        <v>1</v>
      </c>
      <c r="AG1440" s="4">
        <v>1</v>
      </c>
      <c r="AH1440" s="4">
        <v>2</v>
      </c>
      <c r="AI1440" s="4">
        <v>2</v>
      </c>
      <c r="AJ1440" s="4">
        <v>4</v>
      </c>
      <c r="AK1440" s="4">
        <v>4</v>
      </c>
      <c r="AL1440" s="4">
        <v>0</v>
      </c>
      <c r="AM1440" s="4">
        <v>0</v>
      </c>
      <c r="AN1440" s="4">
        <v>0</v>
      </c>
      <c r="AO1440" s="4">
        <v>0</v>
      </c>
      <c r="AP1440" s="3" t="s">
        <v>58</v>
      </c>
      <c r="AQ1440" s="3" t="s">
        <v>86</v>
      </c>
      <c r="AR1440" s="6" t="str">
        <f>HYPERLINK("http://catalog.hathitrust.org/Record/002992067","HathiTrust Record")</f>
        <v>HathiTrust Record</v>
      </c>
      <c r="AS1440" s="6" t="str">
        <f>HYPERLINK("https://creighton-primo.hosted.exlibrisgroup.com/primo-explore/search?tab=default_tab&amp;search_scope=EVERYTHING&amp;vid=01CRU&amp;lang=en_US&amp;offset=0&amp;query=any,contains,991002225629702656","Catalog Record")</f>
        <v>Catalog Record</v>
      </c>
      <c r="AT1440" s="6" t="str">
        <f>HYPERLINK("http://www.worldcat.org/oclc/28674845","WorldCat Record")</f>
        <v>WorldCat Record</v>
      </c>
      <c r="AU1440" s="3" t="s">
        <v>18418</v>
      </c>
      <c r="AV1440" s="3" t="s">
        <v>18419</v>
      </c>
      <c r="AW1440" s="3" t="s">
        <v>18420</v>
      </c>
      <c r="AX1440" s="3" t="s">
        <v>18420</v>
      </c>
      <c r="AY1440" s="3" t="s">
        <v>18421</v>
      </c>
      <c r="AZ1440" s="3" t="s">
        <v>74</v>
      </c>
      <c r="BB1440" s="3" t="s">
        <v>18422</v>
      </c>
      <c r="BC1440" s="3" t="s">
        <v>18423</v>
      </c>
      <c r="BD1440" s="3" t="s">
        <v>18424</v>
      </c>
    </row>
    <row r="1441" spans="1:56" ht="42.75" customHeight="1" x14ac:dyDescent="0.25">
      <c r="A1441" s="7" t="s">
        <v>58</v>
      </c>
      <c r="B1441" s="2" t="s">
        <v>18425</v>
      </c>
      <c r="C1441" s="2" t="s">
        <v>18426</v>
      </c>
      <c r="D1441" s="2" t="s">
        <v>18427</v>
      </c>
      <c r="F1441" s="3" t="s">
        <v>58</v>
      </c>
      <c r="G1441" s="3" t="s">
        <v>59</v>
      </c>
      <c r="H1441" s="3" t="s">
        <v>58</v>
      </c>
      <c r="I1441" s="3" t="s">
        <v>58</v>
      </c>
      <c r="J1441" s="3" t="s">
        <v>60</v>
      </c>
      <c r="K1441" s="2" t="s">
        <v>18428</v>
      </c>
      <c r="L1441" s="2" t="s">
        <v>18429</v>
      </c>
      <c r="M1441" s="3" t="s">
        <v>371</v>
      </c>
      <c r="O1441" s="3" t="s">
        <v>64</v>
      </c>
      <c r="P1441" s="3" t="s">
        <v>115</v>
      </c>
      <c r="R1441" s="3" t="s">
        <v>67</v>
      </c>
      <c r="S1441" s="4">
        <v>10</v>
      </c>
      <c r="T1441" s="4">
        <v>10</v>
      </c>
      <c r="U1441" s="5" t="s">
        <v>14547</v>
      </c>
      <c r="V1441" s="5" t="s">
        <v>14547</v>
      </c>
      <c r="W1441" s="5" t="s">
        <v>1576</v>
      </c>
      <c r="X1441" s="5" t="s">
        <v>1576</v>
      </c>
      <c r="Y1441" s="4">
        <v>166</v>
      </c>
      <c r="Z1441" s="4">
        <v>156</v>
      </c>
      <c r="AA1441" s="4">
        <v>157</v>
      </c>
      <c r="AB1441" s="4">
        <v>1</v>
      </c>
      <c r="AC1441" s="4">
        <v>1</v>
      </c>
      <c r="AD1441" s="4">
        <v>5</v>
      </c>
      <c r="AE1441" s="4">
        <v>5</v>
      </c>
      <c r="AF1441" s="4">
        <v>2</v>
      </c>
      <c r="AG1441" s="4">
        <v>2</v>
      </c>
      <c r="AH1441" s="4">
        <v>1</v>
      </c>
      <c r="AI1441" s="4">
        <v>1</v>
      </c>
      <c r="AJ1441" s="4">
        <v>4</v>
      </c>
      <c r="AK1441" s="4">
        <v>4</v>
      </c>
      <c r="AL1441" s="4">
        <v>0</v>
      </c>
      <c r="AM1441" s="4">
        <v>0</v>
      </c>
      <c r="AN1441" s="4">
        <v>0</v>
      </c>
      <c r="AO1441" s="4">
        <v>0</v>
      </c>
      <c r="AP1441" s="3" t="s">
        <v>58</v>
      </c>
      <c r="AQ1441" s="3" t="s">
        <v>86</v>
      </c>
      <c r="AR1441" s="6" t="str">
        <f>HYPERLINK("http://catalog.hathitrust.org/Record/006258859","HathiTrust Record")</f>
        <v>HathiTrust Record</v>
      </c>
      <c r="AS1441" s="6" t="str">
        <f>HYPERLINK("https://creighton-primo.hosted.exlibrisgroup.com/primo-explore/search?tab=default_tab&amp;search_scope=EVERYTHING&amp;vid=01CRU&amp;lang=en_US&amp;offset=0&amp;query=any,contains,991000840889702656","Catalog Record")</f>
        <v>Catalog Record</v>
      </c>
      <c r="AT1441" s="6" t="str">
        <f>HYPERLINK("http://www.worldcat.org/oclc/13525591","WorldCat Record")</f>
        <v>WorldCat Record</v>
      </c>
      <c r="AU1441" s="3" t="s">
        <v>18430</v>
      </c>
      <c r="AV1441" s="3" t="s">
        <v>18431</v>
      </c>
      <c r="AW1441" s="3" t="s">
        <v>18432</v>
      </c>
      <c r="AX1441" s="3" t="s">
        <v>18432</v>
      </c>
      <c r="AY1441" s="3" t="s">
        <v>18433</v>
      </c>
      <c r="AZ1441" s="3" t="s">
        <v>74</v>
      </c>
      <c r="BB1441" s="3" t="s">
        <v>18434</v>
      </c>
      <c r="BC1441" s="3" t="s">
        <v>18435</v>
      </c>
      <c r="BD1441" s="3" t="s">
        <v>18436</v>
      </c>
    </row>
    <row r="1442" spans="1:56" ht="42.75" customHeight="1" x14ac:dyDescent="0.25">
      <c r="A1442" s="7" t="s">
        <v>58</v>
      </c>
      <c r="B1442" s="2" t="s">
        <v>18437</v>
      </c>
      <c r="C1442" s="2" t="s">
        <v>18438</v>
      </c>
      <c r="D1442" s="2" t="s">
        <v>18439</v>
      </c>
      <c r="F1442" s="3" t="s">
        <v>58</v>
      </c>
      <c r="G1442" s="3" t="s">
        <v>59</v>
      </c>
      <c r="H1442" s="3" t="s">
        <v>58</v>
      </c>
      <c r="I1442" s="3" t="s">
        <v>58</v>
      </c>
      <c r="J1442" s="3" t="s">
        <v>60</v>
      </c>
      <c r="L1442" s="2" t="s">
        <v>18440</v>
      </c>
      <c r="M1442" s="3" t="s">
        <v>765</v>
      </c>
      <c r="O1442" s="3" t="s">
        <v>64</v>
      </c>
      <c r="P1442" s="3" t="s">
        <v>65</v>
      </c>
      <c r="R1442" s="3" t="s">
        <v>67</v>
      </c>
      <c r="S1442" s="4">
        <v>15</v>
      </c>
      <c r="T1442" s="4">
        <v>15</v>
      </c>
      <c r="U1442" s="5" t="s">
        <v>18441</v>
      </c>
      <c r="V1442" s="5" t="s">
        <v>18441</v>
      </c>
      <c r="W1442" s="5" t="s">
        <v>4781</v>
      </c>
      <c r="X1442" s="5" t="s">
        <v>4781</v>
      </c>
      <c r="Y1442" s="4">
        <v>237</v>
      </c>
      <c r="Z1442" s="4">
        <v>147</v>
      </c>
      <c r="AA1442" s="4">
        <v>150</v>
      </c>
      <c r="AB1442" s="4">
        <v>1</v>
      </c>
      <c r="AC1442" s="4">
        <v>1</v>
      </c>
      <c r="AD1442" s="4">
        <v>7</v>
      </c>
      <c r="AE1442" s="4">
        <v>7</v>
      </c>
      <c r="AF1442" s="4">
        <v>1</v>
      </c>
      <c r="AG1442" s="4">
        <v>1</v>
      </c>
      <c r="AH1442" s="4">
        <v>2</v>
      </c>
      <c r="AI1442" s="4">
        <v>2</v>
      </c>
      <c r="AJ1442" s="4">
        <v>5</v>
      </c>
      <c r="AK1442" s="4">
        <v>5</v>
      </c>
      <c r="AL1442" s="4">
        <v>0</v>
      </c>
      <c r="AM1442" s="4">
        <v>0</v>
      </c>
      <c r="AN1442" s="4">
        <v>0</v>
      </c>
      <c r="AO1442" s="4">
        <v>0</v>
      </c>
      <c r="AP1442" s="3" t="s">
        <v>58</v>
      </c>
      <c r="AQ1442" s="3" t="s">
        <v>86</v>
      </c>
      <c r="AR1442" s="6" t="str">
        <f>HYPERLINK("http://catalog.hathitrust.org/Record/002991004","HathiTrust Record")</f>
        <v>HathiTrust Record</v>
      </c>
      <c r="AS1442" s="6" t="str">
        <f>HYPERLINK("https://creighton-primo.hosted.exlibrisgroup.com/primo-explore/search?tab=default_tab&amp;search_scope=EVERYTHING&amp;vid=01CRU&amp;lang=en_US&amp;offset=0&amp;query=any,contains,991002416879702656","Catalog Record")</f>
        <v>Catalog Record</v>
      </c>
      <c r="AT1442" s="6" t="str">
        <f>HYPERLINK("http://www.worldcat.org/oclc/31436180","WorldCat Record")</f>
        <v>WorldCat Record</v>
      </c>
      <c r="AU1442" s="3" t="s">
        <v>18442</v>
      </c>
      <c r="AV1442" s="3" t="s">
        <v>18443</v>
      </c>
      <c r="AW1442" s="3" t="s">
        <v>18444</v>
      </c>
      <c r="AX1442" s="3" t="s">
        <v>18444</v>
      </c>
      <c r="AY1442" s="3" t="s">
        <v>18445</v>
      </c>
      <c r="AZ1442" s="3" t="s">
        <v>74</v>
      </c>
      <c r="BB1442" s="3" t="s">
        <v>18446</v>
      </c>
      <c r="BC1442" s="3" t="s">
        <v>18447</v>
      </c>
      <c r="BD1442" s="3" t="s">
        <v>18448</v>
      </c>
    </row>
    <row r="1443" spans="1:56" ht="42.75" customHeight="1" x14ac:dyDescent="0.25">
      <c r="A1443" s="7" t="s">
        <v>58</v>
      </c>
      <c r="B1443" s="2" t="s">
        <v>18449</v>
      </c>
      <c r="C1443" s="2" t="s">
        <v>18450</v>
      </c>
      <c r="D1443" s="2" t="s">
        <v>18451</v>
      </c>
      <c r="F1443" s="3" t="s">
        <v>58</v>
      </c>
      <c r="G1443" s="3" t="s">
        <v>59</v>
      </c>
      <c r="H1443" s="3" t="s">
        <v>86</v>
      </c>
      <c r="I1443" s="3" t="s">
        <v>58</v>
      </c>
      <c r="J1443" s="3" t="s">
        <v>60</v>
      </c>
      <c r="K1443" s="2" t="s">
        <v>18452</v>
      </c>
      <c r="L1443" s="2" t="s">
        <v>18453</v>
      </c>
      <c r="M1443" s="3" t="s">
        <v>480</v>
      </c>
      <c r="O1443" s="3" t="s">
        <v>64</v>
      </c>
      <c r="P1443" s="3" t="s">
        <v>18454</v>
      </c>
      <c r="Q1443" s="2" t="s">
        <v>18455</v>
      </c>
      <c r="R1443" s="3" t="s">
        <v>67</v>
      </c>
      <c r="S1443" s="4">
        <v>40</v>
      </c>
      <c r="T1443" s="4">
        <v>40</v>
      </c>
      <c r="U1443" s="5" t="s">
        <v>5585</v>
      </c>
      <c r="V1443" s="5" t="s">
        <v>5585</v>
      </c>
      <c r="W1443" s="5" t="s">
        <v>18456</v>
      </c>
      <c r="X1443" s="5" t="s">
        <v>18456</v>
      </c>
      <c r="Y1443" s="4">
        <v>408</v>
      </c>
      <c r="Z1443" s="4">
        <v>359</v>
      </c>
      <c r="AA1443" s="4">
        <v>366</v>
      </c>
      <c r="AB1443" s="4">
        <v>2</v>
      </c>
      <c r="AC1443" s="4">
        <v>2</v>
      </c>
      <c r="AD1443" s="4">
        <v>29</v>
      </c>
      <c r="AE1443" s="4">
        <v>29</v>
      </c>
      <c r="AF1443" s="4">
        <v>5</v>
      </c>
      <c r="AG1443" s="4">
        <v>5</v>
      </c>
      <c r="AH1443" s="4">
        <v>4</v>
      </c>
      <c r="AI1443" s="4">
        <v>4</v>
      </c>
      <c r="AJ1443" s="4">
        <v>11</v>
      </c>
      <c r="AK1443" s="4">
        <v>11</v>
      </c>
      <c r="AL1443" s="4">
        <v>0</v>
      </c>
      <c r="AM1443" s="4">
        <v>0</v>
      </c>
      <c r="AN1443" s="4">
        <v>15</v>
      </c>
      <c r="AO1443" s="4">
        <v>15</v>
      </c>
      <c r="AP1443" s="3" t="s">
        <v>58</v>
      </c>
      <c r="AQ1443" s="3" t="s">
        <v>86</v>
      </c>
      <c r="AR1443" s="6" t="str">
        <f>HYPERLINK("http://catalog.hathitrust.org/Record/001528480","HathiTrust Record")</f>
        <v>HathiTrust Record</v>
      </c>
      <c r="AS1443" s="6" t="str">
        <f>HYPERLINK("https://creighton-primo.hosted.exlibrisgroup.com/primo-explore/search?tab=default_tab&amp;search_scope=EVERYTHING&amp;vid=01CRU&amp;lang=en_US&amp;offset=0&amp;query=any,contains,991001387199702656","Catalog Record")</f>
        <v>Catalog Record</v>
      </c>
      <c r="AT1443" s="6" t="str">
        <f>HYPERLINK("http://www.worldcat.org/oclc/18738944","WorldCat Record")</f>
        <v>WorldCat Record</v>
      </c>
      <c r="AU1443" s="3" t="s">
        <v>18457</v>
      </c>
      <c r="AV1443" s="3" t="s">
        <v>18458</v>
      </c>
      <c r="AW1443" s="3" t="s">
        <v>18459</v>
      </c>
      <c r="AX1443" s="3" t="s">
        <v>18459</v>
      </c>
      <c r="AY1443" s="3" t="s">
        <v>18460</v>
      </c>
      <c r="AZ1443" s="3" t="s">
        <v>74</v>
      </c>
      <c r="BB1443" s="3" t="s">
        <v>18461</v>
      </c>
      <c r="BC1443" s="3" t="s">
        <v>18462</v>
      </c>
      <c r="BD1443" s="3" t="s">
        <v>18463</v>
      </c>
    </row>
    <row r="1444" spans="1:56" ht="42.75" customHeight="1" x14ac:dyDescent="0.25">
      <c r="A1444" s="7" t="s">
        <v>58</v>
      </c>
      <c r="B1444" s="2" t="s">
        <v>18464</v>
      </c>
      <c r="C1444" s="2" t="s">
        <v>18465</v>
      </c>
      <c r="D1444" s="2" t="s">
        <v>18466</v>
      </c>
      <c r="F1444" s="3" t="s">
        <v>58</v>
      </c>
      <c r="G1444" s="3" t="s">
        <v>59</v>
      </c>
      <c r="H1444" s="3" t="s">
        <v>58</v>
      </c>
      <c r="I1444" s="3" t="s">
        <v>58</v>
      </c>
      <c r="J1444" s="3" t="s">
        <v>60</v>
      </c>
      <c r="K1444" s="2" t="s">
        <v>18467</v>
      </c>
      <c r="L1444" s="2" t="s">
        <v>18468</v>
      </c>
      <c r="M1444" s="3" t="s">
        <v>805</v>
      </c>
      <c r="N1444" s="2" t="s">
        <v>1736</v>
      </c>
      <c r="O1444" s="3" t="s">
        <v>64</v>
      </c>
      <c r="P1444" s="3" t="s">
        <v>115</v>
      </c>
      <c r="R1444" s="3" t="s">
        <v>67</v>
      </c>
      <c r="S1444" s="4">
        <v>2</v>
      </c>
      <c r="T1444" s="4">
        <v>2</v>
      </c>
      <c r="U1444" s="5" t="s">
        <v>18469</v>
      </c>
      <c r="V1444" s="5" t="s">
        <v>18469</v>
      </c>
      <c r="W1444" s="5" t="s">
        <v>18470</v>
      </c>
      <c r="X1444" s="5" t="s">
        <v>18470</v>
      </c>
      <c r="Y1444" s="4">
        <v>481</v>
      </c>
      <c r="Z1444" s="4">
        <v>450</v>
      </c>
      <c r="AA1444" s="4">
        <v>621</v>
      </c>
      <c r="AB1444" s="4">
        <v>3</v>
      </c>
      <c r="AC1444" s="4">
        <v>4</v>
      </c>
      <c r="AD1444" s="4">
        <v>12</v>
      </c>
      <c r="AE1444" s="4">
        <v>19</v>
      </c>
      <c r="AF1444" s="4">
        <v>4</v>
      </c>
      <c r="AG1444" s="4">
        <v>8</v>
      </c>
      <c r="AH1444" s="4">
        <v>4</v>
      </c>
      <c r="AI1444" s="4">
        <v>5</v>
      </c>
      <c r="AJ1444" s="4">
        <v>5</v>
      </c>
      <c r="AK1444" s="4">
        <v>8</v>
      </c>
      <c r="AL1444" s="4">
        <v>1</v>
      </c>
      <c r="AM1444" s="4">
        <v>2</v>
      </c>
      <c r="AN1444" s="4">
        <v>0</v>
      </c>
      <c r="AO1444" s="4">
        <v>0</v>
      </c>
      <c r="AP1444" s="3" t="s">
        <v>58</v>
      </c>
      <c r="AQ1444" s="3" t="s">
        <v>86</v>
      </c>
      <c r="AR1444" s="6" t="str">
        <f>HYPERLINK("http://catalog.hathitrust.org/Record/003055393","HathiTrust Record")</f>
        <v>HathiTrust Record</v>
      </c>
      <c r="AS1444" s="6" t="str">
        <f>HYPERLINK("https://creighton-primo.hosted.exlibrisgroup.com/primo-explore/search?tab=default_tab&amp;search_scope=EVERYTHING&amp;vid=01CRU&amp;lang=en_US&amp;offset=0&amp;query=any,contains,991002597729702656","Catalog Record")</f>
        <v>Catalog Record</v>
      </c>
      <c r="AT1444" s="6" t="str">
        <f>HYPERLINK("http://www.worldcat.org/oclc/34029880","WorldCat Record")</f>
        <v>WorldCat Record</v>
      </c>
      <c r="AU1444" s="3" t="s">
        <v>18471</v>
      </c>
      <c r="AV1444" s="3" t="s">
        <v>18472</v>
      </c>
      <c r="AW1444" s="3" t="s">
        <v>18473</v>
      </c>
      <c r="AX1444" s="3" t="s">
        <v>18473</v>
      </c>
      <c r="AY1444" s="3" t="s">
        <v>18474</v>
      </c>
      <c r="AZ1444" s="3" t="s">
        <v>74</v>
      </c>
      <c r="BB1444" s="3" t="s">
        <v>18475</v>
      </c>
      <c r="BC1444" s="3" t="s">
        <v>18476</v>
      </c>
      <c r="BD1444" s="3" t="s">
        <v>18477</v>
      </c>
    </row>
    <row r="1445" spans="1:56" ht="42.75" customHeight="1" x14ac:dyDescent="0.25">
      <c r="A1445" s="7" t="s">
        <v>58</v>
      </c>
      <c r="B1445" s="2" t="s">
        <v>18478</v>
      </c>
      <c r="C1445" s="2" t="s">
        <v>18479</v>
      </c>
      <c r="D1445" s="2" t="s">
        <v>18480</v>
      </c>
      <c r="F1445" s="3" t="s">
        <v>58</v>
      </c>
      <c r="G1445" s="3" t="s">
        <v>59</v>
      </c>
      <c r="H1445" s="3" t="s">
        <v>58</v>
      </c>
      <c r="I1445" s="3" t="s">
        <v>58</v>
      </c>
      <c r="J1445" s="3" t="s">
        <v>60</v>
      </c>
      <c r="K1445" s="2" t="s">
        <v>18481</v>
      </c>
      <c r="L1445" s="2" t="s">
        <v>18482</v>
      </c>
      <c r="M1445" s="3" t="s">
        <v>586</v>
      </c>
      <c r="N1445" s="2" t="s">
        <v>18483</v>
      </c>
      <c r="O1445" s="3" t="s">
        <v>64</v>
      </c>
      <c r="P1445" s="3" t="s">
        <v>115</v>
      </c>
      <c r="R1445" s="3" t="s">
        <v>67</v>
      </c>
      <c r="S1445" s="4">
        <v>12</v>
      </c>
      <c r="T1445" s="4">
        <v>12</v>
      </c>
      <c r="U1445" s="5" t="s">
        <v>18222</v>
      </c>
      <c r="V1445" s="5" t="s">
        <v>18222</v>
      </c>
      <c r="W1445" s="5" t="s">
        <v>18350</v>
      </c>
      <c r="X1445" s="5" t="s">
        <v>18350</v>
      </c>
      <c r="Y1445" s="4">
        <v>156</v>
      </c>
      <c r="Z1445" s="4">
        <v>143</v>
      </c>
      <c r="AA1445" s="4">
        <v>196</v>
      </c>
      <c r="AB1445" s="4">
        <v>1</v>
      </c>
      <c r="AC1445" s="4">
        <v>2</v>
      </c>
      <c r="AD1445" s="4">
        <v>1</v>
      </c>
      <c r="AE1445" s="4">
        <v>1</v>
      </c>
      <c r="AF1445" s="4">
        <v>0</v>
      </c>
      <c r="AG1445" s="4">
        <v>0</v>
      </c>
      <c r="AH1445" s="4">
        <v>0</v>
      </c>
      <c r="AI1445" s="4">
        <v>0</v>
      </c>
      <c r="AJ1445" s="4">
        <v>1</v>
      </c>
      <c r="AK1445" s="4">
        <v>1</v>
      </c>
      <c r="AL1445" s="4">
        <v>0</v>
      </c>
      <c r="AM1445" s="4">
        <v>0</v>
      </c>
      <c r="AN1445" s="4">
        <v>0</v>
      </c>
      <c r="AO1445" s="4">
        <v>0</v>
      </c>
      <c r="AP1445" s="3" t="s">
        <v>58</v>
      </c>
      <c r="AQ1445" s="3" t="s">
        <v>58</v>
      </c>
      <c r="AS1445" s="6" t="str">
        <f>HYPERLINK("https://creighton-primo.hosted.exlibrisgroup.com/primo-explore/search?tab=default_tab&amp;search_scope=EVERYTHING&amp;vid=01CRU&amp;lang=en_US&amp;offset=0&amp;query=any,contains,991001919049702656","Catalog Record")</f>
        <v>Catalog Record</v>
      </c>
      <c r="AT1445" s="6" t="str">
        <f>HYPERLINK("http://www.worldcat.org/oclc/24219033","WorldCat Record")</f>
        <v>WorldCat Record</v>
      </c>
      <c r="AU1445" s="3" t="s">
        <v>18484</v>
      </c>
      <c r="AV1445" s="3" t="s">
        <v>18485</v>
      </c>
      <c r="AW1445" s="3" t="s">
        <v>18486</v>
      </c>
      <c r="AX1445" s="3" t="s">
        <v>18486</v>
      </c>
      <c r="AY1445" s="3" t="s">
        <v>18487</v>
      </c>
      <c r="AZ1445" s="3" t="s">
        <v>74</v>
      </c>
      <c r="BB1445" s="3" t="s">
        <v>18488</v>
      </c>
      <c r="BC1445" s="3" t="s">
        <v>18489</v>
      </c>
      <c r="BD1445" s="3" t="s">
        <v>18490</v>
      </c>
    </row>
    <row r="1446" spans="1:56" ht="42.75" customHeight="1" x14ac:dyDescent="0.25">
      <c r="A1446" s="7" t="s">
        <v>58</v>
      </c>
      <c r="B1446" s="2" t="s">
        <v>18491</v>
      </c>
      <c r="C1446" s="2" t="s">
        <v>18492</v>
      </c>
      <c r="D1446" s="2" t="s">
        <v>18493</v>
      </c>
      <c r="F1446" s="3" t="s">
        <v>58</v>
      </c>
      <c r="G1446" s="3" t="s">
        <v>59</v>
      </c>
      <c r="H1446" s="3" t="s">
        <v>58</v>
      </c>
      <c r="I1446" s="3" t="s">
        <v>58</v>
      </c>
      <c r="J1446" s="3" t="s">
        <v>60</v>
      </c>
      <c r="L1446" s="2" t="s">
        <v>18494</v>
      </c>
      <c r="M1446" s="3" t="s">
        <v>996</v>
      </c>
      <c r="O1446" s="3" t="s">
        <v>64</v>
      </c>
      <c r="P1446" s="3" t="s">
        <v>18495</v>
      </c>
      <c r="R1446" s="3" t="s">
        <v>67</v>
      </c>
      <c r="S1446" s="4">
        <v>5</v>
      </c>
      <c r="T1446" s="4">
        <v>5</v>
      </c>
      <c r="U1446" s="5" t="s">
        <v>467</v>
      </c>
      <c r="V1446" s="5" t="s">
        <v>467</v>
      </c>
      <c r="W1446" s="5" t="s">
        <v>18496</v>
      </c>
      <c r="X1446" s="5" t="s">
        <v>18496</v>
      </c>
      <c r="Y1446" s="4">
        <v>174</v>
      </c>
      <c r="Z1446" s="4">
        <v>141</v>
      </c>
      <c r="AA1446" s="4">
        <v>145</v>
      </c>
      <c r="AB1446" s="4">
        <v>1</v>
      </c>
      <c r="AC1446" s="4">
        <v>1</v>
      </c>
      <c r="AD1446" s="4">
        <v>4</v>
      </c>
      <c r="AE1446" s="4">
        <v>4</v>
      </c>
      <c r="AF1446" s="4">
        <v>0</v>
      </c>
      <c r="AG1446" s="4">
        <v>0</v>
      </c>
      <c r="AH1446" s="4">
        <v>0</v>
      </c>
      <c r="AI1446" s="4">
        <v>0</v>
      </c>
      <c r="AJ1446" s="4">
        <v>4</v>
      </c>
      <c r="AK1446" s="4">
        <v>4</v>
      </c>
      <c r="AL1446" s="4">
        <v>0</v>
      </c>
      <c r="AM1446" s="4">
        <v>0</v>
      </c>
      <c r="AN1446" s="4">
        <v>0</v>
      </c>
      <c r="AO1446" s="4">
        <v>0</v>
      </c>
      <c r="AP1446" s="3" t="s">
        <v>58</v>
      </c>
      <c r="AQ1446" s="3" t="s">
        <v>86</v>
      </c>
      <c r="AR1446" s="6" t="str">
        <f>HYPERLINK("http://catalog.hathitrust.org/Record/003343719","HathiTrust Record")</f>
        <v>HathiTrust Record</v>
      </c>
      <c r="AS1446" s="6" t="str">
        <f>HYPERLINK("https://creighton-primo.hosted.exlibrisgroup.com/primo-explore/search?tab=default_tab&amp;search_scope=EVERYTHING&amp;vid=01CRU&amp;lang=en_US&amp;offset=0&amp;query=any,contains,991004232729702656","Catalog Record")</f>
        <v>Catalog Record</v>
      </c>
      <c r="AT1446" s="6" t="str">
        <f>HYPERLINK("http://www.worldcat.org/oclc/40163512","WorldCat Record")</f>
        <v>WorldCat Record</v>
      </c>
      <c r="AU1446" s="3" t="s">
        <v>18497</v>
      </c>
      <c r="AV1446" s="3" t="s">
        <v>18498</v>
      </c>
      <c r="AW1446" s="3" t="s">
        <v>18499</v>
      </c>
      <c r="AX1446" s="3" t="s">
        <v>18499</v>
      </c>
      <c r="AY1446" s="3" t="s">
        <v>18500</v>
      </c>
      <c r="AZ1446" s="3" t="s">
        <v>74</v>
      </c>
      <c r="BB1446" s="3" t="s">
        <v>18501</v>
      </c>
      <c r="BC1446" s="3" t="s">
        <v>18502</v>
      </c>
      <c r="BD1446" s="3" t="s">
        <v>18503</v>
      </c>
    </row>
    <row r="1447" spans="1:56" ht="42.75" customHeight="1" x14ac:dyDescent="0.25">
      <c r="A1447" s="7" t="s">
        <v>58</v>
      </c>
      <c r="B1447" s="2" t="s">
        <v>18504</v>
      </c>
      <c r="C1447" s="2" t="s">
        <v>18505</v>
      </c>
      <c r="D1447" s="2" t="s">
        <v>18506</v>
      </c>
      <c r="F1447" s="3" t="s">
        <v>58</v>
      </c>
      <c r="G1447" s="3" t="s">
        <v>59</v>
      </c>
      <c r="H1447" s="3" t="s">
        <v>58</v>
      </c>
      <c r="I1447" s="3" t="s">
        <v>58</v>
      </c>
      <c r="J1447" s="3" t="s">
        <v>60</v>
      </c>
      <c r="L1447" s="2" t="s">
        <v>18507</v>
      </c>
      <c r="M1447" s="3" t="s">
        <v>534</v>
      </c>
      <c r="O1447" s="3" t="s">
        <v>64</v>
      </c>
      <c r="P1447" s="3" t="s">
        <v>18508</v>
      </c>
      <c r="R1447" s="3" t="s">
        <v>67</v>
      </c>
      <c r="S1447" s="4">
        <v>9</v>
      </c>
      <c r="T1447" s="4">
        <v>9</v>
      </c>
      <c r="U1447" s="5" t="s">
        <v>793</v>
      </c>
      <c r="V1447" s="5" t="s">
        <v>793</v>
      </c>
      <c r="W1447" s="5" t="s">
        <v>18509</v>
      </c>
      <c r="X1447" s="5" t="s">
        <v>18509</v>
      </c>
      <c r="Y1447" s="4">
        <v>10</v>
      </c>
      <c r="Z1447" s="4">
        <v>10</v>
      </c>
      <c r="AA1447" s="4">
        <v>10</v>
      </c>
      <c r="AB1447" s="4">
        <v>1</v>
      </c>
      <c r="AC1447" s="4">
        <v>1</v>
      </c>
      <c r="AD1447" s="4">
        <v>2</v>
      </c>
      <c r="AE1447" s="4">
        <v>2</v>
      </c>
      <c r="AF1447" s="4">
        <v>0</v>
      </c>
      <c r="AG1447" s="4">
        <v>0</v>
      </c>
      <c r="AH1447" s="4">
        <v>0</v>
      </c>
      <c r="AI1447" s="4">
        <v>0</v>
      </c>
      <c r="AJ1447" s="4">
        <v>2</v>
      </c>
      <c r="AK1447" s="4">
        <v>2</v>
      </c>
      <c r="AL1447" s="4">
        <v>0</v>
      </c>
      <c r="AM1447" s="4">
        <v>0</v>
      </c>
      <c r="AN1447" s="4">
        <v>0</v>
      </c>
      <c r="AO1447" s="4">
        <v>0</v>
      </c>
      <c r="AP1447" s="3" t="s">
        <v>58</v>
      </c>
      <c r="AQ1447" s="3" t="s">
        <v>58</v>
      </c>
      <c r="AS1447" s="6" t="str">
        <f>HYPERLINK("https://creighton-primo.hosted.exlibrisgroup.com/primo-explore/search?tab=default_tab&amp;search_scope=EVERYTHING&amp;vid=01CRU&amp;lang=en_US&amp;offset=0&amp;query=any,contains,991001814729702656","Catalog Record")</f>
        <v>Catalog Record</v>
      </c>
      <c r="AT1447" s="6" t="str">
        <f>HYPERLINK("http://www.worldcat.org/oclc/22786571","WorldCat Record")</f>
        <v>WorldCat Record</v>
      </c>
      <c r="AU1447" s="3" t="s">
        <v>18510</v>
      </c>
      <c r="AV1447" s="3" t="s">
        <v>18511</v>
      </c>
      <c r="AW1447" s="3" t="s">
        <v>18512</v>
      </c>
      <c r="AX1447" s="3" t="s">
        <v>18512</v>
      </c>
      <c r="AY1447" s="3" t="s">
        <v>18513</v>
      </c>
      <c r="AZ1447" s="3" t="s">
        <v>74</v>
      </c>
      <c r="BC1447" s="3" t="s">
        <v>18514</v>
      </c>
      <c r="BD1447" s="3" t="s">
        <v>18515</v>
      </c>
    </row>
    <row r="1448" spans="1:56" ht="42.75" customHeight="1" x14ac:dyDescent="0.25">
      <c r="A1448" s="7" t="s">
        <v>58</v>
      </c>
      <c r="B1448" s="2" t="s">
        <v>18516</v>
      </c>
      <c r="C1448" s="2" t="s">
        <v>18517</v>
      </c>
      <c r="D1448" s="2" t="s">
        <v>18518</v>
      </c>
      <c r="F1448" s="3" t="s">
        <v>58</v>
      </c>
      <c r="G1448" s="3" t="s">
        <v>59</v>
      </c>
      <c r="H1448" s="3" t="s">
        <v>58</v>
      </c>
      <c r="I1448" s="3" t="s">
        <v>58</v>
      </c>
      <c r="J1448" s="3" t="s">
        <v>60</v>
      </c>
      <c r="K1448" s="2" t="s">
        <v>18519</v>
      </c>
      <c r="L1448" s="2" t="s">
        <v>18520</v>
      </c>
      <c r="M1448" s="3" t="s">
        <v>765</v>
      </c>
      <c r="O1448" s="3" t="s">
        <v>64</v>
      </c>
      <c r="P1448" s="3" t="s">
        <v>115</v>
      </c>
      <c r="R1448" s="3" t="s">
        <v>67</v>
      </c>
      <c r="S1448" s="4">
        <v>13</v>
      </c>
      <c r="T1448" s="4">
        <v>13</v>
      </c>
      <c r="U1448" s="5" t="s">
        <v>10909</v>
      </c>
      <c r="V1448" s="5" t="s">
        <v>10909</v>
      </c>
      <c r="W1448" s="5" t="s">
        <v>18521</v>
      </c>
      <c r="X1448" s="5" t="s">
        <v>18521</v>
      </c>
      <c r="Y1448" s="4">
        <v>489</v>
      </c>
      <c r="Z1448" s="4">
        <v>438</v>
      </c>
      <c r="AA1448" s="4">
        <v>486</v>
      </c>
      <c r="AB1448" s="4">
        <v>2</v>
      </c>
      <c r="AC1448" s="4">
        <v>2</v>
      </c>
      <c r="AD1448" s="4">
        <v>12</v>
      </c>
      <c r="AE1448" s="4">
        <v>14</v>
      </c>
      <c r="AF1448" s="4">
        <v>3</v>
      </c>
      <c r="AG1448" s="4">
        <v>5</v>
      </c>
      <c r="AH1448" s="4">
        <v>1</v>
      </c>
      <c r="AI1448" s="4">
        <v>1</v>
      </c>
      <c r="AJ1448" s="4">
        <v>7</v>
      </c>
      <c r="AK1448" s="4">
        <v>8</v>
      </c>
      <c r="AL1448" s="4">
        <v>1</v>
      </c>
      <c r="AM1448" s="4">
        <v>1</v>
      </c>
      <c r="AN1448" s="4">
        <v>1</v>
      </c>
      <c r="AO1448" s="4">
        <v>1</v>
      </c>
      <c r="AP1448" s="3" t="s">
        <v>58</v>
      </c>
      <c r="AQ1448" s="3" t="s">
        <v>86</v>
      </c>
      <c r="AR1448" s="6" t="str">
        <f>HYPERLINK("http://catalog.hathitrust.org/Record/002991235","HathiTrust Record")</f>
        <v>HathiTrust Record</v>
      </c>
      <c r="AS1448" s="6" t="str">
        <f>HYPERLINK("https://creighton-primo.hosted.exlibrisgroup.com/primo-explore/search?tab=default_tab&amp;search_scope=EVERYTHING&amp;vid=01CRU&amp;lang=en_US&amp;offset=0&amp;query=any,contains,991002462979702656","Catalog Record")</f>
        <v>Catalog Record</v>
      </c>
      <c r="AT1448" s="6" t="str">
        <f>HYPERLINK("http://www.worldcat.org/oclc/32089986","WorldCat Record")</f>
        <v>WorldCat Record</v>
      </c>
      <c r="AU1448" s="3" t="s">
        <v>18522</v>
      </c>
      <c r="AV1448" s="3" t="s">
        <v>18523</v>
      </c>
      <c r="AW1448" s="3" t="s">
        <v>18524</v>
      </c>
      <c r="AX1448" s="3" t="s">
        <v>18524</v>
      </c>
      <c r="AY1448" s="3" t="s">
        <v>18525</v>
      </c>
      <c r="AZ1448" s="3" t="s">
        <v>74</v>
      </c>
      <c r="BB1448" s="3" t="s">
        <v>18526</v>
      </c>
      <c r="BC1448" s="3" t="s">
        <v>18527</v>
      </c>
      <c r="BD1448" s="3" t="s">
        <v>18528</v>
      </c>
    </row>
    <row r="1449" spans="1:56" ht="42.75" customHeight="1" x14ac:dyDescent="0.25">
      <c r="A1449" s="7" t="s">
        <v>58</v>
      </c>
      <c r="B1449" s="2" t="s">
        <v>18529</v>
      </c>
      <c r="C1449" s="2" t="s">
        <v>18530</v>
      </c>
      <c r="D1449" s="2" t="s">
        <v>18531</v>
      </c>
      <c r="F1449" s="3" t="s">
        <v>58</v>
      </c>
      <c r="G1449" s="3" t="s">
        <v>59</v>
      </c>
      <c r="H1449" s="3" t="s">
        <v>58</v>
      </c>
      <c r="I1449" s="3" t="s">
        <v>58</v>
      </c>
      <c r="J1449" s="3" t="s">
        <v>60</v>
      </c>
      <c r="K1449" s="2" t="s">
        <v>18532</v>
      </c>
      <c r="L1449" s="2" t="s">
        <v>18533</v>
      </c>
      <c r="M1449" s="3" t="s">
        <v>805</v>
      </c>
      <c r="N1449" s="2" t="s">
        <v>1736</v>
      </c>
      <c r="O1449" s="3" t="s">
        <v>64</v>
      </c>
      <c r="P1449" s="3" t="s">
        <v>145</v>
      </c>
      <c r="R1449" s="3" t="s">
        <v>67</v>
      </c>
      <c r="S1449" s="4">
        <v>25</v>
      </c>
      <c r="T1449" s="4">
        <v>25</v>
      </c>
      <c r="U1449" s="5" t="s">
        <v>5585</v>
      </c>
      <c r="V1449" s="5" t="s">
        <v>5585</v>
      </c>
      <c r="W1449" s="5" t="s">
        <v>18534</v>
      </c>
      <c r="X1449" s="5" t="s">
        <v>18534</v>
      </c>
      <c r="Y1449" s="4">
        <v>281</v>
      </c>
      <c r="Z1449" s="4">
        <v>248</v>
      </c>
      <c r="AA1449" s="4">
        <v>349</v>
      </c>
      <c r="AB1449" s="4">
        <v>2</v>
      </c>
      <c r="AC1449" s="4">
        <v>3</v>
      </c>
      <c r="AD1449" s="4">
        <v>10</v>
      </c>
      <c r="AE1449" s="4">
        <v>15</v>
      </c>
      <c r="AF1449" s="4">
        <v>1</v>
      </c>
      <c r="AG1449" s="4">
        <v>3</v>
      </c>
      <c r="AH1449" s="4">
        <v>4</v>
      </c>
      <c r="AI1449" s="4">
        <v>4</v>
      </c>
      <c r="AJ1449" s="4">
        <v>6</v>
      </c>
      <c r="AK1449" s="4">
        <v>8</v>
      </c>
      <c r="AL1449" s="4">
        <v>1</v>
      </c>
      <c r="AM1449" s="4">
        <v>2</v>
      </c>
      <c r="AN1449" s="4">
        <v>0</v>
      </c>
      <c r="AO1449" s="4">
        <v>0</v>
      </c>
      <c r="AP1449" s="3" t="s">
        <v>58</v>
      </c>
      <c r="AQ1449" s="3" t="s">
        <v>58</v>
      </c>
      <c r="AS1449" s="6" t="str">
        <f>HYPERLINK("https://creighton-primo.hosted.exlibrisgroup.com/primo-explore/search?tab=default_tab&amp;search_scope=EVERYTHING&amp;vid=01CRU&amp;lang=en_US&amp;offset=0&amp;query=any,contains,991002599829702656","Catalog Record")</f>
        <v>Catalog Record</v>
      </c>
      <c r="AT1449" s="6" t="str">
        <f>HYPERLINK("http://www.worldcat.org/oclc/34076220","WorldCat Record")</f>
        <v>WorldCat Record</v>
      </c>
      <c r="AU1449" s="3" t="s">
        <v>18535</v>
      </c>
      <c r="AV1449" s="3" t="s">
        <v>18536</v>
      </c>
      <c r="AW1449" s="3" t="s">
        <v>18537</v>
      </c>
      <c r="AX1449" s="3" t="s">
        <v>18537</v>
      </c>
      <c r="AY1449" s="3" t="s">
        <v>18538</v>
      </c>
      <c r="AZ1449" s="3" t="s">
        <v>74</v>
      </c>
      <c r="BB1449" s="3" t="s">
        <v>18539</v>
      </c>
      <c r="BC1449" s="3" t="s">
        <v>18540</v>
      </c>
      <c r="BD1449" s="3" t="s">
        <v>18541</v>
      </c>
    </row>
    <row r="1450" spans="1:56" ht="42.75" customHeight="1" x14ac:dyDescent="0.25">
      <c r="A1450" s="7" t="s">
        <v>58</v>
      </c>
      <c r="B1450" s="2" t="s">
        <v>18542</v>
      </c>
      <c r="C1450" s="2" t="s">
        <v>18543</v>
      </c>
      <c r="D1450" s="2" t="s">
        <v>18544</v>
      </c>
      <c r="F1450" s="3" t="s">
        <v>58</v>
      </c>
      <c r="G1450" s="3" t="s">
        <v>59</v>
      </c>
      <c r="H1450" s="3" t="s">
        <v>58</v>
      </c>
      <c r="I1450" s="3" t="s">
        <v>58</v>
      </c>
      <c r="J1450" s="3" t="s">
        <v>60</v>
      </c>
      <c r="K1450" s="2" t="s">
        <v>18545</v>
      </c>
      <c r="L1450" s="2" t="s">
        <v>18546</v>
      </c>
      <c r="M1450" s="3" t="s">
        <v>534</v>
      </c>
      <c r="O1450" s="3" t="s">
        <v>64</v>
      </c>
      <c r="P1450" s="3" t="s">
        <v>254</v>
      </c>
      <c r="Q1450" s="2" t="s">
        <v>18547</v>
      </c>
      <c r="R1450" s="3" t="s">
        <v>67</v>
      </c>
      <c r="S1450" s="4">
        <v>27</v>
      </c>
      <c r="T1450" s="4">
        <v>27</v>
      </c>
      <c r="U1450" s="5" t="s">
        <v>10909</v>
      </c>
      <c r="V1450" s="5" t="s">
        <v>10909</v>
      </c>
      <c r="W1450" s="5" t="s">
        <v>18548</v>
      </c>
      <c r="X1450" s="5" t="s">
        <v>18548</v>
      </c>
      <c r="Y1450" s="4">
        <v>57</v>
      </c>
      <c r="Z1450" s="4">
        <v>54</v>
      </c>
      <c r="AA1450" s="4">
        <v>56</v>
      </c>
      <c r="AB1450" s="4">
        <v>1</v>
      </c>
      <c r="AC1450" s="4">
        <v>1</v>
      </c>
      <c r="AD1450" s="4">
        <v>3</v>
      </c>
      <c r="AE1450" s="4">
        <v>3</v>
      </c>
      <c r="AF1450" s="4">
        <v>2</v>
      </c>
      <c r="AG1450" s="4">
        <v>2</v>
      </c>
      <c r="AH1450" s="4">
        <v>0</v>
      </c>
      <c r="AI1450" s="4">
        <v>0</v>
      </c>
      <c r="AJ1450" s="4">
        <v>3</v>
      </c>
      <c r="AK1450" s="4">
        <v>3</v>
      </c>
      <c r="AL1450" s="4">
        <v>0</v>
      </c>
      <c r="AM1450" s="4">
        <v>0</v>
      </c>
      <c r="AN1450" s="4">
        <v>0</v>
      </c>
      <c r="AO1450" s="4">
        <v>0</v>
      </c>
      <c r="AP1450" s="3" t="s">
        <v>58</v>
      </c>
      <c r="AQ1450" s="3" t="s">
        <v>86</v>
      </c>
      <c r="AR1450" s="6" t="str">
        <f>HYPERLINK("http://catalog.hathitrust.org/Record/003513753","HathiTrust Record")</f>
        <v>HathiTrust Record</v>
      </c>
      <c r="AS1450" s="6" t="str">
        <f>HYPERLINK("https://creighton-primo.hosted.exlibrisgroup.com/primo-explore/search?tab=default_tab&amp;search_scope=EVERYTHING&amp;vid=01CRU&amp;lang=en_US&amp;offset=0&amp;query=any,contains,991001764049702656","Catalog Record")</f>
        <v>Catalog Record</v>
      </c>
      <c r="AT1450" s="6" t="str">
        <f>HYPERLINK("http://www.worldcat.org/oclc/22297495","WorldCat Record")</f>
        <v>WorldCat Record</v>
      </c>
      <c r="AU1450" s="3" t="s">
        <v>18549</v>
      </c>
      <c r="AV1450" s="3" t="s">
        <v>18550</v>
      </c>
      <c r="AW1450" s="3" t="s">
        <v>18551</v>
      </c>
      <c r="AX1450" s="3" t="s">
        <v>18551</v>
      </c>
      <c r="AY1450" s="3" t="s">
        <v>18552</v>
      </c>
      <c r="AZ1450" s="3" t="s">
        <v>74</v>
      </c>
      <c r="BB1450" s="3" t="s">
        <v>18553</v>
      </c>
      <c r="BC1450" s="3" t="s">
        <v>18554</v>
      </c>
      <c r="BD1450" s="3" t="s">
        <v>18555</v>
      </c>
    </row>
    <row r="1451" spans="1:56" ht="42.75" customHeight="1" x14ac:dyDescent="0.25">
      <c r="A1451" s="7" t="s">
        <v>58</v>
      </c>
      <c r="B1451" s="2" t="s">
        <v>18556</v>
      </c>
      <c r="C1451" s="2" t="s">
        <v>18557</v>
      </c>
      <c r="D1451" s="2" t="s">
        <v>18558</v>
      </c>
      <c r="F1451" s="3" t="s">
        <v>58</v>
      </c>
      <c r="G1451" s="3" t="s">
        <v>59</v>
      </c>
      <c r="H1451" s="3" t="s">
        <v>58</v>
      </c>
      <c r="I1451" s="3" t="s">
        <v>58</v>
      </c>
      <c r="J1451" s="3" t="s">
        <v>60</v>
      </c>
      <c r="K1451" s="2" t="s">
        <v>18559</v>
      </c>
      <c r="L1451" s="2" t="s">
        <v>18560</v>
      </c>
      <c r="M1451" s="3" t="s">
        <v>480</v>
      </c>
      <c r="N1451" s="2" t="s">
        <v>1736</v>
      </c>
      <c r="O1451" s="3" t="s">
        <v>64</v>
      </c>
      <c r="P1451" s="3" t="s">
        <v>115</v>
      </c>
      <c r="R1451" s="3" t="s">
        <v>67</v>
      </c>
      <c r="S1451" s="4">
        <v>5</v>
      </c>
      <c r="T1451" s="4">
        <v>5</v>
      </c>
      <c r="U1451" s="5" t="s">
        <v>18561</v>
      </c>
      <c r="V1451" s="5" t="s">
        <v>18561</v>
      </c>
      <c r="W1451" s="5" t="s">
        <v>18562</v>
      </c>
      <c r="X1451" s="5" t="s">
        <v>18562</v>
      </c>
      <c r="Y1451" s="4">
        <v>394</v>
      </c>
      <c r="Z1451" s="4">
        <v>358</v>
      </c>
      <c r="AA1451" s="4">
        <v>515</v>
      </c>
      <c r="AB1451" s="4">
        <v>1</v>
      </c>
      <c r="AC1451" s="4">
        <v>2</v>
      </c>
      <c r="AD1451" s="4">
        <v>9</v>
      </c>
      <c r="AE1451" s="4">
        <v>15</v>
      </c>
      <c r="AF1451" s="4">
        <v>1</v>
      </c>
      <c r="AG1451" s="4">
        <v>2</v>
      </c>
      <c r="AH1451" s="4">
        <v>2</v>
      </c>
      <c r="AI1451" s="4">
        <v>4</v>
      </c>
      <c r="AJ1451" s="4">
        <v>8</v>
      </c>
      <c r="AK1451" s="4">
        <v>10</v>
      </c>
      <c r="AL1451" s="4">
        <v>0</v>
      </c>
      <c r="AM1451" s="4">
        <v>1</v>
      </c>
      <c r="AN1451" s="4">
        <v>0</v>
      </c>
      <c r="AO1451" s="4">
        <v>1</v>
      </c>
      <c r="AP1451" s="3" t="s">
        <v>58</v>
      </c>
      <c r="AQ1451" s="3" t="s">
        <v>58</v>
      </c>
      <c r="AS1451" s="6" t="str">
        <f>HYPERLINK("https://creighton-primo.hosted.exlibrisgroup.com/primo-explore/search?tab=default_tab&amp;search_scope=EVERYTHING&amp;vid=01CRU&amp;lang=en_US&amp;offset=0&amp;query=any,contains,991001416229702656","Catalog Record")</f>
        <v>Catalog Record</v>
      </c>
      <c r="AT1451" s="6" t="str">
        <f>HYPERLINK("http://www.worldcat.org/oclc/18949181","WorldCat Record")</f>
        <v>WorldCat Record</v>
      </c>
      <c r="AU1451" s="3" t="s">
        <v>18563</v>
      </c>
      <c r="AV1451" s="3" t="s">
        <v>18564</v>
      </c>
      <c r="AW1451" s="3" t="s">
        <v>18565</v>
      </c>
      <c r="AX1451" s="3" t="s">
        <v>18565</v>
      </c>
      <c r="AY1451" s="3" t="s">
        <v>18566</v>
      </c>
      <c r="AZ1451" s="3" t="s">
        <v>74</v>
      </c>
      <c r="BB1451" s="3" t="s">
        <v>18567</v>
      </c>
      <c r="BC1451" s="3" t="s">
        <v>18568</v>
      </c>
      <c r="BD1451" s="3" t="s">
        <v>18569</v>
      </c>
    </row>
    <row r="1452" spans="1:56" ht="42.75" customHeight="1" x14ac:dyDescent="0.25">
      <c r="A1452" s="7" t="s">
        <v>58</v>
      </c>
      <c r="B1452" s="2" t="s">
        <v>18570</v>
      </c>
      <c r="C1452" s="2" t="s">
        <v>18571</v>
      </c>
      <c r="D1452" s="2" t="s">
        <v>18572</v>
      </c>
      <c r="F1452" s="3" t="s">
        <v>58</v>
      </c>
      <c r="G1452" s="3" t="s">
        <v>59</v>
      </c>
      <c r="H1452" s="3" t="s">
        <v>58</v>
      </c>
      <c r="I1452" s="3" t="s">
        <v>58</v>
      </c>
      <c r="J1452" s="3" t="s">
        <v>60</v>
      </c>
      <c r="K1452" s="2" t="s">
        <v>18573</v>
      </c>
      <c r="L1452" s="2" t="s">
        <v>18574</v>
      </c>
      <c r="M1452" s="3" t="s">
        <v>98</v>
      </c>
      <c r="N1452" s="2" t="s">
        <v>1736</v>
      </c>
      <c r="O1452" s="3" t="s">
        <v>64</v>
      </c>
      <c r="P1452" s="3" t="s">
        <v>208</v>
      </c>
      <c r="R1452" s="3" t="s">
        <v>67</v>
      </c>
      <c r="S1452" s="4">
        <v>29</v>
      </c>
      <c r="T1452" s="4">
        <v>29</v>
      </c>
      <c r="U1452" s="5" t="s">
        <v>18235</v>
      </c>
      <c r="V1452" s="5" t="s">
        <v>18235</v>
      </c>
      <c r="W1452" s="5" t="s">
        <v>1576</v>
      </c>
      <c r="X1452" s="5" t="s">
        <v>1576</v>
      </c>
      <c r="Y1452" s="4">
        <v>761</v>
      </c>
      <c r="Z1452" s="4">
        <v>704</v>
      </c>
      <c r="AA1452" s="4">
        <v>872</v>
      </c>
      <c r="AB1452" s="4">
        <v>4</v>
      </c>
      <c r="AC1452" s="4">
        <v>4</v>
      </c>
      <c r="AD1452" s="4">
        <v>18</v>
      </c>
      <c r="AE1452" s="4">
        <v>19</v>
      </c>
      <c r="AF1452" s="4">
        <v>3</v>
      </c>
      <c r="AG1452" s="4">
        <v>3</v>
      </c>
      <c r="AH1452" s="4">
        <v>4</v>
      </c>
      <c r="AI1452" s="4">
        <v>4</v>
      </c>
      <c r="AJ1452" s="4">
        <v>10</v>
      </c>
      <c r="AK1452" s="4">
        <v>11</v>
      </c>
      <c r="AL1452" s="4">
        <v>2</v>
      </c>
      <c r="AM1452" s="4">
        <v>2</v>
      </c>
      <c r="AN1452" s="4">
        <v>2</v>
      </c>
      <c r="AO1452" s="4">
        <v>2</v>
      </c>
      <c r="AP1452" s="3" t="s">
        <v>58</v>
      </c>
      <c r="AQ1452" s="3" t="s">
        <v>58</v>
      </c>
      <c r="AS1452" s="6" t="str">
        <f>HYPERLINK("https://creighton-primo.hosted.exlibrisgroup.com/primo-explore/search?tab=default_tab&amp;search_scope=EVERYTHING&amp;vid=01CRU&amp;lang=en_US&amp;offset=0&amp;query=any,contains,991001158979702656","Catalog Record")</f>
        <v>Catalog Record</v>
      </c>
      <c r="AT1452" s="6" t="str">
        <f>HYPERLINK("http://www.worldcat.org/oclc/16872267","WorldCat Record")</f>
        <v>WorldCat Record</v>
      </c>
      <c r="AU1452" s="3" t="s">
        <v>18575</v>
      </c>
      <c r="AV1452" s="3" t="s">
        <v>18576</v>
      </c>
      <c r="AW1452" s="3" t="s">
        <v>18577</v>
      </c>
      <c r="AX1452" s="3" t="s">
        <v>18577</v>
      </c>
      <c r="AY1452" s="3" t="s">
        <v>18578</v>
      </c>
      <c r="AZ1452" s="3" t="s">
        <v>74</v>
      </c>
      <c r="BB1452" s="3" t="s">
        <v>18579</v>
      </c>
      <c r="BC1452" s="3" t="s">
        <v>18580</v>
      </c>
      <c r="BD1452" s="3" t="s">
        <v>18581</v>
      </c>
    </row>
    <row r="1453" spans="1:56" ht="42.75" customHeight="1" x14ac:dyDescent="0.25">
      <c r="A1453" s="7" t="s">
        <v>58</v>
      </c>
      <c r="B1453" s="2" t="s">
        <v>18582</v>
      </c>
      <c r="C1453" s="2" t="s">
        <v>18583</v>
      </c>
      <c r="D1453" s="2" t="s">
        <v>18584</v>
      </c>
      <c r="F1453" s="3" t="s">
        <v>58</v>
      </c>
      <c r="G1453" s="3" t="s">
        <v>59</v>
      </c>
      <c r="H1453" s="3" t="s">
        <v>58</v>
      </c>
      <c r="I1453" s="3" t="s">
        <v>58</v>
      </c>
      <c r="J1453" s="3" t="s">
        <v>60</v>
      </c>
      <c r="L1453" s="2" t="s">
        <v>7455</v>
      </c>
      <c r="M1453" s="3" t="s">
        <v>642</v>
      </c>
      <c r="O1453" s="3" t="s">
        <v>64</v>
      </c>
      <c r="P1453" s="3" t="s">
        <v>115</v>
      </c>
      <c r="Q1453" s="2" t="s">
        <v>18585</v>
      </c>
      <c r="R1453" s="3" t="s">
        <v>67</v>
      </c>
      <c r="S1453" s="4">
        <v>39</v>
      </c>
      <c r="T1453" s="4">
        <v>39</v>
      </c>
      <c r="U1453" s="5" t="s">
        <v>18441</v>
      </c>
      <c r="V1453" s="5" t="s">
        <v>18441</v>
      </c>
      <c r="W1453" s="5" t="s">
        <v>7573</v>
      </c>
      <c r="X1453" s="5" t="s">
        <v>7573</v>
      </c>
      <c r="Y1453" s="4">
        <v>276</v>
      </c>
      <c r="Z1453" s="4">
        <v>200</v>
      </c>
      <c r="AA1453" s="4">
        <v>226</v>
      </c>
      <c r="AB1453" s="4">
        <v>3</v>
      </c>
      <c r="AC1453" s="4">
        <v>3</v>
      </c>
      <c r="AD1453" s="4">
        <v>13</v>
      </c>
      <c r="AE1453" s="4">
        <v>15</v>
      </c>
      <c r="AF1453" s="4">
        <v>1</v>
      </c>
      <c r="AG1453" s="4">
        <v>3</v>
      </c>
      <c r="AH1453" s="4">
        <v>4</v>
      </c>
      <c r="AI1453" s="4">
        <v>4</v>
      </c>
      <c r="AJ1453" s="4">
        <v>8</v>
      </c>
      <c r="AK1453" s="4">
        <v>9</v>
      </c>
      <c r="AL1453" s="4">
        <v>2</v>
      </c>
      <c r="AM1453" s="4">
        <v>2</v>
      </c>
      <c r="AN1453" s="4">
        <v>1</v>
      </c>
      <c r="AO1453" s="4">
        <v>1</v>
      </c>
      <c r="AP1453" s="3" t="s">
        <v>58</v>
      </c>
      <c r="AQ1453" s="3" t="s">
        <v>58</v>
      </c>
      <c r="AS1453" s="6" t="str">
        <f>HYPERLINK("https://creighton-primo.hosted.exlibrisgroup.com/primo-explore/search?tab=default_tab&amp;search_scope=EVERYTHING&amp;vid=01CRU&amp;lang=en_US&amp;offset=0&amp;query=any,contains,991001923919702656","Catalog Record")</f>
        <v>Catalog Record</v>
      </c>
      <c r="AT1453" s="6" t="str">
        <f>HYPERLINK("http://www.worldcat.org/oclc/24288269","WorldCat Record")</f>
        <v>WorldCat Record</v>
      </c>
      <c r="AU1453" s="3" t="s">
        <v>18586</v>
      </c>
      <c r="AV1453" s="3" t="s">
        <v>18587</v>
      </c>
      <c r="AW1453" s="3" t="s">
        <v>18588</v>
      </c>
      <c r="AX1453" s="3" t="s">
        <v>18588</v>
      </c>
      <c r="AY1453" s="3" t="s">
        <v>18589</v>
      </c>
      <c r="AZ1453" s="3" t="s">
        <v>74</v>
      </c>
      <c r="BB1453" s="3" t="s">
        <v>18590</v>
      </c>
      <c r="BC1453" s="3" t="s">
        <v>18591</v>
      </c>
      <c r="BD1453" s="3" t="s">
        <v>18592</v>
      </c>
    </row>
    <row r="1454" spans="1:56" ht="42.75" customHeight="1" x14ac:dyDescent="0.25">
      <c r="A1454" s="7" t="s">
        <v>58</v>
      </c>
      <c r="B1454" s="2" t="s">
        <v>18593</v>
      </c>
      <c r="C1454" s="2" t="s">
        <v>18594</v>
      </c>
      <c r="D1454" s="2" t="s">
        <v>18595</v>
      </c>
      <c r="F1454" s="3" t="s">
        <v>58</v>
      </c>
      <c r="G1454" s="3" t="s">
        <v>59</v>
      </c>
      <c r="H1454" s="3" t="s">
        <v>58</v>
      </c>
      <c r="I1454" s="3" t="s">
        <v>58</v>
      </c>
      <c r="J1454" s="3" t="s">
        <v>60</v>
      </c>
      <c r="L1454" s="2" t="s">
        <v>18596</v>
      </c>
      <c r="M1454" s="3" t="s">
        <v>695</v>
      </c>
      <c r="N1454" s="2" t="s">
        <v>18597</v>
      </c>
      <c r="O1454" s="3" t="s">
        <v>64</v>
      </c>
      <c r="P1454" s="3" t="s">
        <v>115</v>
      </c>
      <c r="R1454" s="3" t="s">
        <v>67</v>
      </c>
      <c r="S1454" s="4">
        <v>24</v>
      </c>
      <c r="T1454" s="4">
        <v>24</v>
      </c>
      <c r="U1454" s="5" t="s">
        <v>18598</v>
      </c>
      <c r="V1454" s="5" t="s">
        <v>18598</v>
      </c>
      <c r="W1454" s="5" t="s">
        <v>18405</v>
      </c>
      <c r="X1454" s="5" t="s">
        <v>18405</v>
      </c>
      <c r="Y1454" s="4">
        <v>192</v>
      </c>
      <c r="Z1454" s="4">
        <v>181</v>
      </c>
      <c r="AA1454" s="4">
        <v>872</v>
      </c>
      <c r="AB1454" s="4">
        <v>1</v>
      </c>
      <c r="AC1454" s="4">
        <v>6</v>
      </c>
      <c r="AD1454" s="4">
        <v>1</v>
      </c>
      <c r="AE1454" s="4">
        <v>19</v>
      </c>
      <c r="AF1454" s="4">
        <v>0</v>
      </c>
      <c r="AG1454" s="4">
        <v>8</v>
      </c>
      <c r="AH1454" s="4">
        <v>0</v>
      </c>
      <c r="AI1454" s="4">
        <v>2</v>
      </c>
      <c r="AJ1454" s="4">
        <v>1</v>
      </c>
      <c r="AK1454" s="4">
        <v>11</v>
      </c>
      <c r="AL1454" s="4">
        <v>0</v>
      </c>
      <c r="AM1454" s="4">
        <v>0</v>
      </c>
      <c r="AN1454" s="4">
        <v>0</v>
      </c>
      <c r="AO1454" s="4">
        <v>1</v>
      </c>
      <c r="AP1454" s="3" t="s">
        <v>58</v>
      </c>
      <c r="AQ1454" s="3" t="s">
        <v>86</v>
      </c>
      <c r="AR1454" s="6" t="str">
        <f>HYPERLINK("http://catalog.hathitrust.org/Record/008744960","HathiTrust Record")</f>
        <v>HathiTrust Record</v>
      </c>
      <c r="AS1454" s="6" t="str">
        <f>HYPERLINK("https://creighton-primo.hosted.exlibrisgroup.com/primo-explore/search?tab=default_tab&amp;search_scope=EVERYTHING&amp;vid=01CRU&amp;lang=en_US&amp;offset=0&amp;query=any,contains,991002132689702656","Catalog Record")</f>
        <v>Catalog Record</v>
      </c>
      <c r="AT1454" s="6" t="str">
        <f>HYPERLINK("http://www.worldcat.org/oclc/27338918","WorldCat Record")</f>
        <v>WorldCat Record</v>
      </c>
      <c r="AU1454" s="3" t="s">
        <v>18599</v>
      </c>
      <c r="AV1454" s="3" t="s">
        <v>18600</v>
      </c>
      <c r="AW1454" s="3" t="s">
        <v>18601</v>
      </c>
      <c r="AX1454" s="3" t="s">
        <v>18601</v>
      </c>
      <c r="AY1454" s="3" t="s">
        <v>18602</v>
      </c>
      <c r="AZ1454" s="3" t="s">
        <v>74</v>
      </c>
      <c r="BB1454" s="3" t="s">
        <v>18603</v>
      </c>
      <c r="BC1454" s="3" t="s">
        <v>18604</v>
      </c>
      <c r="BD1454" s="3" t="s">
        <v>18605</v>
      </c>
    </row>
    <row r="1455" spans="1:56" ht="42.75" customHeight="1" x14ac:dyDescent="0.25">
      <c r="A1455" s="7" t="s">
        <v>58</v>
      </c>
      <c r="B1455" s="2" t="s">
        <v>18606</v>
      </c>
      <c r="C1455" s="2" t="s">
        <v>18607</v>
      </c>
      <c r="D1455" s="2" t="s">
        <v>18608</v>
      </c>
      <c r="F1455" s="3" t="s">
        <v>58</v>
      </c>
      <c r="G1455" s="3" t="s">
        <v>59</v>
      </c>
      <c r="H1455" s="3" t="s">
        <v>58</v>
      </c>
      <c r="I1455" s="3" t="s">
        <v>58</v>
      </c>
      <c r="J1455" s="3" t="s">
        <v>60</v>
      </c>
      <c r="K1455" s="2" t="s">
        <v>18609</v>
      </c>
      <c r="L1455" s="2" t="s">
        <v>18610</v>
      </c>
      <c r="M1455" s="3" t="s">
        <v>98</v>
      </c>
      <c r="N1455" s="2" t="s">
        <v>1736</v>
      </c>
      <c r="O1455" s="3" t="s">
        <v>64</v>
      </c>
      <c r="P1455" s="3" t="s">
        <v>99</v>
      </c>
      <c r="R1455" s="3" t="s">
        <v>67</v>
      </c>
      <c r="S1455" s="4">
        <v>8</v>
      </c>
      <c r="T1455" s="4">
        <v>8</v>
      </c>
      <c r="U1455" s="5" t="s">
        <v>18611</v>
      </c>
      <c r="V1455" s="5" t="s">
        <v>18611</v>
      </c>
      <c r="W1455" s="5" t="s">
        <v>5395</v>
      </c>
      <c r="X1455" s="5" t="s">
        <v>5395</v>
      </c>
      <c r="Y1455" s="4">
        <v>1069</v>
      </c>
      <c r="Z1455" s="4">
        <v>1012</v>
      </c>
      <c r="AA1455" s="4">
        <v>1509</v>
      </c>
      <c r="AB1455" s="4">
        <v>16</v>
      </c>
      <c r="AC1455" s="4">
        <v>20</v>
      </c>
      <c r="AD1455" s="4">
        <v>23</v>
      </c>
      <c r="AE1455" s="4">
        <v>42</v>
      </c>
      <c r="AF1455" s="4">
        <v>6</v>
      </c>
      <c r="AG1455" s="4">
        <v>14</v>
      </c>
      <c r="AH1455" s="4">
        <v>3</v>
      </c>
      <c r="AI1455" s="4">
        <v>8</v>
      </c>
      <c r="AJ1455" s="4">
        <v>12</v>
      </c>
      <c r="AK1455" s="4">
        <v>20</v>
      </c>
      <c r="AL1455" s="4">
        <v>4</v>
      </c>
      <c r="AM1455" s="4">
        <v>8</v>
      </c>
      <c r="AN1455" s="4">
        <v>1</v>
      </c>
      <c r="AO1455" s="4">
        <v>1</v>
      </c>
      <c r="AP1455" s="3" t="s">
        <v>58</v>
      </c>
      <c r="AQ1455" s="3" t="s">
        <v>86</v>
      </c>
      <c r="AR1455" s="6" t="str">
        <f>HYPERLINK("http://catalog.hathitrust.org/Record/001102999","HathiTrust Record")</f>
        <v>HathiTrust Record</v>
      </c>
      <c r="AS1455" s="6" t="str">
        <f>HYPERLINK("https://creighton-primo.hosted.exlibrisgroup.com/primo-explore/search?tab=default_tab&amp;search_scope=EVERYTHING&amp;vid=01CRU&amp;lang=en_US&amp;offset=0&amp;query=any,contains,991001253809702656","Catalog Record")</f>
        <v>Catalog Record</v>
      </c>
      <c r="AT1455" s="6" t="str">
        <f>HYPERLINK("http://www.worldcat.org/oclc/17726716","WorldCat Record")</f>
        <v>WorldCat Record</v>
      </c>
      <c r="AU1455" s="3" t="s">
        <v>18612</v>
      </c>
      <c r="AV1455" s="3" t="s">
        <v>18613</v>
      </c>
      <c r="AW1455" s="3" t="s">
        <v>18614</v>
      </c>
      <c r="AX1455" s="3" t="s">
        <v>18614</v>
      </c>
      <c r="AY1455" s="3" t="s">
        <v>18615</v>
      </c>
      <c r="AZ1455" s="3" t="s">
        <v>74</v>
      </c>
      <c r="BB1455" s="3" t="s">
        <v>18616</v>
      </c>
      <c r="BC1455" s="3" t="s">
        <v>18617</v>
      </c>
      <c r="BD1455" s="3" t="s">
        <v>18618</v>
      </c>
    </row>
    <row r="1456" spans="1:56" ht="42.75" customHeight="1" x14ac:dyDescent="0.25">
      <c r="A1456" s="7" t="s">
        <v>58</v>
      </c>
      <c r="B1456" s="2" t="s">
        <v>18619</v>
      </c>
      <c r="C1456" s="2" t="s">
        <v>18620</v>
      </c>
      <c r="D1456" s="2" t="s">
        <v>18621</v>
      </c>
      <c r="F1456" s="3" t="s">
        <v>58</v>
      </c>
      <c r="G1456" s="3" t="s">
        <v>59</v>
      </c>
      <c r="H1456" s="3" t="s">
        <v>58</v>
      </c>
      <c r="I1456" s="3" t="s">
        <v>58</v>
      </c>
      <c r="J1456" s="3" t="s">
        <v>60</v>
      </c>
      <c r="K1456" s="2" t="s">
        <v>18622</v>
      </c>
      <c r="L1456" s="2" t="s">
        <v>18623</v>
      </c>
      <c r="M1456" s="3" t="s">
        <v>642</v>
      </c>
      <c r="O1456" s="3" t="s">
        <v>64</v>
      </c>
      <c r="P1456" s="3" t="s">
        <v>1898</v>
      </c>
      <c r="Q1456" s="2" t="s">
        <v>18624</v>
      </c>
      <c r="R1456" s="3" t="s">
        <v>67</v>
      </c>
      <c r="S1456" s="4">
        <v>31</v>
      </c>
      <c r="T1456" s="4">
        <v>31</v>
      </c>
      <c r="U1456" s="5" t="s">
        <v>7404</v>
      </c>
      <c r="V1456" s="5" t="s">
        <v>7404</v>
      </c>
      <c r="W1456" s="5" t="s">
        <v>5560</v>
      </c>
      <c r="X1456" s="5" t="s">
        <v>5560</v>
      </c>
      <c r="Y1456" s="4">
        <v>366</v>
      </c>
      <c r="Z1456" s="4">
        <v>353</v>
      </c>
      <c r="AA1456" s="4">
        <v>353</v>
      </c>
      <c r="AB1456" s="4">
        <v>3</v>
      </c>
      <c r="AC1456" s="4">
        <v>3</v>
      </c>
      <c r="AD1456" s="4">
        <v>1</v>
      </c>
      <c r="AE1456" s="4">
        <v>1</v>
      </c>
      <c r="AF1456" s="4">
        <v>0</v>
      </c>
      <c r="AG1456" s="4">
        <v>0</v>
      </c>
      <c r="AH1456" s="4">
        <v>0</v>
      </c>
      <c r="AI1456" s="4">
        <v>0</v>
      </c>
      <c r="AJ1456" s="4">
        <v>1</v>
      </c>
      <c r="AK1456" s="4">
        <v>1</v>
      </c>
      <c r="AL1456" s="4">
        <v>0</v>
      </c>
      <c r="AM1456" s="4">
        <v>0</v>
      </c>
      <c r="AN1456" s="4">
        <v>0</v>
      </c>
      <c r="AO1456" s="4">
        <v>0</v>
      </c>
      <c r="AP1456" s="3" t="s">
        <v>58</v>
      </c>
      <c r="AQ1456" s="3" t="s">
        <v>58</v>
      </c>
      <c r="AS1456" s="6" t="str">
        <f>HYPERLINK("https://creighton-primo.hosted.exlibrisgroup.com/primo-explore/search?tab=default_tab&amp;search_scope=EVERYTHING&amp;vid=01CRU&amp;lang=en_US&amp;offset=0&amp;query=any,contains,991002018759702656","Catalog Record")</f>
        <v>Catalog Record</v>
      </c>
      <c r="AT1456" s="6" t="str">
        <f>HYPERLINK("http://www.worldcat.org/oclc/25675842","WorldCat Record")</f>
        <v>WorldCat Record</v>
      </c>
      <c r="AU1456" s="3" t="s">
        <v>18625</v>
      </c>
      <c r="AV1456" s="3" t="s">
        <v>18626</v>
      </c>
      <c r="AW1456" s="3" t="s">
        <v>18627</v>
      </c>
      <c r="AX1456" s="3" t="s">
        <v>18627</v>
      </c>
      <c r="AY1456" s="3" t="s">
        <v>18628</v>
      </c>
      <c r="AZ1456" s="3" t="s">
        <v>74</v>
      </c>
      <c r="BB1456" s="3" t="s">
        <v>18629</v>
      </c>
      <c r="BC1456" s="3" t="s">
        <v>18630</v>
      </c>
      <c r="BD1456" s="3" t="s">
        <v>18631</v>
      </c>
    </row>
    <row r="1457" spans="1:56" ht="42.75" customHeight="1" x14ac:dyDescent="0.25">
      <c r="A1457" s="7" t="s">
        <v>58</v>
      </c>
      <c r="B1457" s="2" t="s">
        <v>18632</v>
      </c>
      <c r="C1457" s="2" t="s">
        <v>18633</v>
      </c>
      <c r="D1457" s="2" t="s">
        <v>18634</v>
      </c>
      <c r="F1457" s="3" t="s">
        <v>58</v>
      </c>
      <c r="G1457" s="3" t="s">
        <v>59</v>
      </c>
      <c r="H1457" s="3" t="s">
        <v>58</v>
      </c>
      <c r="I1457" s="3" t="s">
        <v>58</v>
      </c>
      <c r="J1457" s="3" t="s">
        <v>60</v>
      </c>
      <c r="L1457" s="2" t="s">
        <v>18635</v>
      </c>
      <c r="M1457" s="3" t="s">
        <v>480</v>
      </c>
      <c r="O1457" s="3" t="s">
        <v>64</v>
      </c>
      <c r="P1457" s="3" t="s">
        <v>2213</v>
      </c>
      <c r="R1457" s="3" t="s">
        <v>67</v>
      </c>
      <c r="S1457" s="4">
        <v>27</v>
      </c>
      <c r="T1457" s="4">
        <v>27</v>
      </c>
      <c r="U1457" s="5" t="s">
        <v>18441</v>
      </c>
      <c r="V1457" s="5" t="s">
        <v>18441</v>
      </c>
      <c r="W1457" s="5" t="s">
        <v>9683</v>
      </c>
      <c r="X1457" s="5" t="s">
        <v>9683</v>
      </c>
      <c r="Y1457" s="4">
        <v>225</v>
      </c>
      <c r="Z1457" s="4">
        <v>204</v>
      </c>
      <c r="AA1457" s="4">
        <v>212</v>
      </c>
      <c r="AB1457" s="4">
        <v>1</v>
      </c>
      <c r="AC1457" s="4">
        <v>1</v>
      </c>
      <c r="AD1457" s="4">
        <v>7</v>
      </c>
      <c r="AE1457" s="4">
        <v>7</v>
      </c>
      <c r="AF1457" s="4">
        <v>4</v>
      </c>
      <c r="AG1457" s="4">
        <v>4</v>
      </c>
      <c r="AH1457" s="4">
        <v>1</v>
      </c>
      <c r="AI1457" s="4">
        <v>1</v>
      </c>
      <c r="AJ1457" s="4">
        <v>4</v>
      </c>
      <c r="AK1457" s="4">
        <v>4</v>
      </c>
      <c r="AL1457" s="4">
        <v>0</v>
      </c>
      <c r="AM1457" s="4">
        <v>0</v>
      </c>
      <c r="AN1457" s="4">
        <v>0</v>
      </c>
      <c r="AO1457" s="4">
        <v>0</v>
      </c>
      <c r="AP1457" s="3" t="s">
        <v>58</v>
      </c>
      <c r="AQ1457" s="3" t="s">
        <v>58</v>
      </c>
      <c r="AS1457" s="6" t="str">
        <f>HYPERLINK("https://creighton-primo.hosted.exlibrisgroup.com/primo-explore/search?tab=default_tab&amp;search_scope=EVERYTHING&amp;vid=01CRU&amp;lang=en_US&amp;offset=0&amp;query=any,contains,991001461479702656","Catalog Record")</f>
        <v>Catalog Record</v>
      </c>
      <c r="AT1457" s="6" t="str">
        <f>HYPERLINK("http://www.worldcat.org/oclc/19455478","WorldCat Record")</f>
        <v>WorldCat Record</v>
      </c>
      <c r="AU1457" s="3" t="s">
        <v>18636</v>
      </c>
      <c r="AV1457" s="3" t="s">
        <v>18637</v>
      </c>
      <c r="AW1457" s="3" t="s">
        <v>18638</v>
      </c>
      <c r="AX1457" s="3" t="s">
        <v>18638</v>
      </c>
      <c r="AY1457" s="3" t="s">
        <v>18639</v>
      </c>
      <c r="AZ1457" s="3" t="s">
        <v>74</v>
      </c>
      <c r="BB1457" s="3" t="s">
        <v>18640</v>
      </c>
      <c r="BC1457" s="3" t="s">
        <v>18641</v>
      </c>
      <c r="BD1457" s="3" t="s">
        <v>18642</v>
      </c>
    </row>
    <row r="1458" spans="1:56" ht="42.75" customHeight="1" x14ac:dyDescent="0.25">
      <c r="A1458" s="7" t="s">
        <v>58</v>
      </c>
      <c r="B1458" s="2" t="s">
        <v>18643</v>
      </c>
      <c r="C1458" s="2" t="s">
        <v>18644</v>
      </c>
      <c r="D1458" s="2" t="s">
        <v>18645</v>
      </c>
      <c r="F1458" s="3" t="s">
        <v>58</v>
      </c>
      <c r="G1458" s="3" t="s">
        <v>59</v>
      </c>
      <c r="H1458" s="3" t="s">
        <v>58</v>
      </c>
      <c r="I1458" s="3" t="s">
        <v>58</v>
      </c>
      <c r="J1458" s="3" t="s">
        <v>60</v>
      </c>
      <c r="K1458" s="2" t="s">
        <v>18646</v>
      </c>
      <c r="L1458" s="2" t="s">
        <v>18647</v>
      </c>
      <c r="M1458" s="3" t="s">
        <v>371</v>
      </c>
      <c r="N1458" s="2" t="s">
        <v>1736</v>
      </c>
      <c r="O1458" s="3" t="s">
        <v>64</v>
      </c>
      <c r="P1458" s="3" t="s">
        <v>99</v>
      </c>
      <c r="R1458" s="3" t="s">
        <v>67</v>
      </c>
      <c r="S1458" s="4">
        <v>7</v>
      </c>
      <c r="T1458" s="4">
        <v>7</v>
      </c>
      <c r="U1458" s="5" t="s">
        <v>18222</v>
      </c>
      <c r="V1458" s="5" t="s">
        <v>18222</v>
      </c>
      <c r="W1458" s="5" t="s">
        <v>12722</v>
      </c>
      <c r="X1458" s="5" t="s">
        <v>12722</v>
      </c>
      <c r="Y1458" s="4">
        <v>486</v>
      </c>
      <c r="Z1458" s="4">
        <v>458</v>
      </c>
      <c r="AA1458" s="4">
        <v>582</v>
      </c>
      <c r="AB1458" s="4">
        <v>8</v>
      </c>
      <c r="AC1458" s="4">
        <v>9</v>
      </c>
      <c r="AD1458" s="4">
        <v>6</v>
      </c>
      <c r="AE1458" s="4">
        <v>9</v>
      </c>
      <c r="AF1458" s="4">
        <v>2</v>
      </c>
      <c r="AG1458" s="4">
        <v>2</v>
      </c>
      <c r="AH1458" s="4">
        <v>0</v>
      </c>
      <c r="AI1458" s="4">
        <v>0</v>
      </c>
      <c r="AJ1458" s="4">
        <v>3</v>
      </c>
      <c r="AK1458" s="4">
        <v>5</v>
      </c>
      <c r="AL1458" s="4">
        <v>2</v>
      </c>
      <c r="AM1458" s="4">
        <v>3</v>
      </c>
      <c r="AN1458" s="4">
        <v>0</v>
      </c>
      <c r="AO1458" s="4">
        <v>0</v>
      </c>
      <c r="AP1458" s="3" t="s">
        <v>58</v>
      </c>
      <c r="AQ1458" s="3" t="s">
        <v>86</v>
      </c>
      <c r="AR1458" s="6" t="str">
        <f>HYPERLINK("http://catalog.hathitrust.org/Record/000849779","HathiTrust Record")</f>
        <v>HathiTrust Record</v>
      </c>
      <c r="AS1458" s="6" t="str">
        <f>HYPERLINK("https://creighton-primo.hosted.exlibrisgroup.com/primo-explore/search?tab=default_tab&amp;search_scope=EVERYTHING&amp;vid=01CRU&amp;lang=en_US&amp;offset=0&amp;query=any,contains,991000785709702656","Catalog Record")</f>
        <v>Catalog Record</v>
      </c>
      <c r="AT1458" s="6" t="str">
        <f>HYPERLINK("http://www.worldcat.org/oclc/13124365","WorldCat Record")</f>
        <v>WorldCat Record</v>
      </c>
      <c r="AU1458" s="3" t="s">
        <v>18648</v>
      </c>
      <c r="AV1458" s="3" t="s">
        <v>18649</v>
      </c>
      <c r="AW1458" s="3" t="s">
        <v>18650</v>
      </c>
      <c r="AX1458" s="3" t="s">
        <v>18650</v>
      </c>
      <c r="AY1458" s="3" t="s">
        <v>18651</v>
      </c>
      <c r="AZ1458" s="3" t="s">
        <v>74</v>
      </c>
      <c r="BB1458" s="3" t="s">
        <v>18652</v>
      </c>
      <c r="BC1458" s="3" t="s">
        <v>18653</v>
      </c>
      <c r="BD1458" s="3" t="s">
        <v>18654</v>
      </c>
    </row>
    <row r="1459" spans="1:56" ht="42.75" customHeight="1" x14ac:dyDescent="0.25">
      <c r="A1459" s="7" t="s">
        <v>58</v>
      </c>
      <c r="B1459" s="2" t="s">
        <v>18655</v>
      </c>
      <c r="C1459" s="2" t="s">
        <v>18656</v>
      </c>
      <c r="D1459" s="2" t="s">
        <v>18657</v>
      </c>
      <c r="F1459" s="3" t="s">
        <v>58</v>
      </c>
      <c r="G1459" s="3" t="s">
        <v>59</v>
      </c>
      <c r="H1459" s="3" t="s">
        <v>58</v>
      </c>
      <c r="I1459" s="3" t="s">
        <v>58</v>
      </c>
      <c r="J1459" s="3" t="s">
        <v>60</v>
      </c>
      <c r="K1459" s="2" t="s">
        <v>18658</v>
      </c>
      <c r="L1459" s="2" t="s">
        <v>18659</v>
      </c>
      <c r="M1459" s="3" t="s">
        <v>586</v>
      </c>
      <c r="N1459" s="2" t="s">
        <v>18660</v>
      </c>
      <c r="O1459" s="3" t="s">
        <v>64</v>
      </c>
      <c r="P1459" s="3" t="s">
        <v>115</v>
      </c>
      <c r="R1459" s="3" t="s">
        <v>67</v>
      </c>
      <c r="S1459" s="4">
        <v>21</v>
      </c>
      <c r="T1459" s="4">
        <v>21</v>
      </c>
      <c r="U1459" s="5" t="s">
        <v>18661</v>
      </c>
      <c r="V1459" s="5" t="s">
        <v>18661</v>
      </c>
      <c r="W1459" s="5" t="s">
        <v>4552</v>
      </c>
      <c r="X1459" s="5" t="s">
        <v>4552</v>
      </c>
      <c r="Y1459" s="4">
        <v>170</v>
      </c>
      <c r="Z1459" s="4">
        <v>159</v>
      </c>
      <c r="AA1459" s="4">
        <v>256</v>
      </c>
      <c r="AB1459" s="4">
        <v>1</v>
      </c>
      <c r="AC1459" s="4">
        <v>1</v>
      </c>
      <c r="AD1459" s="4">
        <v>3</v>
      </c>
      <c r="AE1459" s="4">
        <v>3</v>
      </c>
      <c r="AF1459" s="4">
        <v>2</v>
      </c>
      <c r="AG1459" s="4">
        <v>2</v>
      </c>
      <c r="AH1459" s="4">
        <v>0</v>
      </c>
      <c r="AI1459" s="4">
        <v>0</v>
      </c>
      <c r="AJ1459" s="4">
        <v>2</v>
      </c>
      <c r="AK1459" s="4">
        <v>2</v>
      </c>
      <c r="AL1459" s="4">
        <v>0</v>
      </c>
      <c r="AM1459" s="4">
        <v>0</v>
      </c>
      <c r="AN1459" s="4">
        <v>0</v>
      </c>
      <c r="AO1459" s="4">
        <v>0</v>
      </c>
      <c r="AP1459" s="3" t="s">
        <v>58</v>
      </c>
      <c r="AQ1459" s="3" t="s">
        <v>86</v>
      </c>
      <c r="AR1459" s="6" t="str">
        <f>HYPERLINK("http://catalog.hathitrust.org/Record/008744964","HathiTrust Record")</f>
        <v>HathiTrust Record</v>
      </c>
      <c r="AS1459" s="6" t="str">
        <f>HYPERLINK("https://creighton-primo.hosted.exlibrisgroup.com/primo-explore/search?tab=default_tab&amp;search_scope=EVERYTHING&amp;vid=01CRU&amp;lang=en_US&amp;offset=0&amp;query=any,contains,991001813639702656","Catalog Record")</f>
        <v>Catalog Record</v>
      </c>
      <c r="AT1459" s="6" t="str">
        <f>HYPERLINK("http://www.worldcat.org/oclc/22767153","WorldCat Record")</f>
        <v>WorldCat Record</v>
      </c>
      <c r="AU1459" s="3" t="s">
        <v>18662</v>
      </c>
      <c r="AV1459" s="3" t="s">
        <v>18663</v>
      </c>
      <c r="AW1459" s="3" t="s">
        <v>18664</v>
      </c>
      <c r="AX1459" s="3" t="s">
        <v>18664</v>
      </c>
      <c r="AY1459" s="3" t="s">
        <v>18665</v>
      </c>
      <c r="AZ1459" s="3" t="s">
        <v>74</v>
      </c>
      <c r="BB1459" s="3" t="s">
        <v>18666</v>
      </c>
      <c r="BC1459" s="3" t="s">
        <v>18667</v>
      </c>
      <c r="BD1459" s="3" t="s">
        <v>18668</v>
      </c>
    </row>
    <row r="1460" spans="1:56" ht="42.75" customHeight="1" x14ac:dyDescent="0.25">
      <c r="A1460" s="7" t="s">
        <v>58</v>
      </c>
      <c r="B1460" s="2" t="s">
        <v>18669</v>
      </c>
      <c r="C1460" s="2" t="s">
        <v>18670</v>
      </c>
      <c r="D1460" s="2" t="s">
        <v>18671</v>
      </c>
      <c r="F1460" s="3" t="s">
        <v>58</v>
      </c>
      <c r="G1460" s="3" t="s">
        <v>59</v>
      </c>
      <c r="H1460" s="3" t="s">
        <v>58</v>
      </c>
      <c r="I1460" s="3" t="s">
        <v>58</v>
      </c>
      <c r="J1460" s="3" t="s">
        <v>60</v>
      </c>
      <c r="L1460" s="2" t="s">
        <v>18672</v>
      </c>
      <c r="M1460" s="3" t="s">
        <v>534</v>
      </c>
      <c r="O1460" s="3" t="s">
        <v>64</v>
      </c>
      <c r="P1460" s="3" t="s">
        <v>1898</v>
      </c>
      <c r="R1460" s="3" t="s">
        <v>67</v>
      </c>
      <c r="S1460" s="4">
        <v>32</v>
      </c>
      <c r="T1460" s="4">
        <v>32</v>
      </c>
      <c r="U1460" s="5" t="s">
        <v>16149</v>
      </c>
      <c r="V1460" s="5" t="s">
        <v>16149</v>
      </c>
      <c r="W1460" s="5" t="s">
        <v>7627</v>
      </c>
      <c r="X1460" s="5" t="s">
        <v>7627</v>
      </c>
      <c r="Y1460" s="4">
        <v>284</v>
      </c>
      <c r="Z1460" s="4">
        <v>229</v>
      </c>
      <c r="AA1460" s="4">
        <v>256</v>
      </c>
      <c r="AB1460" s="4">
        <v>1</v>
      </c>
      <c r="AC1460" s="4">
        <v>1</v>
      </c>
      <c r="AD1460" s="4">
        <v>11</v>
      </c>
      <c r="AE1460" s="4">
        <v>11</v>
      </c>
      <c r="AF1460" s="4">
        <v>2</v>
      </c>
      <c r="AG1460" s="4">
        <v>2</v>
      </c>
      <c r="AH1460" s="4">
        <v>3</v>
      </c>
      <c r="AI1460" s="4">
        <v>3</v>
      </c>
      <c r="AJ1460" s="4">
        <v>9</v>
      </c>
      <c r="AK1460" s="4">
        <v>9</v>
      </c>
      <c r="AL1460" s="4">
        <v>0</v>
      </c>
      <c r="AM1460" s="4">
        <v>0</v>
      </c>
      <c r="AN1460" s="4">
        <v>0</v>
      </c>
      <c r="AO1460" s="4">
        <v>0</v>
      </c>
      <c r="AP1460" s="3" t="s">
        <v>58</v>
      </c>
      <c r="AQ1460" s="3" t="s">
        <v>58</v>
      </c>
      <c r="AS1460" s="6" t="str">
        <f>HYPERLINK("https://creighton-primo.hosted.exlibrisgroup.com/primo-explore/search?tab=default_tab&amp;search_scope=EVERYTHING&amp;vid=01CRU&amp;lang=en_US&amp;offset=0&amp;query=any,contains,991001657589702656","Catalog Record")</f>
        <v>Catalog Record</v>
      </c>
      <c r="AT1460" s="6" t="str">
        <f>HYPERLINK("http://www.worldcat.org/oclc/21150243","WorldCat Record")</f>
        <v>WorldCat Record</v>
      </c>
      <c r="AU1460" s="3" t="s">
        <v>18673</v>
      </c>
      <c r="AV1460" s="3" t="s">
        <v>18674</v>
      </c>
      <c r="AW1460" s="3" t="s">
        <v>18675</v>
      </c>
      <c r="AX1460" s="3" t="s">
        <v>18675</v>
      </c>
      <c r="AY1460" s="3" t="s">
        <v>18676</v>
      </c>
      <c r="AZ1460" s="3" t="s">
        <v>74</v>
      </c>
      <c r="BB1460" s="3" t="s">
        <v>18677</v>
      </c>
      <c r="BC1460" s="3" t="s">
        <v>18678</v>
      </c>
      <c r="BD1460" s="3" t="s">
        <v>18679</v>
      </c>
    </row>
    <row r="1461" spans="1:56" ht="42.75" customHeight="1" x14ac:dyDescent="0.25">
      <c r="A1461" s="7" t="s">
        <v>58</v>
      </c>
      <c r="B1461" s="2" t="s">
        <v>18680</v>
      </c>
      <c r="C1461" s="2" t="s">
        <v>18681</v>
      </c>
      <c r="D1461" s="2" t="s">
        <v>18682</v>
      </c>
      <c r="F1461" s="3" t="s">
        <v>58</v>
      </c>
      <c r="G1461" s="3" t="s">
        <v>59</v>
      </c>
      <c r="H1461" s="3" t="s">
        <v>86</v>
      </c>
      <c r="I1461" s="3" t="s">
        <v>58</v>
      </c>
      <c r="J1461" s="3" t="s">
        <v>60</v>
      </c>
      <c r="K1461" s="2" t="s">
        <v>18683</v>
      </c>
      <c r="L1461" s="2" t="s">
        <v>18684</v>
      </c>
      <c r="M1461" s="3" t="s">
        <v>98</v>
      </c>
      <c r="O1461" s="3" t="s">
        <v>64</v>
      </c>
      <c r="P1461" s="3" t="s">
        <v>115</v>
      </c>
      <c r="R1461" s="3" t="s">
        <v>67</v>
      </c>
      <c r="S1461" s="4">
        <v>37</v>
      </c>
      <c r="T1461" s="4">
        <v>55</v>
      </c>
      <c r="U1461" s="5" t="s">
        <v>18685</v>
      </c>
      <c r="V1461" s="5" t="s">
        <v>18685</v>
      </c>
      <c r="W1461" s="5" t="s">
        <v>4883</v>
      </c>
      <c r="X1461" s="5" t="s">
        <v>4883</v>
      </c>
      <c r="Y1461" s="4">
        <v>506</v>
      </c>
      <c r="Z1461" s="4">
        <v>472</v>
      </c>
      <c r="AA1461" s="4">
        <v>525</v>
      </c>
      <c r="AB1461" s="4">
        <v>5</v>
      </c>
      <c r="AC1461" s="4">
        <v>5</v>
      </c>
      <c r="AD1461" s="4">
        <v>15</v>
      </c>
      <c r="AE1461" s="4">
        <v>16</v>
      </c>
      <c r="AF1461" s="4">
        <v>5</v>
      </c>
      <c r="AG1461" s="4">
        <v>5</v>
      </c>
      <c r="AH1461" s="4">
        <v>3</v>
      </c>
      <c r="AI1461" s="4">
        <v>4</v>
      </c>
      <c r="AJ1461" s="4">
        <v>7</v>
      </c>
      <c r="AK1461" s="4">
        <v>8</v>
      </c>
      <c r="AL1461" s="4">
        <v>3</v>
      </c>
      <c r="AM1461" s="4">
        <v>3</v>
      </c>
      <c r="AN1461" s="4">
        <v>1</v>
      </c>
      <c r="AO1461" s="4">
        <v>1</v>
      </c>
      <c r="AP1461" s="3" t="s">
        <v>58</v>
      </c>
      <c r="AQ1461" s="3" t="s">
        <v>58</v>
      </c>
      <c r="AS1461" s="6" t="str">
        <f>HYPERLINK("https://creighton-primo.hosted.exlibrisgroup.com/primo-explore/search?tab=default_tab&amp;search_scope=EVERYTHING&amp;vid=01CRU&amp;lang=en_US&amp;offset=0&amp;query=any,contains,991001786259702656","Catalog Record")</f>
        <v>Catalog Record</v>
      </c>
      <c r="AT1461" s="6" t="str">
        <f>HYPERLINK("http://www.worldcat.org/oclc/16131422","WorldCat Record")</f>
        <v>WorldCat Record</v>
      </c>
      <c r="AU1461" s="3" t="s">
        <v>18686</v>
      </c>
      <c r="AV1461" s="3" t="s">
        <v>18687</v>
      </c>
      <c r="AW1461" s="3" t="s">
        <v>18688</v>
      </c>
      <c r="AX1461" s="3" t="s">
        <v>18688</v>
      </c>
      <c r="AY1461" s="3" t="s">
        <v>18689</v>
      </c>
      <c r="AZ1461" s="3" t="s">
        <v>74</v>
      </c>
      <c r="BB1461" s="3" t="s">
        <v>18690</v>
      </c>
      <c r="BC1461" s="3" t="s">
        <v>18691</v>
      </c>
      <c r="BD1461" s="3" t="s">
        <v>18692</v>
      </c>
    </row>
    <row r="1462" spans="1:56" ht="42.75" customHeight="1" x14ac:dyDescent="0.25">
      <c r="A1462" s="7" t="s">
        <v>58</v>
      </c>
      <c r="B1462" s="2" t="s">
        <v>18693</v>
      </c>
      <c r="C1462" s="2" t="s">
        <v>18694</v>
      </c>
      <c r="D1462" s="2" t="s">
        <v>18695</v>
      </c>
      <c r="F1462" s="3" t="s">
        <v>58</v>
      </c>
      <c r="G1462" s="3" t="s">
        <v>59</v>
      </c>
      <c r="H1462" s="3" t="s">
        <v>58</v>
      </c>
      <c r="I1462" s="3" t="s">
        <v>58</v>
      </c>
      <c r="J1462" s="3" t="s">
        <v>60</v>
      </c>
      <c r="K1462" s="2" t="s">
        <v>18696</v>
      </c>
      <c r="L1462" s="2" t="s">
        <v>18697</v>
      </c>
      <c r="M1462" s="3" t="s">
        <v>765</v>
      </c>
      <c r="O1462" s="3" t="s">
        <v>64</v>
      </c>
      <c r="P1462" s="3" t="s">
        <v>115</v>
      </c>
      <c r="Q1462" s="2" t="s">
        <v>18698</v>
      </c>
      <c r="R1462" s="3" t="s">
        <v>67</v>
      </c>
      <c r="S1462" s="4">
        <v>16</v>
      </c>
      <c r="T1462" s="4">
        <v>16</v>
      </c>
      <c r="U1462" s="5" t="s">
        <v>18661</v>
      </c>
      <c r="V1462" s="5" t="s">
        <v>18661</v>
      </c>
      <c r="W1462" s="5" t="s">
        <v>18699</v>
      </c>
      <c r="X1462" s="5" t="s">
        <v>18699</v>
      </c>
      <c r="Y1462" s="4">
        <v>238</v>
      </c>
      <c r="Z1462" s="4">
        <v>192</v>
      </c>
      <c r="AA1462" s="4">
        <v>218</v>
      </c>
      <c r="AB1462" s="4">
        <v>3</v>
      </c>
      <c r="AC1462" s="4">
        <v>3</v>
      </c>
      <c r="AD1462" s="4">
        <v>11</v>
      </c>
      <c r="AE1462" s="4">
        <v>11</v>
      </c>
      <c r="AF1462" s="4">
        <v>3</v>
      </c>
      <c r="AG1462" s="4">
        <v>3</v>
      </c>
      <c r="AH1462" s="4">
        <v>3</v>
      </c>
      <c r="AI1462" s="4">
        <v>3</v>
      </c>
      <c r="AJ1462" s="4">
        <v>7</v>
      </c>
      <c r="AK1462" s="4">
        <v>7</v>
      </c>
      <c r="AL1462" s="4">
        <v>2</v>
      </c>
      <c r="AM1462" s="4">
        <v>2</v>
      </c>
      <c r="AN1462" s="4">
        <v>1</v>
      </c>
      <c r="AO1462" s="4">
        <v>1</v>
      </c>
      <c r="AP1462" s="3" t="s">
        <v>58</v>
      </c>
      <c r="AQ1462" s="3" t="s">
        <v>86</v>
      </c>
      <c r="AR1462" s="6" t="str">
        <f>HYPERLINK("http://catalog.hathitrust.org/Record/003011592","HathiTrust Record")</f>
        <v>HathiTrust Record</v>
      </c>
      <c r="AS1462" s="6" t="str">
        <f>HYPERLINK("https://creighton-primo.hosted.exlibrisgroup.com/primo-explore/search?tab=default_tab&amp;search_scope=EVERYTHING&amp;vid=01CRU&amp;lang=en_US&amp;offset=0&amp;query=any,contains,991002383919702656","Catalog Record")</f>
        <v>Catalog Record</v>
      </c>
      <c r="AT1462" s="6" t="str">
        <f>HYPERLINK("http://www.worldcat.org/oclc/30976520","WorldCat Record")</f>
        <v>WorldCat Record</v>
      </c>
      <c r="AU1462" s="3" t="s">
        <v>18700</v>
      </c>
      <c r="AV1462" s="3" t="s">
        <v>18701</v>
      </c>
      <c r="AW1462" s="3" t="s">
        <v>18702</v>
      </c>
      <c r="AX1462" s="3" t="s">
        <v>18702</v>
      </c>
      <c r="AY1462" s="3" t="s">
        <v>18703</v>
      </c>
      <c r="AZ1462" s="3" t="s">
        <v>74</v>
      </c>
      <c r="BB1462" s="3" t="s">
        <v>18704</v>
      </c>
      <c r="BC1462" s="3" t="s">
        <v>18705</v>
      </c>
      <c r="BD1462" s="3" t="s">
        <v>18706</v>
      </c>
    </row>
    <row r="1463" spans="1:56" ht="42.75" customHeight="1" x14ac:dyDescent="0.25">
      <c r="A1463" s="7" t="s">
        <v>58</v>
      </c>
      <c r="B1463" s="2" t="s">
        <v>18707</v>
      </c>
      <c r="C1463" s="2" t="s">
        <v>18708</v>
      </c>
      <c r="D1463" s="2" t="s">
        <v>18709</v>
      </c>
      <c r="F1463" s="3" t="s">
        <v>58</v>
      </c>
      <c r="G1463" s="3" t="s">
        <v>59</v>
      </c>
      <c r="H1463" s="3" t="s">
        <v>58</v>
      </c>
      <c r="I1463" s="3" t="s">
        <v>58</v>
      </c>
      <c r="J1463" s="3" t="s">
        <v>60</v>
      </c>
      <c r="L1463" s="2" t="s">
        <v>6624</v>
      </c>
      <c r="M1463" s="3" t="s">
        <v>642</v>
      </c>
      <c r="O1463" s="3" t="s">
        <v>64</v>
      </c>
      <c r="P1463" s="3" t="s">
        <v>99</v>
      </c>
      <c r="R1463" s="3" t="s">
        <v>67</v>
      </c>
      <c r="S1463" s="4">
        <v>2</v>
      </c>
      <c r="T1463" s="4">
        <v>2</v>
      </c>
      <c r="U1463" s="5" t="s">
        <v>18323</v>
      </c>
      <c r="V1463" s="5" t="s">
        <v>18323</v>
      </c>
      <c r="W1463" s="5" t="s">
        <v>10985</v>
      </c>
      <c r="X1463" s="5" t="s">
        <v>10985</v>
      </c>
      <c r="Y1463" s="4">
        <v>315</v>
      </c>
      <c r="Z1463" s="4">
        <v>196</v>
      </c>
      <c r="AA1463" s="4">
        <v>203</v>
      </c>
      <c r="AB1463" s="4">
        <v>1</v>
      </c>
      <c r="AC1463" s="4">
        <v>1</v>
      </c>
      <c r="AD1463" s="4">
        <v>12</v>
      </c>
      <c r="AE1463" s="4">
        <v>12</v>
      </c>
      <c r="AF1463" s="4">
        <v>3</v>
      </c>
      <c r="AG1463" s="4">
        <v>3</v>
      </c>
      <c r="AH1463" s="4">
        <v>5</v>
      </c>
      <c r="AI1463" s="4">
        <v>5</v>
      </c>
      <c r="AJ1463" s="4">
        <v>7</v>
      </c>
      <c r="AK1463" s="4">
        <v>7</v>
      </c>
      <c r="AL1463" s="4">
        <v>0</v>
      </c>
      <c r="AM1463" s="4">
        <v>0</v>
      </c>
      <c r="AN1463" s="4">
        <v>1</v>
      </c>
      <c r="AO1463" s="4">
        <v>1</v>
      </c>
      <c r="AP1463" s="3" t="s">
        <v>58</v>
      </c>
      <c r="AQ1463" s="3" t="s">
        <v>58</v>
      </c>
      <c r="AS1463" s="6" t="str">
        <f>HYPERLINK("https://creighton-primo.hosted.exlibrisgroup.com/primo-explore/search?tab=default_tab&amp;search_scope=EVERYTHING&amp;vid=01CRU&amp;lang=en_US&amp;offset=0&amp;query=any,contains,991005054759702656","Catalog Record")</f>
        <v>Catalog Record</v>
      </c>
      <c r="AT1463" s="6" t="str">
        <f>HYPERLINK("http://www.worldcat.org/oclc/24793022","WorldCat Record")</f>
        <v>WorldCat Record</v>
      </c>
      <c r="AU1463" s="3" t="s">
        <v>18710</v>
      </c>
      <c r="AV1463" s="3" t="s">
        <v>18711</v>
      </c>
      <c r="AW1463" s="3" t="s">
        <v>18712</v>
      </c>
      <c r="AX1463" s="3" t="s">
        <v>18712</v>
      </c>
      <c r="AY1463" s="3" t="s">
        <v>18713</v>
      </c>
      <c r="AZ1463" s="3" t="s">
        <v>74</v>
      </c>
      <c r="BB1463" s="3" t="s">
        <v>18714</v>
      </c>
      <c r="BC1463" s="3" t="s">
        <v>18715</v>
      </c>
      <c r="BD1463" s="3" t="s">
        <v>18716</v>
      </c>
    </row>
    <row r="1464" spans="1:56" ht="42.75" customHeight="1" x14ac:dyDescent="0.25">
      <c r="A1464" s="7" t="s">
        <v>58</v>
      </c>
      <c r="B1464" s="2" t="s">
        <v>18717</v>
      </c>
      <c r="C1464" s="2" t="s">
        <v>18718</v>
      </c>
      <c r="D1464" s="2" t="s">
        <v>18719</v>
      </c>
      <c r="F1464" s="3" t="s">
        <v>58</v>
      </c>
      <c r="G1464" s="3" t="s">
        <v>59</v>
      </c>
      <c r="H1464" s="3" t="s">
        <v>58</v>
      </c>
      <c r="I1464" s="3" t="s">
        <v>58</v>
      </c>
      <c r="J1464" s="3" t="s">
        <v>60</v>
      </c>
      <c r="L1464" s="2" t="s">
        <v>11996</v>
      </c>
      <c r="M1464" s="3" t="s">
        <v>695</v>
      </c>
      <c r="O1464" s="3" t="s">
        <v>64</v>
      </c>
      <c r="P1464" s="3" t="s">
        <v>2331</v>
      </c>
      <c r="Q1464" s="2" t="s">
        <v>18720</v>
      </c>
      <c r="R1464" s="3" t="s">
        <v>67</v>
      </c>
      <c r="S1464" s="4">
        <v>7</v>
      </c>
      <c r="T1464" s="4">
        <v>7</v>
      </c>
      <c r="U1464" s="5" t="s">
        <v>1818</v>
      </c>
      <c r="V1464" s="5" t="s">
        <v>1818</v>
      </c>
      <c r="W1464" s="5" t="s">
        <v>4367</v>
      </c>
      <c r="X1464" s="5" t="s">
        <v>4367</v>
      </c>
      <c r="Y1464" s="4">
        <v>483</v>
      </c>
      <c r="Z1464" s="4">
        <v>419</v>
      </c>
      <c r="AA1464" s="4">
        <v>600</v>
      </c>
      <c r="AB1464" s="4">
        <v>2</v>
      </c>
      <c r="AC1464" s="4">
        <v>2</v>
      </c>
      <c r="AD1464" s="4">
        <v>12</v>
      </c>
      <c r="AE1464" s="4">
        <v>22</v>
      </c>
      <c r="AF1464" s="4">
        <v>3</v>
      </c>
      <c r="AG1464" s="4">
        <v>9</v>
      </c>
      <c r="AH1464" s="4">
        <v>3</v>
      </c>
      <c r="AI1464" s="4">
        <v>6</v>
      </c>
      <c r="AJ1464" s="4">
        <v>8</v>
      </c>
      <c r="AK1464" s="4">
        <v>12</v>
      </c>
      <c r="AL1464" s="4">
        <v>1</v>
      </c>
      <c r="AM1464" s="4">
        <v>1</v>
      </c>
      <c r="AN1464" s="4">
        <v>1</v>
      </c>
      <c r="AO1464" s="4">
        <v>1</v>
      </c>
      <c r="AP1464" s="3" t="s">
        <v>58</v>
      </c>
      <c r="AQ1464" s="3" t="s">
        <v>58</v>
      </c>
      <c r="AS1464" s="6" t="str">
        <f>HYPERLINK("https://creighton-primo.hosted.exlibrisgroup.com/primo-explore/search?tab=default_tab&amp;search_scope=EVERYTHING&amp;vid=01CRU&amp;lang=en_US&amp;offset=0&amp;query=any,contains,991002209989702656","Catalog Record")</f>
        <v>Catalog Record</v>
      </c>
      <c r="AT1464" s="6" t="str">
        <f>HYPERLINK("http://www.worldcat.org/oclc/28421309","WorldCat Record")</f>
        <v>WorldCat Record</v>
      </c>
      <c r="AU1464" s="3" t="s">
        <v>18721</v>
      </c>
      <c r="AV1464" s="3" t="s">
        <v>18722</v>
      </c>
      <c r="AW1464" s="3" t="s">
        <v>18723</v>
      </c>
      <c r="AX1464" s="3" t="s">
        <v>18723</v>
      </c>
      <c r="AY1464" s="3" t="s">
        <v>18724</v>
      </c>
      <c r="AZ1464" s="3" t="s">
        <v>74</v>
      </c>
      <c r="BB1464" s="3" t="s">
        <v>18725</v>
      </c>
      <c r="BC1464" s="3" t="s">
        <v>18726</v>
      </c>
      <c r="BD1464" s="3" t="s">
        <v>18727</v>
      </c>
    </row>
    <row r="1465" spans="1:56" ht="42.75" customHeight="1" x14ac:dyDescent="0.25">
      <c r="A1465" s="7" t="s">
        <v>58</v>
      </c>
      <c r="B1465" s="2" t="s">
        <v>18728</v>
      </c>
      <c r="C1465" s="2" t="s">
        <v>18729</v>
      </c>
      <c r="D1465" s="2" t="s">
        <v>18730</v>
      </c>
      <c r="F1465" s="3" t="s">
        <v>58</v>
      </c>
      <c r="G1465" s="3" t="s">
        <v>59</v>
      </c>
      <c r="H1465" s="3" t="s">
        <v>58</v>
      </c>
      <c r="I1465" s="3" t="s">
        <v>58</v>
      </c>
      <c r="J1465" s="3" t="s">
        <v>60</v>
      </c>
      <c r="K1465" s="2" t="s">
        <v>18207</v>
      </c>
      <c r="L1465" s="2" t="s">
        <v>18731</v>
      </c>
      <c r="M1465" s="3" t="s">
        <v>144</v>
      </c>
      <c r="O1465" s="3" t="s">
        <v>64</v>
      </c>
      <c r="P1465" s="3" t="s">
        <v>115</v>
      </c>
      <c r="R1465" s="3" t="s">
        <v>67</v>
      </c>
      <c r="S1465" s="4">
        <v>4</v>
      </c>
      <c r="T1465" s="4">
        <v>4</v>
      </c>
      <c r="U1465" s="5" t="s">
        <v>467</v>
      </c>
      <c r="V1465" s="5" t="s">
        <v>467</v>
      </c>
      <c r="W1465" s="5" t="s">
        <v>14305</v>
      </c>
      <c r="X1465" s="5" t="s">
        <v>14305</v>
      </c>
      <c r="Y1465" s="4">
        <v>799</v>
      </c>
      <c r="Z1465" s="4">
        <v>715</v>
      </c>
      <c r="AA1465" s="4">
        <v>745</v>
      </c>
      <c r="AB1465" s="4">
        <v>3</v>
      </c>
      <c r="AC1465" s="4">
        <v>3</v>
      </c>
      <c r="AD1465" s="4">
        <v>11</v>
      </c>
      <c r="AE1465" s="4">
        <v>13</v>
      </c>
      <c r="AF1465" s="4">
        <v>2</v>
      </c>
      <c r="AG1465" s="4">
        <v>3</v>
      </c>
      <c r="AH1465" s="4">
        <v>2</v>
      </c>
      <c r="AI1465" s="4">
        <v>3</v>
      </c>
      <c r="AJ1465" s="4">
        <v>5</v>
      </c>
      <c r="AK1465" s="4">
        <v>7</v>
      </c>
      <c r="AL1465" s="4">
        <v>2</v>
      </c>
      <c r="AM1465" s="4">
        <v>2</v>
      </c>
      <c r="AN1465" s="4">
        <v>1</v>
      </c>
      <c r="AO1465" s="4">
        <v>1</v>
      </c>
      <c r="AP1465" s="3" t="s">
        <v>58</v>
      </c>
      <c r="AQ1465" s="3" t="s">
        <v>58</v>
      </c>
      <c r="AS1465" s="6" t="str">
        <f>HYPERLINK("https://creighton-primo.hosted.exlibrisgroup.com/primo-explore/search?tab=default_tab&amp;search_scope=EVERYTHING&amp;vid=01CRU&amp;lang=en_US&amp;offset=0&amp;query=any,contains,991002865079702656","Catalog Record")</f>
        <v>Catalog Record</v>
      </c>
      <c r="AT1465" s="6" t="str">
        <f>HYPERLINK("http://www.worldcat.org/oclc/36521004","WorldCat Record")</f>
        <v>WorldCat Record</v>
      </c>
      <c r="AU1465" s="3" t="s">
        <v>18732</v>
      </c>
      <c r="AV1465" s="3" t="s">
        <v>18733</v>
      </c>
      <c r="AW1465" s="3" t="s">
        <v>18734</v>
      </c>
      <c r="AX1465" s="3" t="s">
        <v>18734</v>
      </c>
      <c r="AY1465" s="3" t="s">
        <v>18735</v>
      </c>
      <c r="AZ1465" s="3" t="s">
        <v>74</v>
      </c>
      <c r="BB1465" s="3" t="s">
        <v>18736</v>
      </c>
      <c r="BC1465" s="3" t="s">
        <v>18737</v>
      </c>
      <c r="BD1465" s="3" t="s">
        <v>18738</v>
      </c>
    </row>
    <row r="1466" spans="1:56" ht="42.75" customHeight="1" x14ac:dyDescent="0.25">
      <c r="A1466" s="7" t="s">
        <v>58</v>
      </c>
      <c r="B1466" s="2" t="s">
        <v>18739</v>
      </c>
      <c r="C1466" s="2" t="s">
        <v>18740</v>
      </c>
      <c r="D1466" s="2" t="s">
        <v>18741</v>
      </c>
      <c r="F1466" s="3" t="s">
        <v>58</v>
      </c>
      <c r="G1466" s="3" t="s">
        <v>59</v>
      </c>
      <c r="H1466" s="3" t="s">
        <v>58</v>
      </c>
      <c r="I1466" s="3" t="s">
        <v>58</v>
      </c>
      <c r="J1466" s="3" t="s">
        <v>60</v>
      </c>
      <c r="K1466" s="2" t="s">
        <v>18742</v>
      </c>
      <c r="L1466" s="2" t="s">
        <v>18743</v>
      </c>
      <c r="M1466" s="3" t="s">
        <v>98</v>
      </c>
      <c r="O1466" s="3" t="s">
        <v>64</v>
      </c>
      <c r="P1466" s="3" t="s">
        <v>115</v>
      </c>
      <c r="R1466" s="3" t="s">
        <v>67</v>
      </c>
      <c r="S1466" s="4">
        <v>3</v>
      </c>
      <c r="T1466" s="4">
        <v>3</v>
      </c>
      <c r="U1466" s="5" t="s">
        <v>18222</v>
      </c>
      <c r="V1466" s="5" t="s">
        <v>18222</v>
      </c>
      <c r="W1466" s="5" t="s">
        <v>3402</v>
      </c>
      <c r="X1466" s="5" t="s">
        <v>3402</v>
      </c>
      <c r="Y1466" s="4">
        <v>567</v>
      </c>
      <c r="Z1466" s="4">
        <v>526</v>
      </c>
      <c r="AA1466" s="4">
        <v>670</v>
      </c>
      <c r="AB1466" s="4">
        <v>5</v>
      </c>
      <c r="AC1466" s="4">
        <v>5</v>
      </c>
      <c r="AD1466" s="4">
        <v>20</v>
      </c>
      <c r="AE1466" s="4">
        <v>23</v>
      </c>
      <c r="AF1466" s="4">
        <v>6</v>
      </c>
      <c r="AG1466" s="4">
        <v>9</v>
      </c>
      <c r="AH1466" s="4">
        <v>2</v>
      </c>
      <c r="AI1466" s="4">
        <v>3</v>
      </c>
      <c r="AJ1466" s="4">
        <v>9</v>
      </c>
      <c r="AK1466" s="4">
        <v>9</v>
      </c>
      <c r="AL1466" s="4">
        <v>3</v>
      </c>
      <c r="AM1466" s="4">
        <v>3</v>
      </c>
      <c r="AN1466" s="4">
        <v>3</v>
      </c>
      <c r="AO1466" s="4">
        <v>3</v>
      </c>
      <c r="AP1466" s="3" t="s">
        <v>58</v>
      </c>
      <c r="AQ1466" s="3" t="s">
        <v>86</v>
      </c>
      <c r="AR1466" s="6" t="str">
        <f>HYPERLINK("http://catalog.hathitrust.org/Record/000937753","HathiTrust Record")</f>
        <v>HathiTrust Record</v>
      </c>
      <c r="AS1466" s="6" t="str">
        <f>HYPERLINK("https://creighton-primo.hosted.exlibrisgroup.com/primo-explore/search?tab=default_tab&amp;search_scope=EVERYTHING&amp;vid=01CRU&amp;lang=en_US&amp;offset=0&amp;query=any,contains,991001178259702656","Catalog Record")</f>
        <v>Catalog Record</v>
      </c>
      <c r="AT1466" s="6" t="str">
        <f>HYPERLINK("http://www.worldcat.org/oclc/17105335","WorldCat Record")</f>
        <v>WorldCat Record</v>
      </c>
      <c r="AU1466" s="3" t="s">
        <v>18744</v>
      </c>
      <c r="AV1466" s="3" t="s">
        <v>18745</v>
      </c>
      <c r="AW1466" s="3" t="s">
        <v>18746</v>
      </c>
      <c r="AX1466" s="3" t="s">
        <v>18746</v>
      </c>
      <c r="AY1466" s="3" t="s">
        <v>18747</v>
      </c>
      <c r="AZ1466" s="3" t="s">
        <v>74</v>
      </c>
      <c r="BB1466" s="3" t="s">
        <v>18748</v>
      </c>
      <c r="BC1466" s="3" t="s">
        <v>18749</v>
      </c>
      <c r="BD1466" s="3" t="s">
        <v>18750</v>
      </c>
    </row>
    <row r="1467" spans="1:56" ht="42.75" customHeight="1" x14ac:dyDescent="0.25">
      <c r="A1467" s="7" t="s">
        <v>58</v>
      </c>
      <c r="B1467" s="2" t="s">
        <v>18751</v>
      </c>
      <c r="C1467" s="2" t="s">
        <v>18752</v>
      </c>
      <c r="D1467" s="2" t="s">
        <v>18753</v>
      </c>
      <c r="F1467" s="3" t="s">
        <v>58</v>
      </c>
      <c r="G1467" s="3" t="s">
        <v>59</v>
      </c>
      <c r="H1467" s="3" t="s">
        <v>58</v>
      </c>
      <c r="I1467" s="3" t="s">
        <v>86</v>
      </c>
      <c r="J1467" s="3" t="s">
        <v>60</v>
      </c>
      <c r="K1467" s="2" t="s">
        <v>18754</v>
      </c>
      <c r="L1467" s="2" t="s">
        <v>18755</v>
      </c>
      <c r="M1467" s="3" t="s">
        <v>534</v>
      </c>
      <c r="O1467" s="3" t="s">
        <v>64</v>
      </c>
      <c r="P1467" s="3" t="s">
        <v>3163</v>
      </c>
      <c r="R1467" s="3" t="s">
        <v>67</v>
      </c>
      <c r="S1467" s="4">
        <v>4</v>
      </c>
      <c r="T1467" s="4">
        <v>4</v>
      </c>
      <c r="U1467" s="5" t="s">
        <v>3136</v>
      </c>
      <c r="V1467" s="5" t="s">
        <v>3136</v>
      </c>
      <c r="W1467" s="5" t="s">
        <v>18756</v>
      </c>
      <c r="X1467" s="5" t="s">
        <v>18756</v>
      </c>
      <c r="Y1467" s="4">
        <v>36</v>
      </c>
      <c r="Z1467" s="4">
        <v>35</v>
      </c>
      <c r="AA1467" s="4">
        <v>58</v>
      </c>
      <c r="AB1467" s="4">
        <v>1</v>
      </c>
      <c r="AC1467" s="4">
        <v>2</v>
      </c>
      <c r="AD1467" s="4">
        <v>0</v>
      </c>
      <c r="AE1467" s="4">
        <v>0</v>
      </c>
      <c r="AF1467" s="4">
        <v>0</v>
      </c>
      <c r="AG1467" s="4">
        <v>0</v>
      </c>
      <c r="AH1467" s="4">
        <v>0</v>
      </c>
      <c r="AI1467" s="4">
        <v>0</v>
      </c>
      <c r="AJ1467" s="4">
        <v>0</v>
      </c>
      <c r="AK1467" s="4">
        <v>0</v>
      </c>
      <c r="AL1467" s="4">
        <v>0</v>
      </c>
      <c r="AM1467" s="4">
        <v>0</v>
      </c>
      <c r="AN1467" s="4">
        <v>0</v>
      </c>
      <c r="AO1467" s="4">
        <v>0</v>
      </c>
      <c r="AP1467" s="3" t="s">
        <v>58</v>
      </c>
      <c r="AQ1467" s="3" t="s">
        <v>58</v>
      </c>
      <c r="AS1467" s="6" t="str">
        <f>HYPERLINK("https://creighton-primo.hosted.exlibrisgroup.com/primo-explore/search?tab=default_tab&amp;search_scope=EVERYTHING&amp;vid=01CRU&amp;lang=en_US&amp;offset=0&amp;query=any,contains,991002076369702656","Catalog Record")</f>
        <v>Catalog Record</v>
      </c>
      <c r="AT1467" s="6" t="str">
        <f>HYPERLINK("http://www.worldcat.org/oclc/26631797","WorldCat Record")</f>
        <v>WorldCat Record</v>
      </c>
      <c r="AU1467" s="3" t="s">
        <v>18757</v>
      </c>
      <c r="AV1467" s="3" t="s">
        <v>18758</v>
      </c>
      <c r="AW1467" s="3" t="s">
        <v>18759</v>
      </c>
      <c r="AX1467" s="3" t="s">
        <v>18759</v>
      </c>
      <c r="AY1467" s="3" t="s">
        <v>18760</v>
      </c>
      <c r="AZ1467" s="3" t="s">
        <v>74</v>
      </c>
      <c r="BC1467" s="3" t="s">
        <v>18761</v>
      </c>
      <c r="BD1467" s="3" t="s">
        <v>18762</v>
      </c>
    </row>
    <row r="1468" spans="1:56" ht="42.75" customHeight="1" x14ac:dyDescent="0.25">
      <c r="A1468" s="7" t="s">
        <v>58</v>
      </c>
      <c r="B1468" s="2" t="s">
        <v>18763</v>
      </c>
      <c r="C1468" s="2" t="s">
        <v>18764</v>
      </c>
      <c r="D1468" s="2" t="s">
        <v>18765</v>
      </c>
      <c r="F1468" s="3" t="s">
        <v>58</v>
      </c>
      <c r="G1468" s="3" t="s">
        <v>59</v>
      </c>
      <c r="H1468" s="3" t="s">
        <v>58</v>
      </c>
      <c r="I1468" s="3" t="s">
        <v>58</v>
      </c>
      <c r="J1468" s="3" t="s">
        <v>60</v>
      </c>
      <c r="K1468" s="2" t="s">
        <v>18766</v>
      </c>
      <c r="L1468" s="2" t="s">
        <v>18767</v>
      </c>
      <c r="M1468" s="3" t="s">
        <v>586</v>
      </c>
      <c r="O1468" s="3" t="s">
        <v>64</v>
      </c>
      <c r="P1468" s="3" t="s">
        <v>115</v>
      </c>
      <c r="Q1468" s="2" t="s">
        <v>18768</v>
      </c>
      <c r="R1468" s="3" t="s">
        <v>67</v>
      </c>
      <c r="S1468" s="4">
        <v>14</v>
      </c>
      <c r="T1468" s="4">
        <v>14</v>
      </c>
      <c r="U1468" s="5" t="s">
        <v>18441</v>
      </c>
      <c r="V1468" s="5" t="s">
        <v>18441</v>
      </c>
      <c r="W1468" s="5" t="s">
        <v>374</v>
      </c>
      <c r="X1468" s="5" t="s">
        <v>374</v>
      </c>
      <c r="Y1468" s="4">
        <v>292</v>
      </c>
      <c r="Z1468" s="4">
        <v>240</v>
      </c>
      <c r="AA1468" s="4">
        <v>277</v>
      </c>
      <c r="AB1468" s="4">
        <v>2</v>
      </c>
      <c r="AC1468" s="4">
        <v>2</v>
      </c>
      <c r="AD1468" s="4">
        <v>11</v>
      </c>
      <c r="AE1468" s="4">
        <v>13</v>
      </c>
      <c r="AF1468" s="4">
        <v>2</v>
      </c>
      <c r="AG1468" s="4">
        <v>3</v>
      </c>
      <c r="AH1468" s="4">
        <v>3</v>
      </c>
      <c r="AI1468" s="4">
        <v>3</v>
      </c>
      <c r="AJ1468" s="4">
        <v>7</v>
      </c>
      <c r="AK1468" s="4">
        <v>9</v>
      </c>
      <c r="AL1468" s="4">
        <v>1</v>
      </c>
      <c r="AM1468" s="4">
        <v>1</v>
      </c>
      <c r="AN1468" s="4">
        <v>0</v>
      </c>
      <c r="AO1468" s="4">
        <v>0</v>
      </c>
      <c r="AP1468" s="3" t="s">
        <v>58</v>
      </c>
      <c r="AQ1468" s="3" t="s">
        <v>86</v>
      </c>
      <c r="AR1468" s="6" t="str">
        <f>HYPERLINK("http://catalog.hathitrust.org/Record/002483411","HathiTrust Record")</f>
        <v>HathiTrust Record</v>
      </c>
      <c r="AS1468" s="6" t="str">
        <f>HYPERLINK("https://creighton-primo.hosted.exlibrisgroup.com/primo-explore/search?tab=default_tab&amp;search_scope=EVERYTHING&amp;vid=01CRU&amp;lang=en_US&amp;offset=0&amp;query=any,contains,991001714279702656","Catalog Record")</f>
        <v>Catalog Record</v>
      </c>
      <c r="AT1468" s="6" t="str">
        <f>HYPERLINK("http://www.worldcat.org/oclc/21670973","WorldCat Record")</f>
        <v>WorldCat Record</v>
      </c>
      <c r="AU1468" s="3" t="s">
        <v>18769</v>
      </c>
      <c r="AV1468" s="3" t="s">
        <v>18770</v>
      </c>
      <c r="AW1468" s="3" t="s">
        <v>18771</v>
      </c>
      <c r="AX1468" s="3" t="s">
        <v>18771</v>
      </c>
      <c r="AY1468" s="3" t="s">
        <v>18772</v>
      </c>
      <c r="AZ1468" s="3" t="s">
        <v>74</v>
      </c>
      <c r="BB1468" s="3" t="s">
        <v>18773</v>
      </c>
      <c r="BC1468" s="3" t="s">
        <v>18774</v>
      </c>
      <c r="BD1468" s="3" t="s">
        <v>18775</v>
      </c>
    </row>
    <row r="1469" spans="1:56" ht="42.75" customHeight="1" x14ac:dyDescent="0.25">
      <c r="A1469" s="7" t="s">
        <v>58</v>
      </c>
      <c r="B1469" s="2" t="s">
        <v>18776</v>
      </c>
      <c r="C1469" s="2" t="s">
        <v>18777</v>
      </c>
      <c r="D1469" s="2" t="s">
        <v>18778</v>
      </c>
      <c r="F1469" s="3" t="s">
        <v>58</v>
      </c>
      <c r="G1469" s="3" t="s">
        <v>59</v>
      </c>
      <c r="H1469" s="3" t="s">
        <v>58</v>
      </c>
      <c r="I1469" s="3" t="s">
        <v>58</v>
      </c>
      <c r="J1469" s="3" t="s">
        <v>60</v>
      </c>
      <c r="K1469" s="2" t="s">
        <v>18779</v>
      </c>
      <c r="L1469" s="2" t="s">
        <v>18780</v>
      </c>
      <c r="M1469" s="3" t="s">
        <v>996</v>
      </c>
      <c r="N1469" s="2" t="s">
        <v>1736</v>
      </c>
      <c r="O1469" s="3" t="s">
        <v>64</v>
      </c>
      <c r="P1469" s="3" t="s">
        <v>115</v>
      </c>
      <c r="R1469" s="3" t="s">
        <v>67</v>
      </c>
      <c r="S1469" s="4">
        <v>5</v>
      </c>
      <c r="T1469" s="4">
        <v>5</v>
      </c>
      <c r="U1469" s="5" t="s">
        <v>1656</v>
      </c>
      <c r="V1469" s="5" t="s">
        <v>1656</v>
      </c>
      <c r="W1469" s="5" t="s">
        <v>18781</v>
      </c>
      <c r="X1469" s="5" t="s">
        <v>18781</v>
      </c>
      <c r="Y1469" s="4">
        <v>1140</v>
      </c>
      <c r="Z1469" s="4">
        <v>1082</v>
      </c>
      <c r="AA1469" s="4">
        <v>1262</v>
      </c>
      <c r="AB1469" s="4">
        <v>11</v>
      </c>
      <c r="AC1469" s="4">
        <v>13</v>
      </c>
      <c r="AD1469" s="4">
        <v>20</v>
      </c>
      <c r="AE1469" s="4">
        <v>25</v>
      </c>
      <c r="AF1469" s="4">
        <v>7</v>
      </c>
      <c r="AG1469" s="4">
        <v>9</v>
      </c>
      <c r="AH1469" s="4">
        <v>4</v>
      </c>
      <c r="AI1469" s="4">
        <v>5</v>
      </c>
      <c r="AJ1469" s="4">
        <v>8</v>
      </c>
      <c r="AK1469" s="4">
        <v>9</v>
      </c>
      <c r="AL1469" s="4">
        <v>7</v>
      </c>
      <c r="AM1469" s="4">
        <v>8</v>
      </c>
      <c r="AN1469" s="4">
        <v>0</v>
      </c>
      <c r="AO1469" s="4">
        <v>0</v>
      </c>
      <c r="AP1469" s="3" t="s">
        <v>58</v>
      </c>
      <c r="AQ1469" s="3" t="s">
        <v>58</v>
      </c>
      <c r="AS1469" s="6" t="str">
        <f>HYPERLINK("https://creighton-primo.hosted.exlibrisgroup.com/primo-explore/search?tab=default_tab&amp;search_scope=EVERYTHING&amp;vid=01CRU&amp;lang=en_US&amp;offset=0&amp;query=any,contains,991003588559702656","Catalog Record")</f>
        <v>Catalog Record</v>
      </c>
      <c r="AT1469" s="6" t="str">
        <f>HYPERLINK("http://www.worldcat.org/oclc/42429252","WorldCat Record")</f>
        <v>WorldCat Record</v>
      </c>
      <c r="AU1469" s="3" t="s">
        <v>18782</v>
      </c>
      <c r="AV1469" s="3" t="s">
        <v>18783</v>
      </c>
      <c r="AW1469" s="3" t="s">
        <v>18784</v>
      </c>
      <c r="AX1469" s="3" t="s">
        <v>18784</v>
      </c>
      <c r="AY1469" s="3" t="s">
        <v>18785</v>
      </c>
      <c r="AZ1469" s="3" t="s">
        <v>74</v>
      </c>
      <c r="BB1469" s="3" t="s">
        <v>18786</v>
      </c>
      <c r="BC1469" s="3" t="s">
        <v>18787</v>
      </c>
      <c r="BD1469" s="3" t="s">
        <v>18788</v>
      </c>
    </row>
    <row r="1470" spans="1:56" ht="42.75" customHeight="1" x14ac:dyDescent="0.25">
      <c r="A1470" s="7" t="s">
        <v>58</v>
      </c>
      <c r="B1470" s="2" t="s">
        <v>18789</v>
      </c>
      <c r="C1470" s="2" t="s">
        <v>18790</v>
      </c>
      <c r="D1470" s="2" t="s">
        <v>18791</v>
      </c>
      <c r="F1470" s="3" t="s">
        <v>58</v>
      </c>
      <c r="G1470" s="3" t="s">
        <v>59</v>
      </c>
      <c r="H1470" s="3" t="s">
        <v>58</v>
      </c>
      <c r="I1470" s="3" t="s">
        <v>58</v>
      </c>
      <c r="J1470" s="3" t="s">
        <v>60</v>
      </c>
      <c r="K1470" s="2" t="s">
        <v>18792</v>
      </c>
      <c r="L1470" s="2" t="s">
        <v>18793</v>
      </c>
      <c r="M1470" s="3" t="s">
        <v>18794</v>
      </c>
      <c r="O1470" s="3" t="s">
        <v>64</v>
      </c>
      <c r="P1470" s="3" t="s">
        <v>115</v>
      </c>
      <c r="R1470" s="3" t="s">
        <v>67</v>
      </c>
      <c r="S1470" s="4">
        <v>4</v>
      </c>
      <c r="T1470" s="4">
        <v>4</v>
      </c>
      <c r="U1470" s="5" t="s">
        <v>18795</v>
      </c>
      <c r="V1470" s="5" t="s">
        <v>18795</v>
      </c>
      <c r="W1470" s="5" t="s">
        <v>165</v>
      </c>
      <c r="X1470" s="5" t="s">
        <v>165</v>
      </c>
      <c r="Y1470" s="4">
        <v>383</v>
      </c>
      <c r="Z1470" s="4">
        <v>321</v>
      </c>
      <c r="AA1470" s="4">
        <v>368</v>
      </c>
      <c r="AB1470" s="4">
        <v>5</v>
      </c>
      <c r="AC1470" s="4">
        <v>5</v>
      </c>
      <c r="AD1470" s="4">
        <v>17</v>
      </c>
      <c r="AE1470" s="4">
        <v>18</v>
      </c>
      <c r="AF1470" s="4">
        <v>5</v>
      </c>
      <c r="AG1470" s="4">
        <v>6</v>
      </c>
      <c r="AH1470" s="4">
        <v>3</v>
      </c>
      <c r="AI1470" s="4">
        <v>3</v>
      </c>
      <c r="AJ1470" s="4">
        <v>7</v>
      </c>
      <c r="AK1470" s="4">
        <v>8</v>
      </c>
      <c r="AL1470" s="4">
        <v>4</v>
      </c>
      <c r="AM1470" s="4">
        <v>4</v>
      </c>
      <c r="AN1470" s="4">
        <v>0</v>
      </c>
      <c r="AO1470" s="4">
        <v>0</v>
      </c>
      <c r="AP1470" s="3" t="s">
        <v>58</v>
      </c>
      <c r="AQ1470" s="3" t="s">
        <v>58</v>
      </c>
      <c r="AR1470" s="6" t="str">
        <f>HYPERLINK("http://catalog.hathitrust.org/Record/000147048","HathiTrust Record")</f>
        <v>HathiTrust Record</v>
      </c>
      <c r="AS1470" s="6" t="str">
        <f>HYPERLINK("https://creighton-primo.hosted.exlibrisgroup.com/primo-explore/search?tab=default_tab&amp;search_scope=EVERYTHING&amp;vid=01CRU&amp;lang=en_US&amp;offset=0&amp;query=any,contains,991003092799702656","Catalog Record")</f>
        <v>Catalog Record</v>
      </c>
      <c r="AT1470" s="6" t="str">
        <f>HYPERLINK("http://www.worldcat.org/oclc/642940","WorldCat Record")</f>
        <v>WorldCat Record</v>
      </c>
      <c r="AU1470" s="3" t="s">
        <v>18796</v>
      </c>
      <c r="AV1470" s="3" t="s">
        <v>18797</v>
      </c>
      <c r="AW1470" s="3" t="s">
        <v>18798</v>
      </c>
      <c r="AX1470" s="3" t="s">
        <v>18798</v>
      </c>
      <c r="AY1470" s="3" t="s">
        <v>18799</v>
      </c>
      <c r="AZ1470" s="3" t="s">
        <v>74</v>
      </c>
      <c r="BC1470" s="3" t="s">
        <v>18800</v>
      </c>
      <c r="BD1470" s="3" t="s">
        <v>18801</v>
      </c>
    </row>
    <row r="1471" spans="1:56" ht="42.75" customHeight="1" x14ac:dyDescent="0.25">
      <c r="A1471" s="7" t="s">
        <v>58</v>
      </c>
      <c r="B1471" s="2" t="s">
        <v>18802</v>
      </c>
      <c r="C1471" s="2" t="s">
        <v>18803</v>
      </c>
      <c r="D1471" s="2" t="s">
        <v>18804</v>
      </c>
      <c r="F1471" s="3" t="s">
        <v>58</v>
      </c>
      <c r="G1471" s="3" t="s">
        <v>59</v>
      </c>
      <c r="H1471" s="3" t="s">
        <v>58</v>
      </c>
      <c r="I1471" s="3" t="s">
        <v>58</v>
      </c>
      <c r="J1471" s="3" t="s">
        <v>60</v>
      </c>
      <c r="K1471" s="2" t="s">
        <v>18805</v>
      </c>
      <c r="L1471" s="2" t="s">
        <v>18806</v>
      </c>
      <c r="M1471" s="3" t="s">
        <v>5200</v>
      </c>
      <c r="O1471" s="3" t="s">
        <v>64</v>
      </c>
      <c r="P1471" s="3" t="s">
        <v>83</v>
      </c>
      <c r="R1471" s="3" t="s">
        <v>67</v>
      </c>
      <c r="S1471" s="4">
        <v>1</v>
      </c>
      <c r="T1471" s="4">
        <v>1</v>
      </c>
      <c r="U1471" s="5" t="s">
        <v>17940</v>
      </c>
      <c r="V1471" s="5" t="s">
        <v>17940</v>
      </c>
      <c r="W1471" s="5" t="s">
        <v>165</v>
      </c>
      <c r="X1471" s="5" t="s">
        <v>165</v>
      </c>
      <c r="Y1471" s="4">
        <v>470</v>
      </c>
      <c r="Z1471" s="4">
        <v>393</v>
      </c>
      <c r="AA1471" s="4">
        <v>400</v>
      </c>
      <c r="AB1471" s="4">
        <v>6</v>
      </c>
      <c r="AC1471" s="4">
        <v>6</v>
      </c>
      <c r="AD1471" s="4">
        <v>14</v>
      </c>
      <c r="AE1471" s="4">
        <v>14</v>
      </c>
      <c r="AF1471" s="4">
        <v>3</v>
      </c>
      <c r="AG1471" s="4">
        <v>3</v>
      </c>
      <c r="AH1471" s="4">
        <v>4</v>
      </c>
      <c r="AI1471" s="4">
        <v>4</v>
      </c>
      <c r="AJ1471" s="4">
        <v>5</v>
      </c>
      <c r="AK1471" s="4">
        <v>5</v>
      </c>
      <c r="AL1471" s="4">
        <v>5</v>
      </c>
      <c r="AM1471" s="4">
        <v>5</v>
      </c>
      <c r="AN1471" s="4">
        <v>0</v>
      </c>
      <c r="AO1471" s="4">
        <v>0</v>
      </c>
      <c r="AP1471" s="3" t="s">
        <v>58</v>
      </c>
      <c r="AQ1471" s="3" t="s">
        <v>86</v>
      </c>
      <c r="AR1471" s="6" t="str">
        <f>HYPERLINK("http://catalog.hathitrust.org/Record/001565541","HathiTrust Record")</f>
        <v>HathiTrust Record</v>
      </c>
      <c r="AS1471" s="6" t="str">
        <f>HYPERLINK("https://creighton-primo.hosted.exlibrisgroup.com/primo-explore/search?tab=default_tab&amp;search_scope=EVERYTHING&amp;vid=01CRU&amp;lang=en_US&amp;offset=0&amp;query=any,contains,991002865629702656","Catalog Record")</f>
        <v>Catalog Record</v>
      </c>
      <c r="AT1471" s="6" t="str">
        <f>HYPERLINK("http://www.worldcat.org/oclc/495387","WorldCat Record")</f>
        <v>WorldCat Record</v>
      </c>
      <c r="AU1471" s="3" t="s">
        <v>18807</v>
      </c>
      <c r="AV1471" s="3" t="s">
        <v>18808</v>
      </c>
      <c r="AW1471" s="3" t="s">
        <v>18809</v>
      </c>
      <c r="AX1471" s="3" t="s">
        <v>18809</v>
      </c>
      <c r="AY1471" s="3" t="s">
        <v>18810</v>
      </c>
      <c r="AZ1471" s="3" t="s">
        <v>74</v>
      </c>
      <c r="BB1471" s="3" t="s">
        <v>18811</v>
      </c>
      <c r="BC1471" s="3" t="s">
        <v>18812</v>
      </c>
      <c r="BD1471" s="3" t="s">
        <v>18813</v>
      </c>
    </row>
    <row r="1472" spans="1:56" ht="42.75" customHeight="1" x14ac:dyDescent="0.25">
      <c r="A1472" s="7" t="s">
        <v>58</v>
      </c>
      <c r="B1472" s="2" t="s">
        <v>18814</v>
      </c>
      <c r="C1472" s="2" t="s">
        <v>18815</v>
      </c>
      <c r="D1472" s="2" t="s">
        <v>18816</v>
      </c>
      <c r="F1472" s="3" t="s">
        <v>58</v>
      </c>
      <c r="G1472" s="3" t="s">
        <v>59</v>
      </c>
      <c r="H1472" s="3" t="s">
        <v>58</v>
      </c>
      <c r="I1472" s="3" t="s">
        <v>58</v>
      </c>
      <c r="J1472" s="3" t="s">
        <v>60</v>
      </c>
      <c r="K1472" s="2" t="s">
        <v>18817</v>
      </c>
      <c r="L1472" s="2" t="s">
        <v>18818</v>
      </c>
      <c r="M1472" s="3" t="s">
        <v>207</v>
      </c>
      <c r="O1472" s="3" t="s">
        <v>64</v>
      </c>
      <c r="P1472" s="3" t="s">
        <v>2130</v>
      </c>
      <c r="R1472" s="3" t="s">
        <v>67</v>
      </c>
      <c r="S1472" s="4">
        <v>9</v>
      </c>
      <c r="T1472" s="4">
        <v>9</v>
      </c>
      <c r="U1472" s="5" t="s">
        <v>6826</v>
      </c>
      <c r="V1472" s="5" t="s">
        <v>6826</v>
      </c>
      <c r="W1472" s="5" t="s">
        <v>4730</v>
      </c>
      <c r="X1472" s="5" t="s">
        <v>4730</v>
      </c>
      <c r="Y1472" s="4">
        <v>246</v>
      </c>
      <c r="Z1472" s="4">
        <v>231</v>
      </c>
      <c r="AA1472" s="4">
        <v>234</v>
      </c>
      <c r="AB1472" s="4">
        <v>4</v>
      </c>
      <c r="AC1472" s="4">
        <v>4</v>
      </c>
      <c r="AD1472" s="4">
        <v>2</v>
      </c>
      <c r="AE1472" s="4">
        <v>2</v>
      </c>
      <c r="AF1472" s="4">
        <v>0</v>
      </c>
      <c r="AG1472" s="4">
        <v>0</v>
      </c>
      <c r="AH1472" s="4">
        <v>0</v>
      </c>
      <c r="AI1472" s="4">
        <v>0</v>
      </c>
      <c r="AJ1472" s="4">
        <v>0</v>
      </c>
      <c r="AK1472" s="4">
        <v>0</v>
      </c>
      <c r="AL1472" s="4">
        <v>2</v>
      </c>
      <c r="AM1472" s="4">
        <v>2</v>
      </c>
      <c r="AN1472" s="4">
        <v>0</v>
      </c>
      <c r="AO1472" s="4">
        <v>0</v>
      </c>
      <c r="AP1472" s="3" t="s">
        <v>58</v>
      </c>
      <c r="AQ1472" s="3" t="s">
        <v>86</v>
      </c>
      <c r="AR1472" s="6" t="str">
        <f>HYPERLINK("http://catalog.hathitrust.org/Record/009801333","HathiTrust Record")</f>
        <v>HathiTrust Record</v>
      </c>
      <c r="AS1472" s="6" t="str">
        <f>HYPERLINK("https://creighton-primo.hosted.exlibrisgroup.com/primo-explore/search?tab=default_tab&amp;search_scope=EVERYTHING&amp;vid=01CRU&amp;lang=en_US&amp;offset=0&amp;query=any,contains,991005084479702656","Catalog Record")</f>
        <v>Catalog Record</v>
      </c>
      <c r="AT1472" s="6" t="str">
        <f>HYPERLINK("http://www.worldcat.org/oclc/7179256","WorldCat Record")</f>
        <v>WorldCat Record</v>
      </c>
      <c r="AU1472" s="3" t="s">
        <v>18819</v>
      </c>
      <c r="AV1472" s="3" t="s">
        <v>18820</v>
      </c>
      <c r="AW1472" s="3" t="s">
        <v>18821</v>
      </c>
      <c r="AX1472" s="3" t="s">
        <v>18821</v>
      </c>
      <c r="AY1472" s="3" t="s">
        <v>18822</v>
      </c>
      <c r="AZ1472" s="3" t="s">
        <v>74</v>
      </c>
      <c r="BB1472" s="3" t="s">
        <v>18823</v>
      </c>
      <c r="BC1472" s="3" t="s">
        <v>18824</v>
      </c>
      <c r="BD1472" s="3" t="s">
        <v>18825</v>
      </c>
    </row>
    <row r="1473" spans="1:56" ht="42.75" customHeight="1" x14ac:dyDescent="0.25">
      <c r="A1473" s="7" t="s">
        <v>58</v>
      </c>
      <c r="B1473" s="2" t="s">
        <v>18826</v>
      </c>
      <c r="C1473" s="2" t="s">
        <v>18827</v>
      </c>
      <c r="D1473" s="2" t="s">
        <v>18828</v>
      </c>
      <c r="F1473" s="3" t="s">
        <v>58</v>
      </c>
      <c r="G1473" s="3" t="s">
        <v>59</v>
      </c>
      <c r="H1473" s="3" t="s">
        <v>58</v>
      </c>
      <c r="I1473" s="3" t="s">
        <v>58</v>
      </c>
      <c r="J1473" s="3" t="s">
        <v>60</v>
      </c>
      <c r="K1473" s="2" t="s">
        <v>18829</v>
      </c>
      <c r="L1473" s="2" t="s">
        <v>18830</v>
      </c>
      <c r="M1473" s="3" t="s">
        <v>192</v>
      </c>
      <c r="O1473" s="3" t="s">
        <v>64</v>
      </c>
      <c r="P1473" s="3" t="s">
        <v>115</v>
      </c>
      <c r="Q1473" s="2" t="s">
        <v>18831</v>
      </c>
      <c r="R1473" s="3" t="s">
        <v>67</v>
      </c>
      <c r="S1473" s="4">
        <v>2</v>
      </c>
      <c r="T1473" s="4">
        <v>2</v>
      </c>
      <c r="U1473" s="5" t="s">
        <v>18832</v>
      </c>
      <c r="V1473" s="5" t="s">
        <v>18832</v>
      </c>
      <c r="W1473" s="5" t="s">
        <v>18832</v>
      </c>
      <c r="X1473" s="5" t="s">
        <v>18832</v>
      </c>
      <c r="Y1473" s="4">
        <v>800</v>
      </c>
      <c r="Z1473" s="4">
        <v>723</v>
      </c>
      <c r="AA1473" s="4">
        <v>753</v>
      </c>
      <c r="AB1473" s="4">
        <v>5</v>
      </c>
      <c r="AC1473" s="4">
        <v>5</v>
      </c>
      <c r="AD1473" s="4">
        <v>24</v>
      </c>
      <c r="AE1473" s="4">
        <v>24</v>
      </c>
      <c r="AF1473" s="4">
        <v>9</v>
      </c>
      <c r="AG1473" s="4">
        <v>9</v>
      </c>
      <c r="AH1473" s="4">
        <v>4</v>
      </c>
      <c r="AI1473" s="4">
        <v>4</v>
      </c>
      <c r="AJ1473" s="4">
        <v>12</v>
      </c>
      <c r="AK1473" s="4">
        <v>12</v>
      </c>
      <c r="AL1473" s="4">
        <v>4</v>
      </c>
      <c r="AM1473" s="4">
        <v>4</v>
      </c>
      <c r="AN1473" s="4">
        <v>0</v>
      </c>
      <c r="AO1473" s="4">
        <v>0</v>
      </c>
      <c r="AP1473" s="3" t="s">
        <v>58</v>
      </c>
      <c r="AQ1473" s="3" t="s">
        <v>58</v>
      </c>
      <c r="AS1473" s="6" t="str">
        <f>HYPERLINK("https://creighton-primo.hosted.exlibrisgroup.com/primo-explore/search?tab=default_tab&amp;search_scope=EVERYTHING&amp;vid=01CRU&amp;lang=en_US&amp;offset=0&amp;query=any,contains,991004693539702656","Catalog Record")</f>
        <v>Catalog Record</v>
      </c>
      <c r="AT1473" s="6" t="str">
        <f>HYPERLINK("http://www.worldcat.org/oclc/61123200","WorldCat Record")</f>
        <v>WorldCat Record</v>
      </c>
      <c r="AU1473" s="3" t="s">
        <v>18833</v>
      </c>
      <c r="AV1473" s="3" t="s">
        <v>18834</v>
      </c>
      <c r="AW1473" s="3" t="s">
        <v>18835</v>
      </c>
      <c r="AX1473" s="3" t="s">
        <v>18835</v>
      </c>
      <c r="AY1473" s="3" t="s">
        <v>18836</v>
      </c>
      <c r="AZ1473" s="3" t="s">
        <v>74</v>
      </c>
      <c r="BB1473" s="3" t="s">
        <v>18837</v>
      </c>
      <c r="BC1473" s="3" t="s">
        <v>18838</v>
      </c>
      <c r="BD1473" s="3" t="s">
        <v>18839</v>
      </c>
    </row>
    <row r="1474" spans="1:56" ht="42.75" customHeight="1" x14ac:dyDescent="0.25">
      <c r="A1474" s="7" t="s">
        <v>58</v>
      </c>
      <c r="B1474" s="2" t="s">
        <v>18840</v>
      </c>
      <c r="C1474" s="2" t="s">
        <v>18841</v>
      </c>
      <c r="D1474" s="2" t="s">
        <v>18842</v>
      </c>
      <c r="F1474" s="3" t="s">
        <v>58</v>
      </c>
      <c r="G1474" s="3" t="s">
        <v>59</v>
      </c>
      <c r="H1474" s="3" t="s">
        <v>58</v>
      </c>
      <c r="I1474" s="3" t="s">
        <v>58</v>
      </c>
      <c r="J1474" s="3" t="s">
        <v>60</v>
      </c>
      <c r="K1474" s="2" t="s">
        <v>18843</v>
      </c>
      <c r="L1474" s="2" t="s">
        <v>18844</v>
      </c>
      <c r="M1474" s="3" t="s">
        <v>3914</v>
      </c>
      <c r="O1474" s="3" t="s">
        <v>64</v>
      </c>
      <c r="P1474" s="3" t="s">
        <v>145</v>
      </c>
      <c r="Q1474" s="2" t="s">
        <v>18845</v>
      </c>
      <c r="R1474" s="3" t="s">
        <v>67</v>
      </c>
      <c r="S1474" s="4">
        <v>3</v>
      </c>
      <c r="T1474" s="4">
        <v>3</v>
      </c>
      <c r="U1474" s="5" t="s">
        <v>18846</v>
      </c>
      <c r="V1474" s="5" t="s">
        <v>18846</v>
      </c>
      <c r="W1474" s="5" t="s">
        <v>4730</v>
      </c>
      <c r="X1474" s="5" t="s">
        <v>4730</v>
      </c>
      <c r="Y1474" s="4">
        <v>348</v>
      </c>
      <c r="Z1474" s="4">
        <v>274</v>
      </c>
      <c r="AA1474" s="4">
        <v>279</v>
      </c>
      <c r="AB1474" s="4">
        <v>4</v>
      </c>
      <c r="AC1474" s="4">
        <v>4</v>
      </c>
      <c r="AD1474" s="4">
        <v>10</v>
      </c>
      <c r="AE1474" s="4">
        <v>10</v>
      </c>
      <c r="AF1474" s="4">
        <v>1</v>
      </c>
      <c r="AG1474" s="4">
        <v>1</v>
      </c>
      <c r="AH1474" s="4">
        <v>5</v>
      </c>
      <c r="AI1474" s="4">
        <v>5</v>
      </c>
      <c r="AJ1474" s="4">
        <v>4</v>
      </c>
      <c r="AK1474" s="4">
        <v>4</v>
      </c>
      <c r="AL1474" s="4">
        <v>3</v>
      </c>
      <c r="AM1474" s="4">
        <v>3</v>
      </c>
      <c r="AN1474" s="4">
        <v>0</v>
      </c>
      <c r="AO1474" s="4">
        <v>0</v>
      </c>
      <c r="AP1474" s="3" t="s">
        <v>58</v>
      </c>
      <c r="AQ1474" s="3" t="s">
        <v>58</v>
      </c>
      <c r="AS1474" s="6" t="str">
        <f>HYPERLINK("https://creighton-primo.hosted.exlibrisgroup.com/primo-explore/search?tab=default_tab&amp;search_scope=EVERYTHING&amp;vid=01CRU&amp;lang=en_US&amp;offset=0&amp;query=any,contains,991004264059702656","Catalog Record")</f>
        <v>Catalog Record</v>
      </c>
      <c r="AT1474" s="6" t="str">
        <f>HYPERLINK("http://www.worldcat.org/oclc/2858519","WorldCat Record")</f>
        <v>WorldCat Record</v>
      </c>
      <c r="AU1474" s="3" t="s">
        <v>18847</v>
      </c>
      <c r="AV1474" s="3" t="s">
        <v>18848</v>
      </c>
      <c r="AW1474" s="3" t="s">
        <v>18849</v>
      </c>
      <c r="AX1474" s="3" t="s">
        <v>18849</v>
      </c>
      <c r="AY1474" s="3" t="s">
        <v>18850</v>
      </c>
      <c r="AZ1474" s="3" t="s">
        <v>74</v>
      </c>
      <c r="BB1474" s="3" t="s">
        <v>18851</v>
      </c>
      <c r="BC1474" s="3" t="s">
        <v>18852</v>
      </c>
      <c r="BD1474" s="3" t="s">
        <v>18853</v>
      </c>
    </row>
    <row r="1475" spans="1:56" ht="42.75" customHeight="1" x14ac:dyDescent="0.25">
      <c r="A1475" s="7" t="s">
        <v>58</v>
      </c>
      <c r="B1475" s="2" t="s">
        <v>18854</v>
      </c>
      <c r="C1475" s="2" t="s">
        <v>18855</v>
      </c>
      <c r="D1475" s="2" t="s">
        <v>18856</v>
      </c>
      <c r="E1475" s="3" t="s">
        <v>252</v>
      </c>
      <c r="F1475" s="3" t="s">
        <v>58</v>
      </c>
      <c r="G1475" s="3" t="s">
        <v>59</v>
      </c>
      <c r="H1475" s="3" t="s">
        <v>58</v>
      </c>
      <c r="I1475" s="3" t="s">
        <v>58</v>
      </c>
      <c r="J1475" s="3" t="s">
        <v>60</v>
      </c>
      <c r="K1475" s="2" t="s">
        <v>18857</v>
      </c>
      <c r="L1475" s="2" t="s">
        <v>18858</v>
      </c>
      <c r="M1475" s="3" t="s">
        <v>2227</v>
      </c>
      <c r="O1475" s="3" t="s">
        <v>64</v>
      </c>
      <c r="P1475" s="3" t="s">
        <v>254</v>
      </c>
      <c r="R1475" s="3" t="s">
        <v>67</v>
      </c>
      <c r="S1475" s="4">
        <v>8</v>
      </c>
      <c r="T1475" s="4">
        <v>8</v>
      </c>
      <c r="U1475" s="5" t="s">
        <v>18859</v>
      </c>
      <c r="V1475" s="5" t="s">
        <v>18859</v>
      </c>
      <c r="W1475" s="5" t="s">
        <v>3324</v>
      </c>
      <c r="X1475" s="5" t="s">
        <v>3324</v>
      </c>
      <c r="Y1475" s="4">
        <v>282</v>
      </c>
      <c r="Z1475" s="4">
        <v>215</v>
      </c>
      <c r="AA1475" s="4">
        <v>218</v>
      </c>
      <c r="AB1475" s="4">
        <v>1</v>
      </c>
      <c r="AC1475" s="4">
        <v>1</v>
      </c>
      <c r="AD1475" s="4">
        <v>6</v>
      </c>
      <c r="AE1475" s="4">
        <v>6</v>
      </c>
      <c r="AF1475" s="4">
        <v>1</v>
      </c>
      <c r="AG1475" s="4">
        <v>1</v>
      </c>
      <c r="AH1475" s="4">
        <v>2</v>
      </c>
      <c r="AI1475" s="4">
        <v>2</v>
      </c>
      <c r="AJ1475" s="4">
        <v>4</v>
      </c>
      <c r="AK1475" s="4">
        <v>4</v>
      </c>
      <c r="AL1475" s="4">
        <v>0</v>
      </c>
      <c r="AM1475" s="4">
        <v>0</v>
      </c>
      <c r="AN1475" s="4">
        <v>0</v>
      </c>
      <c r="AO1475" s="4">
        <v>0</v>
      </c>
      <c r="AP1475" s="3" t="s">
        <v>58</v>
      </c>
      <c r="AQ1475" s="3" t="s">
        <v>86</v>
      </c>
      <c r="AR1475" s="6" t="str">
        <f>HYPERLINK("http://catalog.hathitrust.org/Record/000574846","HathiTrust Record")</f>
        <v>HathiTrust Record</v>
      </c>
      <c r="AS1475" s="6" t="str">
        <f>HYPERLINK("https://creighton-primo.hosted.exlibrisgroup.com/primo-explore/search?tab=default_tab&amp;search_scope=EVERYTHING&amp;vid=01CRU&amp;lang=en_US&amp;offset=0&amp;query=any,contains,991000408829702656","Catalog Record")</f>
        <v>Catalog Record</v>
      </c>
      <c r="AT1475" s="6" t="str">
        <f>HYPERLINK("http://www.worldcat.org/oclc/10696770","WorldCat Record")</f>
        <v>WorldCat Record</v>
      </c>
      <c r="AU1475" s="3" t="s">
        <v>18860</v>
      </c>
      <c r="AV1475" s="3" t="s">
        <v>18861</v>
      </c>
      <c r="AW1475" s="3" t="s">
        <v>18862</v>
      </c>
      <c r="AX1475" s="3" t="s">
        <v>18862</v>
      </c>
      <c r="AY1475" s="3" t="s">
        <v>18863</v>
      </c>
      <c r="AZ1475" s="3" t="s">
        <v>74</v>
      </c>
      <c r="BB1475" s="3" t="s">
        <v>18864</v>
      </c>
      <c r="BC1475" s="3" t="s">
        <v>18865</v>
      </c>
      <c r="BD1475" s="3" t="s">
        <v>18866</v>
      </c>
    </row>
    <row r="1476" spans="1:56" ht="42.75" customHeight="1" x14ac:dyDescent="0.25">
      <c r="A1476" s="7" t="s">
        <v>58</v>
      </c>
      <c r="B1476" s="2" t="s">
        <v>18867</v>
      </c>
      <c r="C1476" s="2" t="s">
        <v>18868</v>
      </c>
      <c r="D1476" s="2" t="s">
        <v>18869</v>
      </c>
      <c r="F1476" s="3" t="s">
        <v>58</v>
      </c>
      <c r="G1476" s="3" t="s">
        <v>59</v>
      </c>
      <c r="H1476" s="3" t="s">
        <v>86</v>
      </c>
      <c r="I1476" s="3" t="s">
        <v>58</v>
      </c>
      <c r="J1476" s="3" t="s">
        <v>60</v>
      </c>
      <c r="K1476" s="2" t="s">
        <v>18870</v>
      </c>
      <c r="L1476" s="2" t="s">
        <v>18871</v>
      </c>
      <c r="M1476" s="3" t="s">
        <v>2227</v>
      </c>
      <c r="O1476" s="3" t="s">
        <v>64</v>
      </c>
      <c r="P1476" s="3" t="s">
        <v>65</v>
      </c>
      <c r="Q1476" s="2" t="s">
        <v>18872</v>
      </c>
      <c r="R1476" s="3" t="s">
        <v>67</v>
      </c>
      <c r="S1476" s="4">
        <v>2</v>
      </c>
      <c r="T1476" s="4">
        <v>2</v>
      </c>
      <c r="U1476" s="5" t="s">
        <v>2623</v>
      </c>
      <c r="V1476" s="5" t="s">
        <v>2623</v>
      </c>
      <c r="W1476" s="5" t="s">
        <v>3300</v>
      </c>
      <c r="X1476" s="5" t="s">
        <v>3300</v>
      </c>
      <c r="Y1476" s="4">
        <v>229</v>
      </c>
      <c r="Z1476" s="4">
        <v>139</v>
      </c>
      <c r="AA1476" s="4">
        <v>149</v>
      </c>
      <c r="AB1476" s="4">
        <v>2</v>
      </c>
      <c r="AC1476" s="4">
        <v>2</v>
      </c>
      <c r="AD1476" s="4">
        <v>4</v>
      </c>
      <c r="AE1476" s="4">
        <v>4</v>
      </c>
      <c r="AF1476" s="4">
        <v>2</v>
      </c>
      <c r="AG1476" s="4">
        <v>2</v>
      </c>
      <c r="AH1476" s="4">
        <v>1</v>
      </c>
      <c r="AI1476" s="4">
        <v>1</v>
      </c>
      <c r="AJ1476" s="4">
        <v>3</v>
      </c>
      <c r="AK1476" s="4">
        <v>3</v>
      </c>
      <c r="AL1476" s="4">
        <v>0</v>
      </c>
      <c r="AM1476" s="4">
        <v>0</v>
      </c>
      <c r="AN1476" s="4">
        <v>0</v>
      </c>
      <c r="AO1476" s="4">
        <v>0</v>
      </c>
      <c r="AP1476" s="3" t="s">
        <v>58</v>
      </c>
      <c r="AQ1476" s="3" t="s">
        <v>86</v>
      </c>
      <c r="AR1476" s="6" t="str">
        <f>HYPERLINK("http://catalog.hathitrust.org/Record/000620738","HathiTrust Record")</f>
        <v>HathiTrust Record</v>
      </c>
      <c r="AS1476" s="6" t="str">
        <f>HYPERLINK("https://creighton-primo.hosted.exlibrisgroup.com/primo-explore/search?tab=default_tab&amp;search_scope=EVERYTHING&amp;vid=01CRU&amp;lang=en_US&amp;offset=0&amp;query=any,contains,991000534209702656","Catalog Record")</f>
        <v>Catalog Record</v>
      </c>
      <c r="AT1476" s="6" t="str">
        <f>HYPERLINK("http://www.worldcat.org/oclc/11441886","WorldCat Record")</f>
        <v>WorldCat Record</v>
      </c>
      <c r="AU1476" s="3" t="s">
        <v>18873</v>
      </c>
      <c r="AV1476" s="3" t="s">
        <v>18874</v>
      </c>
      <c r="AW1476" s="3" t="s">
        <v>18875</v>
      </c>
      <c r="AX1476" s="3" t="s">
        <v>18875</v>
      </c>
      <c r="AY1476" s="3" t="s">
        <v>18876</v>
      </c>
      <c r="AZ1476" s="3" t="s">
        <v>74</v>
      </c>
      <c r="BB1476" s="3" t="s">
        <v>18877</v>
      </c>
      <c r="BC1476" s="3" t="s">
        <v>18878</v>
      </c>
      <c r="BD1476" s="3" t="s">
        <v>18879</v>
      </c>
    </row>
    <row r="1477" spans="1:56" ht="42.75" customHeight="1" x14ac:dyDescent="0.25">
      <c r="A1477" s="7" t="s">
        <v>58</v>
      </c>
      <c r="B1477" s="2" t="s">
        <v>18880</v>
      </c>
      <c r="C1477" s="2" t="s">
        <v>18881</v>
      </c>
      <c r="D1477" s="2" t="s">
        <v>18882</v>
      </c>
      <c r="F1477" s="3" t="s">
        <v>58</v>
      </c>
      <c r="G1477" s="3" t="s">
        <v>59</v>
      </c>
      <c r="H1477" s="3" t="s">
        <v>86</v>
      </c>
      <c r="I1477" s="3" t="s">
        <v>58</v>
      </c>
      <c r="J1477" s="3" t="s">
        <v>60</v>
      </c>
      <c r="K1477" s="2" t="s">
        <v>18883</v>
      </c>
      <c r="L1477" s="2" t="s">
        <v>10493</v>
      </c>
      <c r="M1477" s="3" t="s">
        <v>2227</v>
      </c>
      <c r="O1477" s="3" t="s">
        <v>64</v>
      </c>
      <c r="P1477" s="3" t="s">
        <v>115</v>
      </c>
      <c r="Q1477" s="2" t="s">
        <v>14219</v>
      </c>
      <c r="R1477" s="3" t="s">
        <v>67</v>
      </c>
      <c r="S1477" s="4">
        <v>11</v>
      </c>
      <c r="T1477" s="4">
        <v>14</v>
      </c>
      <c r="U1477" s="5" t="s">
        <v>18884</v>
      </c>
      <c r="V1477" s="5" t="s">
        <v>18884</v>
      </c>
      <c r="W1477" s="5" t="s">
        <v>14819</v>
      </c>
      <c r="X1477" s="5" t="s">
        <v>14819</v>
      </c>
      <c r="Y1477" s="4">
        <v>212</v>
      </c>
      <c r="Z1477" s="4">
        <v>206</v>
      </c>
      <c r="AA1477" s="4">
        <v>232</v>
      </c>
      <c r="AB1477" s="4">
        <v>3</v>
      </c>
      <c r="AC1477" s="4">
        <v>3</v>
      </c>
      <c r="AD1477" s="4">
        <v>9</v>
      </c>
      <c r="AE1477" s="4">
        <v>10</v>
      </c>
      <c r="AF1477" s="4">
        <v>4</v>
      </c>
      <c r="AG1477" s="4">
        <v>4</v>
      </c>
      <c r="AH1477" s="4">
        <v>2</v>
      </c>
      <c r="AI1477" s="4">
        <v>3</v>
      </c>
      <c r="AJ1477" s="4">
        <v>5</v>
      </c>
      <c r="AK1477" s="4">
        <v>6</v>
      </c>
      <c r="AL1477" s="4">
        <v>1</v>
      </c>
      <c r="AM1477" s="4">
        <v>1</v>
      </c>
      <c r="AN1477" s="4">
        <v>0</v>
      </c>
      <c r="AO1477" s="4">
        <v>0</v>
      </c>
      <c r="AP1477" s="3" t="s">
        <v>58</v>
      </c>
      <c r="AQ1477" s="3" t="s">
        <v>86</v>
      </c>
      <c r="AR1477" s="6" t="str">
        <f>HYPERLINK("http://catalog.hathitrust.org/Record/000374705","HathiTrust Record")</f>
        <v>HathiTrust Record</v>
      </c>
      <c r="AS1477" s="6" t="str">
        <f>HYPERLINK("https://creighton-primo.hosted.exlibrisgroup.com/primo-explore/search?tab=default_tab&amp;search_scope=EVERYTHING&amp;vid=01CRU&amp;lang=en_US&amp;offset=0&amp;query=any,contains,991001780079702656","Catalog Record")</f>
        <v>Catalog Record</v>
      </c>
      <c r="AT1477" s="6" t="str">
        <f>HYPERLINK("http://www.worldcat.org/oclc/12052380","WorldCat Record")</f>
        <v>WorldCat Record</v>
      </c>
      <c r="AU1477" s="3" t="s">
        <v>18885</v>
      </c>
      <c r="AV1477" s="3" t="s">
        <v>18886</v>
      </c>
      <c r="AW1477" s="3" t="s">
        <v>18887</v>
      </c>
      <c r="AX1477" s="3" t="s">
        <v>18887</v>
      </c>
      <c r="AY1477" s="3" t="s">
        <v>18888</v>
      </c>
      <c r="AZ1477" s="3" t="s">
        <v>74</v>
      </c>
      <c r="BB1477" s="3" t="s">
        <v>18889</v>
      </c>
      <c r="BC1477" s="3" t="s">
        <v>18890</v>
      </c>
      <c r="BD1477" s="3" t="s">
        <v>18891</v>
      </c>
    </row>
    <row r="1478" spans="1:56" ht="42.75" customHeight="1" x14ac:dyDescent="0.25">
      <c r="A1478" s="7" t="s">
        <v>58</v>
      </c>
      <c r="B1478" s="2" t="s">
        <v>18892</v>
      </c>
      <c r="C1478" s="2" t="s">
        <v>18893</v>
      </c>
      <c r="D1478" s="2" t="s">
        <v>18894</v>
      </c>
      <c r="F1478" s="3" t="s">
        <v>58</v>
      </c>
      <c r="G1478" s="3" t="s">
        <v>59</v>
      </c>
      <c r="H1478" s="3" t="s">
        <v>58</v>
      </c>
      <c r="I1478" s="3" t="s">
        <v>58</v>
      </c>
      <c r="J1478" s="3" t="s">
        <v>60</v>
      </c>
      <c r="K1478" s="2" t="s">
        <v>18895</v>
      </c>
      <c r="L1478" s="2" t="s">
        <v>18896</v>
      </c>
      <c r="M1478" s="3" t="s">
        <v>238</v>
      </c>
      <c r="O1478" s="3" t="s">
        <v>64</v>
      </c>
      <c r="P1478" s="3" t="s">
        <v>239</v>
      </c>
      <c r="R1478" s="3" t="s">
        <v>67</v>
      </c>
      <c r="S1478" s="4">
        <v>4</v>
      </c>
      <c r="T1478" s="4">
        <v>4</v>
      </c>
      <c r="U1478" s="5" t="s">
        <v>18897</v>
      </c>
      <c r="V1478" s="5" t="s">
        <v>18897</v>
      </c>
      <c r="W1478" s="5" t="s">
        <v>4730</v>
      </c>
      <c r="X1478" s="5" t="s">
        <v>4730</v>
      </c>
      <c r="Y1478" s="4">
        <v>120</v>
      </c>
      <c r="Z1478" s="4">
        <v>92</v>
      </c>
      <c r="AA1478" s="4">
        <v>94</v>
      </c>
      <c r="AB1478" s="4">
        <v>2</v>
      </c>
      <c r="AC1478" s="4">
        <v>2</v>
      </c>
      <c r="AD1478" s="4">
        <v>1</v>
      </c>
      <c r="AE1478" s="4">
        <v>1</v>
      </c>
      <c r="AF1478" s="4">
        <v>0</v>
      </c>
      <c r="AG1478" s="4">
        <v>0</v>
      </c>
      <c r="AH1478" s="4">
        <v>0</v>
      </c>
      <c r="AI1478" s="4">
        <v>0</v>
      </c>
      <c r="AJ1478" s="4">
        <v>0</v>
      </c>
      <c r="AK1478" s="4">
        <v>0</v>
      </c>
      <c r="AL1478" s="4">
        <v>1</v>
      </c>
      <c r="AM1478" s="4">
        <v>1</v>
      </c>
      <c r="AN1478" s="4">
        <v>0</v>
      </c>
      <c r="AO1478" s="4">
        <v>0</v>
      </c>
      <c r="AP1478" s="3" t="s">
        <v>58</v>
      </c>
      <c r="AQ1478" s="3" t="s">
        <v>86</v>
      </c>
      <c r="AR1478" s="6" t="str">
        <f>HYPERLINK("http://catalog.hathitrust.org/Record/000259016","HathiTrust Record")</f>
        <v>HathiTrust Record</v>
      </c>
      <c r="AS1478" s="6" t="str">
        <f>HYPERLINK("https://creighton-primo.hosted.exlibrisgroup.com/primo-explore/search?tab=default_tab&amp;search_scope=EVERYTHING&amp;vid=01CRU&amp;lang=en_US&amp;offset=0&amp;query=any,contains,991004684979702656","Catalog Record")</f>
        <v>Catalog Record</v>
      </c>
      <c r="AT1478" s="6" t="str">
        <f>HYPERLINK("http://www.worldcat.org/oclc/4591487","WorldCat Record")</f>
        <v>WorldCat Record</v>
      </c>
      <c r="AU1478" s="3" t="s">
        <v>18898</v>
      </c>
      <c r="AV1478" s="3" t="s">
        <v>18899</v>
      </c>
      <c r="AW1478" s="3" t="s">
        <v>18900</v>
      </c>
      <c r="AX1478" s="3" t="s">
        <v>18900</v>
      </c>
      <c r="AY1478" s="3" t="s">
        <v>18901</v>
      </c>
      <c r="AZ1478" s="3" t="s">
        <v>74</v>
      </c>
      <c r="BB1478" s="3" t="s">
        <v>18902</v>
      </c>
      <c r="BC1478" s="3" t="s">
        <v>18903</v>
      </c>
      <c r="BD1478" s="3" t="s">
        <v>18904</v>
      </c>
    </row>
    <row r="1479" spans="1:56" ht="42.75" customHeight="1" x14ac:dyDescent="0.25">
      <c r="A1479" s="7" t="s">
        <v>58</v>
      </c>
      <c r="B1479" s="2" t="s">
        <v>18905</v>
      </c>
      <c r="C1479" s="2" t="s">
        <v>18906</v>
      </c>
      <c r="D1479" s="2" t="s">
        <v>18907</v>
      </c>
      <c r="F1479" s="3" t="s">
        <v>58</v>
      </c>
      <c r="G1479" s="3" t="s">
        <v>59</v>
      </c>
      <c r="H1479" s="3" t="s">
        <v>86</v>
      </c>
      <c r="I1479" s="3" t="s">
        <v>58</v>
      </c>
      <c r="J1479" s="3" t="s">
        <v>60</v>
      </c>
      <c r="K1479" s="2" t="s">
        <v>18908</v>
      </c>
      <c r="L1479" s="2" t="s">
        <v>15441</v>
      </c>
      <c r="M1479" s="3" t="s">
        <v>4296</v>
      </c>
      <c r="O1479" s="3" t="s">
        <v>64</v>
      </c>
      <c r="P1479" s="3" t="s">
        <v>359</v>
      </c>
      <c r="Q1479" s="2" t="s">
        <v>18909</v>
      </c>
      <c r="R1479" s="3" t="s">
        <v>67</v>
      </c>
      <c r="S1479" s="4">
        <v>0</v>
      </c>
      <c r="T1479" s="4">
        <v>4</v>
      </c>
      <c r="V1479" s="5" t="s">
        <v>18910</v>
      </c>
      <c r="W1479" s="5" t="s">
        <v>165</v>
      </c>
      <c r="X1479" s="5" t="s">
        <v>165</v>
      </c>
      <c r="Y1479" s="4">
        <v>125</v>
      </c>
      <c r="Z1479" s="4">
        <v>108</v>
      </c>
      <c r="AA1479" s="4">
        <v>168</v>
      </c>
      <c r="AB1479" s="4">
        <v>2</v>
      </c>
      <c r="AC1479" s="4">
        <v>3</v>
      </c>
      <c r="AD1479" s="4">
        <v>5</v>
      </c>
      <c r="AE1479" s="4">
        <v>7</v>
      </c>
      <c r="AF1479" s="4">
        <v>1</v>
      </c>
      <c r="AG1479" s="4">
        <v>2</v>
      </c>
      <c r="AH1479" s="4">
        <v>3</v>
      </c>
      <c r="AI1479" s="4">
        <v>4</v>
      </c>
      <c r="AJ1479" s="4">
        <v>3</v>
      </c>
      <c r="AK1479" s="4">
        <v>4</v>
      </c>
      <c r="AL1479" s="4">
        <v>0</v>
      </c>
      <c r="AM1479" s="4">
        <v>0</v>
      </c>
      <c r="AN1479" s="4">
        <v>0</v>
      </c>
      <c r="AO1479" s="4">
        <v>0</v>
      </c>
      <c r="AP1479" s="3" t="s">
        <v>58</v>
      </c>
      <c r="AQ1479" s="3" t="s">
        <v>86</v>
      </c>
      <c r="AR1479" s="6" t="str">
        <f>HYPERLINK("http://catalog.hathitrust.org/Record/000697751","HathiTrust Record")</f>
        <v>HathiTrust Record</v>
      </c>
      <c r="AS1479" s="6" t="str">
        <f>HYPERLINK("https://creighton-primo.hosted.exlibrisgroup.com/primo-explore/search?tab=default_tab&amp;search_scope=EVERYTHING&amp;vid=01CRU&amp;lang=en_US&amp;offset=0&amp;query=any,contains,991001780039702656","Catalog Record")</f>
        <v>Catalog Record</v>
      </c>
      <c r="AT1479" s="6" t="str">
        <f>HYPERLINK("http://www.worldcat.org/oclc/1863392","WorldCat Record")</f>
        <v>WorldCat Record</v>
      </c>
      <c r="AU1479" s="3" t="s">
        <v>18911</v>
      </c>
      <c r="AV1479" s="3" t="s">
        <v>18912</v>
      </c>
      <c r="AW1479" s="3" t="s">
        <v>18913</v>
      </c>
      <c r="AX1479" s="3" t="s">
        <v>18913</v>
      </c>
      <c r="AY1479" s="3" t="s">
        <v>18914</v>
      </c>
      <c r="AZ1479" s="3" t="s">
        <v>74</v>
      </c>
      <c r="BB1479" s="3" t="s">
        <v>18915</v>
      </c>
      <c r="BC1479" s="3" t="s">
        <v>18916</v>
      </c>
      <c r="BD1479" s="3" t="s">
        <v>18917</v>
      </c>
    </row>
    <row r="1480" spans="1:56" ht="42.75" customHeight="1" x14ac:dyDescent="0.25">
      <c r="A1480" s="7" t="s">
        <v>58</v>
      </c>
      <c r="B1480" s="2" t="s">
        <v>18918</v>
      </c>
      <c r="C1480" s="2" t="s">
        <v>18919</v>
      </c>
      <c r="D1480" s="2" t="s">
        <v>18920</v>
      </c>
      <c r="F1480" s="3" t="s">
        <v>58</v>
      </c>
      <c r="G1480" s="3" t="s">
        <v>59</v>
      </c>
      <c r="H1480" s="3" t="s">
        <v>58</v>
      </c>
      <c r="I1480" s="3" t="s">
        <v>58</v>
      </c>
      <c r="J1480" s="3" t="s">
        <v>60</v>
      </c>
      <c r="K1480" s="2" t="s">
        <v>18908</v>
      </c>
      <c r="L1480" s="2" t="s">
        <v>18921</v>
      </c>
      <c r="M1480" s="3" t="s">
        <v>3914</v>
      </c>
      <c r="O1480" s="3" t="s">
        <v>64</v>
      </c>
      <c r="P1480" s="3" t="s">
        <v>359</v>
      </c>
      <c r="Q1480" s="2" t="s">
        <v>18922</v>
      </c>
      <c r="R1480" s="3" t="s">
        <v>67</v>
      </c>
      <c r="S1480" s="4">
        <v>1</v>
      </c>
      <c r="T1480" s="4">
        <v>1</v>
      </c>
      <c r="U1480" s="5" t="s">
        <v>6678</v>
      </c>
      <c r="V1480" s="5" t="s">
        <v>6678</v>
      </c>
      <c r="W1480" s="5" t="s">
        <v>165</v>
      </c>
      <c r="X1480" s="5" t="s">
        <v>165</v>
      </c>
      <c r="Y1480" s="4">
        <v>81</v>
      </c>
      <c r="Z1480" s="4">
        <v>73</v>
      </c>
      <c r="AA1480" s="4">
        <v>119</v>
      </c>
      <c r="AB1480" s="4">
        <v>2</v>
      </c>
      <c r="AC1480" s="4">
        <v>2</v>
      </c>
      <c r="AD1480" s="4">
        <v>1</v>
      </c>
      <c r="AE1480" s="4">
        <v>2</v>
      </c>
      <c r="AF1480" s="4">
        <v>0</v>
      </c>
      <c r="AG1480" s="4">
        <v>1</v>
      </c>
      <c r="AH1480" s="4">
        <v>0</v>
      </c>
      <c r="AI1480" s="4">
        <v>0</v>
      </c>
      <c r="AJ1480" s="4">
        <v>0</v>
      </c>
      <c r="AK1480" s="4">
        <v>0</v>
      </c>
      <c r="AL1480" s="4">
        <v>1</v>
      </c>
      <c r="AM1480" s="4">
        <v>1</v>
      </c>
      <c r="AN1480" s="4">
        <v>0</v>
      </c>
      <c r="AO1480" s="4">
        <v>0</v>
      </c>
      <c r="AP1480" s="3" t="s">
        <v>58</v>
      </c>
      <c r="AQ1480" s="3" t="s">
        <v>58</v>
      </c>
      <c r="AS1480" s="6" t="str">
        <f>HYPERLINK("https://creighton-primo.hosted.exlibrisgroup.com/primo-explore/search?tab=default_tab&amp;search_scope=EVERYTHING&amp;vid=01CRU&amp;lang=en_US&amp;offset=0&amp;query=any,contains,991004247169702656","Catalog Record")</f>
        <v>Catalog Record</v>
      </c>
      <c r="AT1480" s="6" t="str">
        <f>HYPERLINK("http://www.worldcat.org/oclc/2798808","WorldCat Record")</f>
        <v>WorldCat Record</v>
      </c>
      <c r="AU1480" s="3" t="s">
        <v>18923</v>
      </c>
      <c r="AV1480" s="3" t="s">
        <v>18924</v>
      </c>
      <c r="AW1480" s="3" t="s">
        <v>18925</v>
      </c>
      <c r="AX1480" s="3" t="s">
        <v>18925</v>
      </c>
      <c r="AY1480" s="3" t="s">
        <v>18926</v>
      </c>
      <c r="AZ1480" s="3" t="s">
        <v>74</v>
      </c>
      <c r="BB1480" s="3" t="s">
        <v>18927</v>
      </c>
      <c r="BC1480" s="3" t="s">
        <v>18928</v>
      </c>
      <c r="BD1480" s="3" t="s">
        <v>18929</v>
      </c>
    </row>
    <row r="1481" spans="1:56" ht="42.75" customHeight="1" x14ac:dyDescent="0.25">
      <c r="A1481" s="7" t="s">
        <v>58</v>
      </c>
      <c r="B1481" s="2" t="s">
        <v>18930</v>
      </c>
      <c r="C1481" s="2" t="s">
        <v>18931</v>
      </c>
      <c r="D1481" s="2" t="s">
        <v>18932</v>
      </c>
      <c r="F1481" s="3" t="s">
        <v>58</v>
      </c>
      <c r="G1481" s="3" t="s">
        <v>59</v>
      </c>
      <c r="H1481" s="3" t="s">
        <v>58</v>
      </c>
      <c r="I1481" s="3" t="s">
        <v>58</v>
      </c>
      <c r="J1481" s="3" t="s">
        <v>60</v>
      </c>
      <c r="L1481" s="2" t="s">
        <v>18933</v>
      </c>
      <c r="M1481" s="3" t="s">
        <v>82</v>
      </c>
      <c r="O1481" s="3" t="s">
        <v>64</v>
      </c>
      <c r="P1481" s="3" t="s">
        <v>83</v>
      </c>
      <c r="Q1481" s="2" t="s">
        <v>18934</v>
      </c>
      <c r="R1481" s="3" t="s">
        <v>67</v>
      </c>
      <c r="S1481" s="4">
        <v>25</v>
      </c>
      <c r="T1481" s="4">
        <v>25</v>
      </c>
      <c r="U1481" s="5" t="s">
        <v>18935</v>
      </c>
      <c r="V1481" s="5" t="s">
        <v>18935</v>
      </c>
      <c r="W1481" s="5" t="s">
        <v>18936</v>
      </c>
      <c r="X1481" s="5" t="s">
        <v>18936</v>
      </c>
      <c r="Y1481" s="4">
        <v>94</v>
      </c>
      <c r="Z1481" s="4">
        <v>75</v>
      </c>
      <c r="AA1481" s="4">
        <v>236</v>
      </c>
      <c r="AB1481" s="4">
        <v>2</v>
      </c>
      <c r="AC1481" s="4">
        <v>4</v>
      </c>
      <c r="AD1481" s="4">
        <v>1</v>
      </c>
      <c r="AE1481" s="4">
        <v>5</v>
      </c>
      <c r="AF1481" s="4">
        <v>0</v>
      </c>
      <c r="AG1481" s="4">
        <v>1</v>
      </c>
      <c r="AH1481" s="4">
        <v>0</v>
      </c>
      <c r="AI1481" s="4">
        <v>1</v>
      </c>
      <c r="AJ1481" s="4">
        <v>0</v>
      </c>
      <c r="AK1481" s="4">
        <v>1</v>
      </c>
      <c r="AL1481" s="4">
        <v>1</v>
      </c>
      <c r="AM1481" s="4">
        <v>3</v>
      </c>
      <c r="AN1481" s="4">
        <v>0</v>
      </c>
      <c r="AO1481" s="4">
        <v>0</v>
      </c>
      <c r="AP1481" s="3" t="s">
        <v>58</v>
      </c>
      <c r="AQ1481" s="3" t="s">
        <v>58</v>
      </c>
      <c r="AS1481" s="6" t="str">
        <f>HYPERLINK("https://creighton-primo.hosted.exlibrisgroup.com/primo-explore/search?tab=default_tab&amp;search_scope=EVERYTHING&amp;vid=01CRU&amp;lang=en_US&amp;offset=0&amp;query=any,contains,991001124589702656","Catalog Record")</f>
        <v>Catalog Record</v>
      </c>
      <c r="AT1481" s="6" t="str">
        <f>HYPERLINK("http://www.worldcat.org/oclc/16647386","WorldCat Record")</f>
        <v>WorldCat Record</v>
      </c>
      <c r="AU1481" s="3" t="s">
        <v>18937</v>
      </c>
      <c r="AV1481" s="3" t="s">
        <v>18938</v>
      </c>
      <c r="AW1481" s="3" t="s">
        <v>18939</v>
      </c>
      <c r="AX1481" s="3" t="s">
        <v>18939</v>
      </c>
      <c r="AY1481" s="3" t="s">
        <v>18940</v>
      </c>
      <c r="AZ1481" s="3" t="s">
        <v>74</v>
      </c>
      <c r="BB1481" s="3" t="s">
        <v>18941</v>
      </c>
      <c r="BC1481" s="3" t="s">
        <v>18942</v>
      </c>
      <c r="BD1481" s="3" t="s">
        <v>18943</v>
      </c>
    </row>
    <row r="1482" spans="1:56" ht="42.75" customHeight="1" x14ac:dyDescent="0.25">
      <c r="A1482" s="7" t="s">
        <v>58</v>
      </c>
      <c r="B1482" s="2" t="s">
        <v>18944</v>
      </c>
      <c r="C1482" s="2" t="s">
        <v>18945</v>
      </c>
      <c r="D1482" s="2" t="s">
        <v>18946</v>
      </c>
      <c r="E1482" s="3" t="s">
        <v>18947</v>
      </c>
      <c r="F1482" s="3" t="s">
        <v>58</v>
      </c>
      <c r="G1482" s="3" t="s">
        <v>59</v>
      </c>
      <c r="H1482" s="3" t="s">
        <v>58</v>
      </c>
      <c r="I1482" s="3" t="s">
        <v>58</v>
      </c>
      <c r="J1482" s="3" t="s">
        <v>60</v>
      </c>
      <c r="K1482" s="2" t="s">
        <v>18948</v>
      </c>
      <c r="L1482" s="2" t="s">
        <v>18949</v>
      </c>
      <c r="M1482" s="3" t="s">
        <v>4122</v>
      </c>
      <c r="O1482" s="3" t="s">
        <v>64</v>
      </c>
      <c r="P1482" s="3" t="s">
        <v>115</v>
      </c>
      <c r="Q1482" s="2" t="s">
        <v>18950</v>
      </c>
      <c r="R1482" s="3" t="s">
        <v>67</v>
      </c>
      <c r="S1482" s="4">
        <v>2</v>
      </c>
      <c r="T1482" s="4">
        <v>2</v>
      </c>
      <c r="U1482" s="5" t="s">
        <v>9164</v>
      </c>
      <c r="V1482" s="5" t="s">
        <v>9164</v>
      </c>
      <c r="W1482" s="5" t="s">
        <v>18951</v>
      </c>
      <c r="X1482" s="5" t="s">
        <v>18951</v>
      </c>
      <c r="Y1482" s="4">
        <v>591</v>
      </c>
      <c r="Z1482" s="4">
        <v>509</v>
      </c>
      <c r="AA1482" s="4">
        <v>569</v>
      </c>
      <c r="AB1482" s="4">
        <v>5</v>
      </c>
      <c r="AC1482" s="4">
        <v>5</v>
      </c>
      <c r="AD1482" s="4">
        <v>27</v>
      </c>
      <c r="AE1482" s="4">
        <v>28</v>
      </c>
      <c r="AF1482" s="4">
        <v>8</v>
      </c>
      <c r="AG1482" s="4">
        <v>8</v>
      </c>
      <c r="AH1482" s="4">
        <v>4</v>
      </c>
      <c r="AI1482" s="4">
        <v>5</v>
      </c>
      <c r="AJ1482" s="4">
        <v>16</v>
      </c>
      <c r="AK1482" s="4">
        <v>16</v>
      </c>
      <c r="AL1482" s="4">
        <v>3</v>
      </c>
      <c r="AM1482" s="4">
        <v>3</v>
      </c>
      <c r="AN1482" s="4">
        <v>0</v>
      </c>
      <c r="AO1482" s="4">
        <v>0</v>
      </c>
      <c r="AP1482" s="3" t="s">
        <v>58</v>
      </c>
      <c r="AQ1482" s="3" t="s">
        <v>58</v>
      </c>
      <c r="AR1482" s="6" t="str">
        <f>HYPERLINK("http://catalog.hathitrust.org/Record/000619976","HathiTrust Record")</f>
        <v>HathiTrust Record</v>
      </c>
      <c r="AS1482" s="6" t="str">
        <f>HYPERLINK("https://creighton-primo.hosted.exlibrisgroup.com/primo-explore/search?tab=default_tab&amp;search_scope=EVERYTHING&amp;vid=01CRU&amp;lang=en_US&amp;offset=0&amp;query=any,contains,991002002579702656","Catalog Record")</f>
        <v>Catalog Record</v>
      </c>
      <c r="AT1482" s="6" t="str">
        <f>HYPERLINK("http://www.worldcat.org/oclc/2370253","WorldCat Record")</f>
        <v>WorldCat Record</v>
      </c>
      <c r="AU1482" s="3" t="s">
        <v>18952</v>
      </c>
      <c r="AV1482" s="3" t="s">
        <v>18953</v>
      </c>
      <c r="AW1482" s="3" t="s">
        <v>18954</v>
      </c>
      <c r="AX1482" s="3" t="s">
        <v>18954</v>
      </c>
      <c r="AY1482" s="3" t="s">
        <v>18955</v>
      </c>
      <c r="AZ1482" s="3" t="s">
        <v>74</v>
      </c>
      <c r="BC1482" s="3" t="s">
        <v>18956</v>
      </c>
      <c r="BD1482" s="3" t="s">
        <v>18957</v>
      </c>
    </row>
    <row r="1483" spans="1:56" ht="42.75" customHeight="1" x14ac:dyDescent="0.25">
      <c r="A1483" s="7" t="s">
        <v>58</v>
      </c>
      <c r="B1483" s="2" t="s">
        <v>18958</v>
      </c>
      <c r="C1483" s="2" t="s">
        <v>18959</v>
      </c>
      <c r="D1483" s="2" t="s">
        <v>18960</v>
      </c>
      <c r="F1483" s="3" t="s">
        <v>58</v>
      </c>
      <c r="G1483" s="3" t="s">
        <v>59</v>
      </c>
      <c r="H1483" s="3" t="s">
        <v>58</v>
      </c>
      <c r="I1483" s="3" t="s">
        <v>58</v>
      </c>
      <c r="J1483" s="3" t="s">
        <v>60</v>
      </c>
      <c r="L1483" s="2" t="s">
        <v>18961</v>
      </c>
      <c r="M1483" s="3" t="s">
        <v>63</v>
      </c>
      <c r="O1483" s="3" t="s">
        <v>64</v>
      </c>
      <c r="P1483" s="3" t="s">
        <v>115</v>
      </c>
      <c r="Q1483" s="2" t="s">
        <v>18962</v>
      </c>
      <c r="R1483" s="3" t="s">
        <v>67</v>
      </c>
      <c r="S1483" s="4">
        <v>56</v>
      </c>
      <c r="T1483" s="4">
        <v>56</v>
      </c>
      <c r="U1483" s="5" t="s">
        <v>11255</v>
      </c>
      <c r="V1483" s="5" t="s">
        <v>11255</v>
      </c>
      <c r="W1483" s="5" t="s">
        <v>3457</v>
      </c>
      <c r="X1483" s="5" t="s">
        <v>3457</v>
      </c>
      <c r="Y1483" s="4">
        <v>273</v>
      </c>
      <c r="Z1483" s="4">
        <v>234</v>
      </c>
      <c r="AA1483" s="4">
        <v>239</v>
      </c>
      <c r="AB1483" s="4">
        <v>3</v>
      </c>
      <c r="AC1483" s="4">
        <v>3</v>
      </c>
      <c r="AD1483" s="4">
        <v>9</v>
      </c>
      <c r="AE1483" s="4">
        <v>9</v>
      </c>
      <c r="AF1483" s="4">
        <v>4</v>
      </c>
      <c r="AG1483" s="4">
        <v>4</v>
      </c>
      <c r="AH1483" s="4">
        <v>1</v>
      </c>
      <c r="AI1483" s="4">
        <v>1</v>
      </c>
      <c r="AJ1483" s="4">
        <v>5</v>
      </c>
      <c r="AK1483" s="4">
        <v>5</v>
      </c>
      <c r="AL1483" s="4">
        <v>2</v>
      </c>
      <c r="AM1483" s="4">
        <v>2</v>
      </c>
      <c r="AN1483" s="4">
        <v>0</v>
      </c>
      <c r="AO1483" s="4">
        <v>0</v>
      </c>
      <c r="AP1483" s="3" t="s">
        <v>58</v>
      </c>
      <c r="AQ1483" s="3" t="s">
        <v>86</v>
      </c>
      <c r="AR1483" s="6" t="str">
        <f>HYPERLINK("http://catalog.hathitrust.org/Record/000153682","HathiTrust Record")</f>
        <v>HathiTrust Record</v>
      </c>
      <c r="AS1483" s="6" t="str">
        <f>HYPERLINK("https://creighton-primo.hosted.exlibrisgroup.com/primo-explore/search?tab=default_tab&amp;search_scope=EVERYTHING&amp;vid=01CRU&amp;lang=en_US&amp;offset=0&amp;query=any,contains,991005242439702656","Catalog Record")</f>
        <v>Catalog Record</v>
      </c>
      <c r="AT1483" s="6" t="str">
        <f>HYPERLINK("http://www.worldcat.org/oclc/8430835","WorldCat Record")</f>
        <v>WorldCat Record</v>
      </c>
      <c r="AU1483" s="3" t="s">
        <v>18963</v>
      </c>
      <c r="AV1483" s="3" t="s">
        <v>18964</v>
      </c>
      <c r="AW1483" s="3" t="s">
        <v>18965</v>
      </c>
      <c r="AX1483" s="3" t="s">
        <v>18965</v>
      </c>
      <c r="AY1483" s="3" t="s">
        <v>18966</v>
      </c>
      <c r="AZ1483" s="3" t="s">
        <v>74</v>
      </c>
      <c r="BB1483" s="3" t="s">
        <v>18967</v>
      </c>
      <c r="BC1483" s="3" t="s">
        <v>18968</v>
      </c>
      <c r="BD1483" s="3" t="s">
        <v>18969</v>
      </c>
    </row>
    <row r="1484" spans="1:56" ht="42.75" customHeight="1" x14ac:dyDescent="0.25">
      <c r="A1484" s="7" t="s">
        <v>58</v>
      </c>
      <c r="B1484" s="2" t="s">
        <v>18970</v>
      </c>
      <c r="C1484" s="2" t="s">
        <v>18971</v>
      </c>
      <c r="D1484" s="2" t="s">
        <v>18972</v>
      </c>
      <c r="F1484" s="3" t="s">
        <v>58</v>
      </c>
      <c r="G1484" s="3" t="s">
        <v>59</v>
      </c>
      <c r="H1484" s="3" t="s">
        <v>58</v>
      </c>
      <c r="I1484" s="3" t="s">
        <v>58</v>
      </c>
      <c r="J1484" s="3" t="s">
        <v>60</v>
      </c>
      <c r="L1484" s="2" t="s">
        <v>18973</v>
      </c>
      <c r="M1484" s="3" t="s">
        <v>82</v>
      </c>
      <c r="O1484" s="3" t="s">
        <v>64</v>
      </c>
      <c r="P1484" s="3" t="s">
        <v>83</v>
      </c>
      <c r="Q1484" s="2" t="s">
        <v>129</v>
      </c>
      <c r="R1484" s="3" t="s">
        <v>67</v>
      </c>
      <c r="S1484" s="4">
        <v>34</v>
      </c>
      <c r="T1484" s="4">
        <v>34</v>
      </c>
      <c r="U1484" s="5" t="s">
        <v>18935</v>
      </c>
      <c r="V1484" s="5" t="s">
        <v>18935</v>
      </c>
      <c r="W1484" s="5" t="s">
        <v>18936</v>
      </c>
      <c r="X1484" s="5" t="s">
        <v>18936</v>
      </c>
      <c r="Y1484" s="4">
        <v>101</v>
      </c>
      <c r="Z1484" s="4">
        <v>73</v>
      </c>
      <c r="AA1484" s="4">
        <v>232</v>
      </c>
      <c r="AB1484" s="4">
        <v>1</v>
      </c>
      <c r="AC1484" s="4">
        <v>3</v>
      </c>
      <c r="AD1484" s="4">
        <v>1</v>
      </c>
      <c r="AE1484" s="4">
        <v>3</v>
      </c>
      <c r="AF1484" s="4">
        <v>1</v>
      </c>
      <c r="AG1484" s="4">
        <v>1</v>
      </c>
      <c r="AH1484" s="4">
        <v>0</v>
      </c>
      <c r="AI1484" s="4">
        <v>0</v>
      </c>
      <c r="AJ1484" s="4">
        <v>1</v>
      </c>
      <c r="AK1484" s="4">
        <v>1</v>
      </c>
      <c r="AL1484" s="4">
        <v>0</v>
      </c>
      <c r="AM1484" s="4">
        <v>2</v>
      </c>
      <c r="AN1484" s="4">
        <v>0</v>
      </c>
      <c r="AO1484" s="4">
        <v>0</v>
      </c>
      <c r="AP1484" s="3" t="s">
        <v>58</v>
      </c>
      <c r="AQ1484" s="3" t="s">
        <v>58</v>
      </c>
      <c r="AS1484" s="6" t="str">
        <f>HYPERLINK("https://creighton-primo.hosted.exlibrisgroup.com/primo-explore/search?tab=default_tab&amp;search_scope=EVERYTHING&amp;vid=01CRU&amp;lang=en_US&amp;offset=0&amp;query=any,contains,991001124719702656","Catalog Record")</f>
        <v>Catalog Record</v>
      </c>
      <c r="AT1484" s="6" t="str">
        <f>HYPERLINK("http://www.worldcat.org/oclc/16647462","WorldCat Record")</f>
        <v>WorldCat Record</v>
      </c>
      <c r="AU1484" s="3" t="s">
        <v>18974</v>
      </c>
      <c r="AV1484" s="3" t="s">
        <v>18975</v>
      </c>
      <c r="AW1484" s="3" t="s">
        <v>18976</v>
      </c>
      <c r="AX1484" s="3" t="s">
        <v>18976</v>
      </c>
      <c r="AY1484" s="3" t="s">
        <v>18977</v>
      </c>
      <c r="AZ1484" s="3" t="s">
        <v>74</v>
      </c>
      <c r="BB1484" s="3" t="s">
        <v>18978</v>
      </c>
      <c r="BC1484" s="3" t="s">
        <v>18979</v>
      </c>
      <c r="BD1484" s="3" t="s">
        <v>18980</v>
      </c>
    </row>
    <row r="1485" spans="1:56" ht="42.75" customHeight="1" x14ac:dyDescent="0.25">
      <c r="A1485" s="7" t="s">
        <v>58</v>
      </c>
      <c r="B1485" s="2" t="s">
        <v>18981</v>
      </c>
      <c r="C1485" s="2" t="s">
        <v>18982</v>
      </c>
      <c r="D1485" s="2" t="s">
        <v>18983</v>
      </c>
      <c r="F1485" s="3" t="s">
        <v>58</v>
      </c>
      <c r="G1485" s="3" t="s">
        <v>59</v>
      </c>
      <c r="H1485" s="3" t="s">
        <v>58</v>
      </c>
      <c r="I1485" s="3" t="s">
        <v>58</v>
      </c>
      <c r="J1485" s="3" t="s">
        <v>60</v>
      </c>
      <c r="K1485" s="2" t="s">
        <v>18984</v>
      </c>
      <c r="L1485" s="2" t="s">
        <v>18985</v>
      </c>
      <c r="M1485" s="3" t="s">
        <v>4026</v>
      </c>
      <c r="O1485" s="3" t="s">
        <v>64</v>
      </c>
      <c r="P1485" s="3" t="s">
        <v>115</v>
      </c>
      <c r="Q1485" s="2" t="s">
        <v>18986</v>
      </c>
      <c r="R1485" s="3" t="s">
        <v>67</v>
      </c>
      <c r="S1485" s="4">
        <v>5</v>
      </c>
      <c r="T1485" s="4">
        <v>5</v>
      </c>
      <c r="U1485" s="5" t="s">
        <v>6760</v>
      </c>
      <c r="V1485" s="5" t="s">
        <v>6760</v>
      </c>
      <c r="W1485" s="5" t="s">
        <v>7944</v>
      </c>
      <c r="X1485" s="5" t="s">
        <v>7944</v>
      </c>
      <c r="Y1485" s="4">
        <v>269</v>
      </c>
      <c r="Z1485" s="4">
        <v>231</v>
      </c>
      <c r="AA1485" s="4">
        <v>234</v>
      </c>
      <c r="AB1485" s="4">
        <v>2</v>
      </c>
      <c r="AC1485" s="4">
        <v>2</v>
      </c>
      <c r="AD1485" s="4">
        <v>8</v>
      </c>
      <c r="AE1485" s="4">
        <v>8</v>
      </c>
      <c r="AF1485" s="4">
        <v>1</v>
      </c>
      <c r="AG1485" s="4">
        <v>1</v>
      </c>
      <c r="AH1485" s="4">
        <v>2</v>
      </c>
      <c r="AI1485" s="4">
        <v>2</v>
      </c>
      <c r="AJ1485" s="4">
        <v>4</v>
      </c>
      <c r="AK1485" s="4">
        <v>4</v>
      </c>
      <c r="AL1485" s="4">
        <v>1</v>
      </c>
      <c r="AM1485" s="4">
        <v>1</v>
      </c>
      <c r="AN1485" s="4">
        <v>0</v>
      </c>
      <c r="AO1485" s="4">
        <v>0</v>
      </c>
      <c r="AP1485" s="3" t="s">
        <v>58</v>
      </c>
      <c r="AQ1485" s="3" t="s">
        <v>86</v>
      </c>
      <c r="AR1485" s="6" t="str">
        <f>HYPERLINK("http://catalog.hathitrust.org/Record/006054619","HathiTrust Record")</f>
        <v>HathiTrust Record</v>
      </c>
      <c r="AS1485" s="6" t="str">
        <f>HYPERLINK("https://creighton-primo.hosted.exlibrisgroup.com/primo-explore/search?tab=default_tab&amp;search_scope=EVERYTHING&amp;vid=01CRU&amp;lang=en_US&amp;offset=0&amp;query=any,contains,991002430179702656","Catalog Record")</f>
        <v>Catalog Record</v>
      </c>
      <c r="AT1485" s="6" t="str">
        <f>HYPERLINK("http://www.worldcat.org/oclc/346648","WorldCat Record")</f>
        <v>WorldCat Record</v>
      </c>
      <c r="AU1485" s="3" t="s">
        <v>18987</v>
      </c>
      <c r="AV1485" s="3" t="s">
        <v>18988</v>
      </c>
      <c r="AW1485" s="3" t="s">
        <v>18989</v>
      </c>
      <c r="AX1485" s="3" t="s">
        <v>18989</v>
      </c>
      <c r="AY1485" s="3" t="s">
        <v>18990</v>
      </c>
      <c r="AZ1485" s="3" t="s">
        <v>74</v>
      </c>
      <c r="BC1485" s="3" t="s">
        <v>18991</v>
      </c>
      <c r="BD1485" s="3" t="s">
        <v>18992</v>
      </c>
    </row>
    <row r="1486" spans="1:56" ht="42.75" customHeight="1" x14ac:dyDescent="0.25">
      <c r="A1486" s="7" t="s">
        <v>58</v>
      </c>
      <c r="B1486" s="2" t="s">
        <v>18993</v>
      </c>
      <c r="C1486" s="2" t="s">
        <v>18994</v>
      </c>
      <c r="D1486" s="2" t="s">
        <v>18995</v>
      </c>
      <c r="F1486" s="3" t="s">
        <v>58</v>
      </c>
      <c r="G1486" s="3" t="s">
        <v>59</v>
      </c>
      <c r="H1486" s="3" t="s">
        <v>58</v>
      </c>
      <c r="I1486" s="3" t="s">
        <v>58</v>
      </c>
      <c r="J1486" s="3" t="s">
        <v>60</v>
      </c>
      <c r="K1486" s="2" t="s">
        <v>18996</v>
      </c>
      <c r="L1486" s="2" t="s">
        <v>18997</v>
      </c>
      <c r="M1486" s="3" t="s">
        <v>177</v>
      </c>
      <c r="O1486" s="3" t="s">
        <v>64</v>
      </c>
      <c r="P1486" s="3" t="s">
        <v>83</v>
      </c>
      <c r="R1486" s="3" t="s">
        <v>67</v>
      </c>
      <c r="S1486" s="4">
        <v>21</v>
      </c>
      <c r="T1486" s="4">
        <v>21</v>
      </c>
      <c r="U1486" s="5" t="s">
        <v>18998</v>
      </c>
      <c r="V1486" s="5" t="s">
        <v>18998</v>
      </c>
      <c r="W1486" s="5" t="s">
        <v>4848</v>
      </c>
      <c r="X1486" s="5" t="s">
        <v>4848</v>
      </c>
      <c r="Y1486" s="4">
        <v>412</v>
      </c>
      <c r="Z1486" s="4">
        <v>340</v>
      </c>
      <c r="AA1486" s="4">
        <v>342</v>
      </c>
      <c r="AB1486" s="4">
        <v>2</v>
      </c>
      <c r="AC1486" s="4">
        <v>2</v>
      </c>
      <c r="AD1486" s="4">
        <v>8</v>
      </c>
      <c r="AE1486" s="4">
        <v>8</v>
      </c>
      <c r="AF1486" s="4">
        <v>1</v>
      </c>
      <c r="AG1486" s="4">
        <v>1</v>
      </c>
      <c r="AH1486" s="4">
        <v>2</v>
      </c>
      <c r="AI1486" s="4">
        <v>2</v>
      </c>
      <c r="AJ1486" s="4">
        <v>6</v>
      </c>
      <c r="AK1486" s="4">
        <v>6</v>
      </c>
      <c r="AL1486" s="4">
        <v>1</v>
      </c>
      <c r="AM1486" s="4">
        <v>1</v>
      </c>
      <c r="AN1486" s="4">
        <v>0</v>
      </c>
      <c r="AO1486" s="4">
        <v>0</v>
      </c>
      <c r="AP1486" s="3" t="s">
        <v>58</v>
      </c>
      <c r="AQ1486" s="3" t="s">
        <v>86</v>
      </c>
      <c r="AR1486" s="6" t="str">
        <f>HYPERLINK("http://catalog.hathitrust.org/Record/001565576","HathiTrust Record")</f>
        <v>HathiTrust Record</v>
      </c>
      <c r="AS1486" s="6" t="str">
        <f>HYPERLINK("https://creighton-primo.hosted.exlibrisgroup.com/primo-explore/search?tab=default_tab&amp;search_scope=EVERYTHING&amp;vid=01CRU&amp;lang=en_US&amp;offset=0&amp;query=any,contains,991003043029702656","Catalog Record")</f>
        <v>Catalog Record</v>
      </c>
      <c r="AT1486" s="6" t="str">
        <f>HYPERLINK("http://www.worldcat.org/oclc/604290","WorldCat Record")</f>
        <v>WorldCat Record</v>
      </c>
      <c r="AU1486" s="3" t="s">
        <v>18999</v>
      </c>
      <c r="AV1486" s="3" t="s">
        <v>19000</v>
      </c>
      <c r="AW1486" s="3" t="s">
        <v>19001</v>
      </c>
      <c r="AX1486" s="3" t="s">
        <v>19001</v>
      </c>
      <c r="AY1486" s="3" t="s">
        <v>19002</v>
      </c>
      <c r="AZ1486" s="3" t="s">
        <v>74</v>
      </c>
      <c r="BB1486" s="3" t="s">
        <v>19003</v>
      </c>
      <c r="BC1486" s="3" t="s">
        <v>19004</v>
      </c>
      <c r="BD1486" s="3" t="s">
        <v>19005</v>
      </c>
    </row>
    <row r="1487" spans="1:56" ht="42.75" customHeight="1" x14ac:dyDescent="0.25">
      <c r="A1487" s="7" t="s">
        <v>58</v>
      </c>
      <c r="B1487" s="2" t="s">
        <v>19006</v>
      </c>
      <c r="C1487" s="2" t="s">
        <v>19007</v>
      </c>
      <c r="D1487" s="2" t="s">
        <v>19008</v>
      </c>
      <c r="F1487" s="3" t="s">
        <v>58</v>
      </c>
      <c r="G1487" s="3" t="s">
        <v>59</v>
      </c>
      <c r="H1487" s="3" t="s">
        <v>58</v>
      </c>
      <c r="I1487" s="3" t="s">
        <v>58</v>
      </c>
      <c r="J1487" s="3" t="s">
        <v>60</v>
      </c>
      <c r="K1487" s="2" t="s">
        <v>19009</v>
      </c>
      <c r="L1487" s="2" t="s">
        <v>19010</v>
      </c>
      <c r="M1487" s="3" t="s">
        <v>3914</v>
      </c>
      <c r="O1487" s="3" t="s">
        <v>64</v>
      </c>
      <c r="P1487" s="3" t="s">
        <v>83</v>
      </c>
      <c r="R1487" s="3" t="s">
        <v>67</v>
      </c>
      <c r="S1487" s="4">
        <v>19</v>
      </c>
      <c r="T1487" s="4">
        <v>19</v>
      </c>
      <c r="U1487" s="5" t="s">
        <v>19011</v>
      </c>
      <c r="V1487" s="5" t="s">
        <v>19011</v>
      </c>
      <c r="W1487" s="5" t="s">
        <v>5704</v>
      </c>
      <c r="X1487" s="5" t="s">
        <v>5704</v>
      </c>
      <c r="Y1487" s="4">
        <v>250</v>
      </c>
      <c r="Z1487" s="4">
        <v>222</v>
      </c>
      <c r="AA1487" s="4">
        <v>229</v>
      </c>
      <c r="AB1487" s="4">
        <v>3</v>
      </c>
      <c r="AC1487" s="4">
        <v>3</v>
      </c>
      <c r="AD1487" s="4">
        <v>4</v>
      </c>
      <c r="AE1487" s="4">
        <v>4</v>
      </c>
      <c r="AF1487" s="4">
        <v>1</v>
      </c>
      <c r="AG1487" s="4">
        <v>1</v>
      </c>
      <c r="AH1487" s="4">
        <v>1</v>
      </c>
      <c r="AI1487" s="4">
        <v>1</v>
      </c>
      <c r="AJ1487" s="4">
        <v>2</v>
      </c>
      <c r="AK1487" s="4">
        <v>2</v>
      </c>
      <c r="AL1487" s="4">
        <v>2</v>
      </c>
      <c r="AM1487" s="4">
        <v>2</v>
      </c>
      <c r="AN1487" s="4">
        <v>0</v>
      </c>
      <c r="AO1487" s="4">
        <v>0</v>
      </c>
      <c r="AP1487" s="3" t="s">
        <v>58</v>
      </c>
      <c r="AQ1487" s="3" t="s">
        <v>86</v>
      </c>
      <c r="AR1487" s="6" t="str">
        <f>HYPERLINK("http://catalog.hathitrust.org/Record/000030414","HathiTrust Record")</f>
        <v>HathiTrust Record</v>
      </c>
      <c r="AS1487" s="6" t="str">
        <f>HYPERLINK("https://creighton-primo.hosted.exlibrisgroup.com/primo-explore/search?tab=default_tab&amp;search_scope=EVERYTHING&amp;vid=01CRU&amp;lang=en_US&amp;offset=0&amp;query=any,contains,991003531029702656","Catalog Record")</f>
        <v>Catalog Record</v>
      </c>
      <c r="AT1487" s="6" t="str">
        <f>HYPERLINK("http://www.worldcat.org/oclc/1093638","WorldCat Record")</f>
        <v>WorldCat Record</v>
      </c>
      <c r="AU1487" s="3" t="s">
        <v>19012</v>
      </c>
      <c r="AV1487" s="3" t="s">
        <v>19013</v>
      </c>
      <c r="AW1487" s="3" t="s">
        <v>19014</v>
      </c>
      <c r="AX1487" s="3" t="s">
        <v>19014</v>
      </c>
      <c r="AY1487" s="3" t="s">
        <v>19015</v>
      </c>
      <c r="AZ1487" s="3" t="s">
        <v>74</v>
      </c>
      <c r="BB1487" s="3" t="s">
        <v>19016</v>
      </c>
      <c r="BC1487" s="3" t="s">
        <v>19017</v>
      </c>
      <c r="BD1487" s="3" t="s">
        <v>19018</v>
      </c>
    </row>
    <row r="1488" spans="1:56" ht="42.75" customHeight="1" x14ac:dyDescent="0.25">
      <c r="A1488" s="7" t="s">
        <v>58</v>
      </c>
      <c r="B1488" s="2" t="s">
        <v>19019</v>
      </c>
      <c r="C1488" s="2" t="s">
        <v>19020</v>
      </c>
      <c r="D1488" s="2" t="s">
        <v>19021</v>
      </c>
      <c r="F1488" s="3" t="s">
        <v>58</v>
      </c>
      <c r="G1488" s="3" t="s">
        <v>59</v>
      </c>
      <c r="H1488" s="3" t="s">
        <v>58</v>
      </c>
      <c r="I1488" s="3" t="s">
        <v>58</v>
      </c>
      <c r="J1488" s="3" t="s">
        <v>60</v>
      </c>
      <c r="K1488" s="2" t="s">
        <v>19022</v>
      </c>
      <c r="L1488" s="2" t="s">
        <v>19023</v>
      </c>
      <c r="M1488" s="3" t="s">
        <v>3914</v>
      </c>
      <c r="N1488" s="2" t="s">
        <v>1736</v>
      </c>
      <c r="O1488" s="3" t="s">
        <v>64</v>
      </c>
      <c r="P1488" s="3" t="s">
        <v>115</v>
      </c>
      <c r="R1488" s="3" t="s">
        <v>67</v>
      </c>
      <c r="S1488" s="4">
        <v>7</v>
      </c>
      <c r="T1488" s="4">
        <v>7</v>
      </c>
      <c r="U1488" s="5" t="s">
        <v>9417</v>
      </c>
      <c r="V1488" s="5" t="s">
        <v>9417</v>
      </c>
      <c r="W1488" s="5" t="s">
        <v>497</v>
      </c>
      <c r="X1488" s="5" t="s">
        <v>497</v>
      </c>
      <c r="Y1488" s="4">
        <v>265</v>
      </c>
      <c r="Z1488" s="4">
        <v>235</v>
      </c>
      <c r="AA1488" s="4">
        <v>250</v>
      </c>
      <c r="AB1488" s="4">
        <v>1</v>
      </c>
      <c r="AC1488" s="4">
        <v>1</v>
      </c>
      <c r="AD1488" s="4">
        <v>2</v>
      </c>
      <c r="AE1488" s="4">
        <v>2</v>
      </c>
      <c r="AF1488" s="4">
        <v>0</v>
      </c>
      <c r="AG1488" s="4">
        <v>0</v>
      </c>
      <c r="AH1488" s="4">
        <v>1</v>
      </c>
      <c r="AI1488" s="4">
        <v>1</v>
      </c>
      <c r="AJ1488" s="4">
        <v>1</v>
      </c>
      <c r="AK1488" s="4">
        <v>1</v>
      </c>
      <c r="AL1488" s="4">
        <v>0</v>
      </c>
      <c r="AM1488" s="4">
        <v>0</v>
      </c>
      <c r="AN1488" s="4">
        <v>0</v>
      </c>
      <c r="AO1488" s="4">
        <v>0</v>
      </c>
      <c r="AP1488" s="3" t="s">
        <v>58</v>
      </c>
      <c r="AQ1488" s="3" t="s">
        <v>58</v>
      </c>
      <c r="AS1488" s="6" t="str">
        <f>HYPERLINK("https://creighton-primo.hosted.exlibrisgroup.com/primo-explore/search?tab=default_tab&amp;search_scope=EVERYTHING&amp;vid=01CRU&amp;lang=en_US&amp;offset=0&amp;query=any,contains,991003946139702656","Catalog Record")</f>
        <v>Catalog Record</v>
      </c>
      <c r="AT1488" s="6" t="str">
        <f>HYPERLINK("http://www.worldcat.org/oclc/1945433","WorldCat Record")</f>
        <v>WorldCat Record</v>
      </c>
      <c r="AU1488" s="3" t="s">
        <v>19024</v>
      </c>
      <c r="AV1488" s="3" t="s">
        <v>19025</v>
      </c>
      <c r="AW1488" s="3" t="s">
        <v>19026</v>
      </c>
      <c r="AX1488" s="3" t="s">
        <v>19026</v>
      </c>
      <c r="AY1488" s="3" t="s">
        <v>19027</v>
      </c>
      <c r="AZ1488" s="3" t="s">
        <v>74</v>
      </c>
      <c r="BB1488" s="3" t="s">
        <v>19028</v>
      </c>
      <c r="BC1488" s="3" t="s">
        <v>19029</v>
      </c>
      <c r="BD1488" s="3" t="s">
        <v>19030</v>
      </c>
    </row>
    <row r="1489" spans="1:56" ht="42.75" customHeight="1" x14ac:dyDescent="0.25">
      <c r="A1489" s="7" t="s">
        <v>58</v>
      </c>
      <c r="B1489" s="2" t="s">
        <v>19031</v>
      </c>
      <c r="C1489" s="2" t="s">
        <v>19032</v>
      </c>
      <c r="D1489" s="2" t="s">
        <v>19033</v>
      </c>
      <c r="F1489" s="3" t="s">
        <v>58</v>
      </c>
      <c r="G1489" s="3" t="s">
        <v>59</v>
      </c>
      <c r="H1489" s="3" t="s">
        <v>58</v>
      </c>
      <c r="I1489" s="3" t="s">
        <v>86</v>
      </c>
      <c r="J1489" s="3" t="s">
        <v>60</v>
      </c>
      <c r="L1489" s="2" t="s">
        <v>19034</v>
      </c>
      <c r="M1489" s="3" t="s">
        <v>114</v>
      </c>
      <c r="O1489" s="3" t="s">
        <v>64</v>
      </c>
      <c r="P1489" s="3" t="s">
        <v>115</v>
      </c>
      <c r="Q1489" s="2" t="s">
        <v>19035</v>
      </c>
      <c r="R1489" s="3" t="s">
        <v>67</v>
      </c>
      <c r="S1489" s="4">
        <v>16</v>
      </c>
      <c r="T1489" s="4">
        <v>16</v>
      </c>
      <c r="U1489" s="5" t="s">
        <v>241</v>
      </c>
      <c r="V1489" s="5" t="s">
        <v>241</v>
      </c>
      <c r="W1489" s="5" t="s">
        <v>16526</v>
      </c>
      <c r="X1489" s="5" t="s">
        <v>16526</v>
      </c>
      <c r="Y1489" s="4">
        <v>197</v>
      </c>
      <c r="Z1489" s="4">
        <v>172</v>
      </c>
      <c r="AA1489" s="4">
        <v>290</v>
      </c>
      <c r="AB1489" s="4">
        <v>3</v>
      </c>
      <c r="AC1489" s="4">
        <v>4</v>
      </c>
      <c r="AD1489" s="4">
        <v>3</v>
      </c>
      <c r="AE1489" s="4">
        <v>4</v>
      </c>
      <c r="AF1489" s="4">
        <v>1</v>
      </c>
      <c r="AG1489" s="4">
        <v>1</v>
      </c>
      <c r="AH1489" s="4">
        <v>1</v>
      </c>
      <c r="AI1489" s="4">
        <v>1</v>
      </c>
      <c r="AJ1489" s="4">
        <v>0</v>
      </c>
      <c r="AK1489" s="4">
        <v>0</v>
      </c>
      <c r="AL1489" s="4">
        <v>2</v>
      </c>
      <c r="AM1489" s="4">
        <v>3</v>
      </c>
      <c r="AN1489" s="4">
        <v>0</v>
      </c>
      <c r="AO1489" s="4">
        <v>0</v>
      </c>
      <c r="AP1489" s="3" t="s">
        <v>58</v>
      </c>
      <c r="AQ1489" s="3" t="s">
        <v>86</v>
      </c>
      <c r="AR1489" s="6" t="str">
        <f>HYPERLINK("http://catalog.hathitrust.org/Record/000352457","HathiTrust Record")</f>
        <v>HathiTrust Record</v>
      </c>
      <c r="AS1489" s="6" t="str">
        <f>HYPERLINK("https://creighton-primo.hosted.exlibrisgroup.com/primo-explore/search?tab=default_tab&amp;search_scope=EVERYTHING&amp;vid=01CRU&amp;lang=en_US&amp;offset=0&amp;query=any,contains,991000464789702656","Catalog Record")</f>
        <v>Catalog Record</v>
      </c>
      <c r="AT1489" s="6" t="str">
        <f>HYPERLINK("http://www.worldcat.org/oclc/10949951","WorldCat Record")</f>
        <v>WorldCat Record</v>
      </c>
      <c r="AU1489" s="3" t="s">
        <v>19036</v>
      </c>
      <c r="AV1489" s="3" t="s">
        <v>19037</v>
      </c>
      <c r="AW1489" s="3" t="s">
        <v>19038</v>
      </c>
      <c r="AX1489" s="3" t="s">
        <v>19038</v>
      </c>
      <c r="AY1489" s="3" t="s">
        <v>19039</v>
      </c>
      <c r="AZ1489" s="3" t="s">
        <v>74</v>
      </c>
      <c r="BB1489" s="3" t="s">
        <v>19040</v>
      </c>
      <c r="BC1489" s="3" t="s">
        <v>19041</v>
      </c>
      <c r="BD1489" s="3" t="s">
        <v>19042</v>
      </c>
    </row>
    <row r="1490" spans="1:56" ht="42.75" customHeight="1" x14ac:dyDescent="0.25">
      <c r="A1490" s="7" t="s">
        <v>58</v>
      </c>
      <c r="B1490" s="2" t="s">
        <v>19043</v>
      </c>
      <c r="C1490" s="2" t="s">
        <v>19044</v>
      </c>
      <c r="D1490" s="2" t="s">
        <v>19045</v>
      </c>
      <c r="F1490" s="3" t="s">
        <v>58</v>
      </c>
      <c r="G1490" s="3" t="s">
        <v>59</v>
      </c>
      <c r="H1490" s="3" t="s">
        <v>58</v>
      </c>
      <c r="I1490" s="3" t="s">
        <v>58</v>
      </c>
      <c r="J1490" s="3" t="s">
        <v>60</v>
      </c>
      <c r="K1490" s="2" t="s">
        <v>14818</v>
      </c>
      <c r="L1490" s="2" t="s">
        <v>19046</v>
      </c>
      <c r="M1490" s="3" t="s">
        <v>5200</v>
      </c>
      <c r="O1490" s="3" t="s">
        <v>64</v>
      </c>
      <c r="P1490" s="3" t="s">
        <v>83</v>
      </c>
      <c r="R1490" s="3" t="s">
        <v>67</v>
      </c>
      <c r="S1490" s="4">
        <v>25</v>
      </c>
      <c r="T1490" s="4">
        <v>25</v>
      </c>
      <c r="U1490" s="5" t="s">
        <v>12408</v>
      </c>
      <c r="V1490" s="5" t="s">
        <v>12408</v>
      </c>
      <c r="W1490" s="5" t="s">
        <v>12938</v>
      </c>
      <c r="X1490" s="5" t="s">
        <v>12938</v>
      </c>
      <c r="Y1490" s="4">
        <v>374</v>
      </c>
      <c r="Z1490" s="4">
        <v>335</v>
      </c>
      <c r="AA1490" s="4">
        <v>466</v>
      </c>
      <c r="AB1490" s="4">
        <v>3</v>
      </c>
      <c r="AC1490" s="4">
        <v>6</v>
      </c>
      <c r="AD1490" s="4">
        <v>10</v>
      </c>
      <c r="AE1490" s="4">
        <v>18</v>
      </c>
      <c r="AF1490" s="4">
        <v>3</v>
      </c>
      <c r="AG1490" s="4">
        <v>6</v>
      </c>
      <c r="AH1490" s="4">
        <v>3</v>
      </c>
      <c r="AI1490" s="4">
        <v>4</v>
      </c>
      <c r="AJ1490" s="4">
        <v>3</v>
      </c>
      <c r="AK1490" s="4">
        <v>4</v>
      </c>
      <c r="AL1490" s="4">
        <v>2</v>
      </c>
      <c r="AM1490" s="4">
        <v>5</v>
      </c>
      <c r="AN1490" s="4">
        <v>0</v>
      </c>
      <c r="AO1490" s="4">
        <v>0</v>
      </c>
      <c r="AP1490" s="3" t="s">
        <v>58</v>
      </c>
      <c r="AQ1490" s="3" t="s">
        <v>86</v>
      </c>
      <c r="AR1490" s="6" t="str">
        <f>HYPERLINK("http://catalog.hathitrust.org/Record/001579272","HathiTrust Record")</f>
        <v>HathiTrust Record</v>
      </c>
      <c r="AS1490" s="6" t="str">
        <f>HYPERLINK("https://creighton-primo.hosted.exlibrisgroup.com/primo-explore/search?tab=default_tab&amp;search_scope=EVERYTHING&amp;vid=01CRU&amp;lang=en_US&amp;offset=0&amp;query=any,contains,991002121329702656","Catalog Record")</f>
        <v>Catalog Record</v>
      </c>
      <c r="AT1490" s="6" t="str">
        <f>HYPERLINK("http://www.worldcat.org/oclc/268755","WorldCat Record")</f>
        <v>WorldCat Record</v>
      </c>
      <c r="AU1490" s="3" t="s">
        <v>19047</v>
      </c>
      <c r="AV1490" s="3" t="s">
        <v>19048</v>
      </c>
      <c r="AW1490" s="3" t="s">
        <v>19049</v>
      </c>
      <c r="AX1490" s="3" t="s">
        <v>19049</v>
      </c>
      <c r="AY1490" s="3" t="s">
        <v>19050</v>
      </c>
      <c r="AZ1490" s="3" t="s">
        <v>74</v>
      </c>
      <c r="BB1490" s="3" t="s">
        <v>19051</v>
      </c>
      <c r="BC1490" s="3" t="s">
        <v>19052</v>
      </c>
      <c r="BD1490" s="3" t="s">
        <v>19053</v>
      </c>
    </row>
    <row r="1491" spans="1:56" ht="42.75" customHeight="1" x14ac:dyDescent="0.25">
      <c r="A1491" s="7" t="s">
        <v>58</v>
      </c>
      <c r="B1491" s="2" t="s">
        <v>19054</v>
      </c>
      <c r="C1491" s="2" t="s">
        <v>19055</v>
      </c>
      <c r="D1491" s="2" t="s">
        <v>19056</v>
      </c>
      <c r="F1491" s="3" t="s">
        <v>58</v>
      </c>
      <c r="G1491" s="3" t="s">
        <v>59</v>
      </c>
      <c r="H1491" s="3" t="s">
        <v>86</v>
      </c>
      <c r="I1491" s="3" t="s">
        <v>58</v>
      </c>
      <c r="J1491" s="3" t="s">
        <v>60</v>
      </c>
      <c r="K1491" s="2" t="s">
        <v>19057</v>
      </c>
      <c r="L1491" s="2" t="s">
        <v>19058</v>
      </c>
      <c r="M1491" s="3" t="s">
        <v>344</v>
      </c>
      <c r="N1491" s="2" t="s">
        <v>19059</v>
      </c>
      <c r="O1491" s="3" t="s">
        <v>64</v>
      </c>
      <c r="P1491" s="3" t="s">
        <v>316</v>
      </c>
      <c r="R1491" s="3" t="s">
        <v>67</v>
      </c>
      <c r="S1491" s="4">
        <v>0</v>
      </c>
      <c r="T1491" s="4">
        <v>5</v>
      </c>
      <c r="V1491" s="5" t="s">
        <v>17212</v>
      </c>
      <c r="W1491" s="5" t="s">
        <v>69</v>
      </c>
      <c r="X1491" s="5" t="s">
        <v>69</v>
      </c>
      <c r="Y1491" s="4">
        <v>225</v>
      </c>
      <c r="Z1491" s="4">
        <v>178</v>
      </c>
      <c r="AA1491" s="4">
        <v>497</v>
      </c>
      <c r="AB1491" s="4">
        <v>3</v>
      </c>
      <c r="AC1491" s="4">
        <v>4</v>
      </c>
      <c r="AD1491" s="4">
        <v>6</v>
      </c>
      <c r="AE1491" s="4">
        <v>17</v>
      </c>
      <c r="AF1491" s="4">
        <v>3</v>
      </c>
      <c r="AG1491" s="4">
        <v>6</v>
      </c>
      <c r="AH1491" s="4">
        <v>3</v>
      </c>
      <c r="AI1491" s="4">
        <v>6</v>
      </c>
      <c r="AJ1491" s="4">
        <v>0</v>
      </c>
      <c r="AK1491" s="4">
        <v>6</v>
      </c>
      <c r="AL1491" s="4">
        <v>1</v>
      </c>
      <c r="AM1491" s="4">
        <v>2</v>
      </c>
      <c r="AN1491" s="4">
        <v>0</v>
      </c>
      <c r="AO1491" s="4">
        <v>0</v>
      </c>
      <c r="AP1491" s="3" t="s">
        <v>58</v>
      </c>
      <c r="AQ1491" s="3" t="s">
        <v>86</v>
      </c>
      <c r="AR1491" s="6" t="str">
        <f>HYPERLINK("http://catalog.hathitrust.org/Record/000025250","HathiTrust Record")</f>
        <v>HathiTrust Record</v>
      </c>
      <c r="AS1491" s="6" t="str">
        <f>HYPERLINK("https://creighton-primo.hosted.exlibrisgroup.com/primo-explore/search?tab=default_tab&amp;search_scope=EVERYTHING&amp;vid=01CRU&amp;lang=en_US&amp;offset=0&amp;query=any,contains,991001780119702656","Catalog Record")</f>
        <v>Catalog Record</v>
      </c>
      <c r="AT1491" s="6" t="str">
        <f>HYPERLINK("http://www.worldcat.org/oclc/5171348","WorldCat Record")</f>
        <v>WorldCat Record</v>
      </c>
      <c r="AU1491" s="3" t="s">
        <v>19060</v>
      </c>
      <c r="AV1491" s="3" t="s">
        <v>19061</v>
      </c>
      <c r="AW1491" s="3" t="s">
        <v>19062</v>
      </c>
      <c r="AX1491" s="3" t="s">
        <v>19062</v>
      </c>
      <c r="AY1491" s="3" t="s">
        <v>19063</v>
      </c>
      <c r="AZ1491" s="3" t="s">
        <v>74</v>
      </c>
      <c r="BB1491" s="3" t="s">
        <v>19064</v>
      </c>
      <c r="BC1491" s="3" t="s">
        <v>19065</v>
      </c>
      <c r="BD1491" s="3" t="s">
        <v>19066</v>
      </c>
    </row>
    <row r="1492" spans="1:56" ht="42.75" customHeight="1" x14ac:dyDescent="0.25">
      <c r="A1492" s="7" t="s">
        <v>58</v>
      </c>
      <c r="B1492" s="2" t="s">
        <v>19067</v>
      </c>
      <c r="C1492" s="2" t="s">
        <v>19068</v>
      </c>
      <c r="D1492" s="2" t="s">
        <v>19069</v>
      </c>
      <c r="F1492" s="3" t="s">
        <v>58</v>
      </c>
      <c r="G1492" s="3" t="s">
        <v>59</v>
      </c>
      <c r="H1492" s="3" t="s">
        <v>58</v>
      </c>
      <c r="I1492" s="3" t="s">
        <v>58</v>
      </c>
      <c r="J1492" s="3" t="s">
        <v>60</v>
      </c>
      <c r="K1492" s="2" t="s">
        <v>19070</v>
      </c>
      <c r="L1492" s="2" t="s">
        <v>19071</v>
      </c>
      <c r="M1492" s="3" t="s">
        <v>2227</v>
      </c>
      <c r="O1492" s="3" t="s">
        <v>64</v>
      </c>
      <c r="P1492" s="3" t="s">
        <v>99</v>
      </c>
      <c r="R1492" s="3" t="s">
        <v>67</v>
      </c>
      <c r="S1492" s="4">
        <v>4</v>
      </c>
      <c r="T1492" s="4">
        <v>4</v>
      </c>
      <c r="U1492" s="5" t="s">
        <v>19072</v>
      </c>
      <c r="V1492" s="5" t="s">
        <v>19072</v>
      </c>
      <c r="W1492" s="5" t="s">
        <v>69</v>
      </c>
      <c r="X1492" s="5" t="s">
        <v>69</v>
      </c>
      <c r="Y1492" s="4">
        <v>165</v>
      </c>
      <c r="Z1492" s="4">
        <v>138</v>
      </c>
      <c r="AA1492" s="4">
        <v>149</v>
      </c>
      <c r="AB1492" s="4">
        <v>1</v>
      </c>
      <c r="AC1492" s="4">
        <v>1</v>
      </c>
      <c r="AD1492" s="4">
        <v>2</v>
      </c>
      <c r="AE1492" s="4">
        <v>2</v>
      </c>
      <c r="AF1492" s="4">
        <v>0</v>
      </c>
      <c r="AG1492" s="4">
        <v>0</v>
      </c>
      <c r="AH1492" s="4">
        <v>1</v>
      </c>
      <c r="AI1492" s="4">
        <v>1</v>
      </c>
      <c r="AJ1492" s="4">
        <v>2</v>
      </c>
      <c r="AK1492" s="4">
        <v>2</v>
      </c>
      <c r="AL1492" s="4">
        <v>0</v>
      </c>
      <c r="AM1492" s="4">
        <v>0</v>
      </c>
      <c r="AN1492" s="4">
        <v>0</v>
      </c>
      <c r="AO1492" s="4">
        <v>0</v>
      </c>
      <c r="AP1492" s="3" t="s">
        <v>58</v>
      </c>
      <c r="AQ1492" s="3" t="s">
        <v>58</v>
      </c>
      <c r="AS1492" s="6" t="str">
        <f>HYPERLINK("https://creighton-primo.hosted.exlibrisgroup.com/primo-explore/search?tab=default_tab&amp;search_scope=EVERYTHING&amp;vid=01CRU&amp;lang=en_US&amp;offset=0&amp;query=any,contains,991000513299702656","Catalog Record")</f>
        <v>Catalog Record</v>
      </c>
      <c r="AT1492" s="6" t="str">
        <f>HYPERLINK("http://www.worldcat.org/oclc/11261296","WorldCat Record")</f>
        <v>WorldCat Record</v>
      </c>
      <c r="AU1492" s="3" t="s">
        <v>19073</v>
      </c>
      <c r="AV1492" s="3" t="s">
        <v>19074</v>
      </c>
      <c r="AW1492" s="3" t="s">
        <v>19075</v>
      </c>
      <c r="AX1492" s="3" t="s">
        <v>19075</v>
      </c>
      <c r="AY1492" s="3" t="s">
        <v>19076</v>
      </c>
      <c r="AZ1492" s="3" t="s">
        <v>74</v>
      </c>
      <c r="BB1492" s="3" t="s">
        <v>19077</v>
      </c>
      <c r="BC1492" s="3" t="s">
        <v>19078</v>
      </c>
      <c r="BD1492" s="3" t="s">
        <v>19079</v>
      </c>
    </row>
    <row r="1493" spans="1:56" ht="42.75" customHeight="1" x14ac:dyDescent="0.25">
      <c r="A1493" s="7" t="s">
        <v>58</v>
      </c>
      <c r="B1493" s="2" t="s">
        <v>19080</v>
      </c>
      <c r="C1493" s="2" t="s">
        <v>19081</v>
      </c>
      <c r="D1493" s="2" t="s">
        <v>19082</v>
      </c>
      <c r="F1493" s="3" t="s">
        <v>58</v>
      </c>
      <c r="G1493" s="3" t="s">
        <v>59</v>
      </c>
      <c r="H1493" s="3" t="s">
        <v>58</v>
      </c>
      <c r="I1493" s="3" t="s">
        <v>58</v>
      </c>
      <c r="J1493" s="3" t="s">
        <v>60</v>
      </c>
      <c r="L1493" s="2" t="s">
        <v>19083</v>
      </c>
      <c r="M1493" s="3" t="s">
        <v>480</v>
      </c>
      <c r="O1493" s="3" t="s">
        <v>64</v>
      </c>
      <c r="P1493" s="3" t="s">
        <v>115</v>
      </c>
      <c r="R1493" s="3" t="s">
        <v>67</v>
      </c>
      <c r="S1493" s="4">
        <v>2</v>
      </c>
      <c r="T1493" s="4">
        <v>2</v>
      </c>
      <c r="U1493" s="5" t="s">
        <v>19084</v>
      </c>
      <c r="V1493" s="5" t="s">
        <v>19084</v>
      </c>
      <c r="W1493" s="5" t="s">
        <v>69</v>
      </c>
      <c r="X1493" s="5" t="s">
        <v>69</v>
      </c>
      <c r="Y1493" s="4">
        <v>178</v>
      </c>
      <c r="Z1493" s="4">
        <v>110</v>
      </c>
      <c r="AA1493" s="4">
        <v>112</v>
      </c>
      <c r="AB1493" s="4">
        <v>1</v>
      </c>
      <c r="AC1493" s="4">
        <v>1</v>
      </c>
      <c r="AD1493" s="4">
        <v>0</v>
      </c>
      <c r="AE1493" s="4">
        <v>0</v>
      </c>
      <c r="AF1493" s="4">
        <v>0</v>
      </c>
      <c r="AG1493" s="4">
        <v>0</v>
      </c>
      <c r="AH1493" s="4">
        <v>0</v>
      </c>
      <c r="AI1493" s="4">
        <v>0</v>
      </c>
      <c r="AJ1493" s="4">
        <v>0</v>
      </c>
      <c r="AK1493" s="4">
        <v>0</v>
      </c>
      <c r="AL1493" s="4">
        <v>0</v>
      </c>
      <c r="AM1493" s="4">
        <v>0</v>
      </c>
      <c r="AN1493" s="4">
        <v>0</v>
      </c>
      <c r="AO1493" s="4">
        <v>0</v>
      </c>
      <c r="AP1493" s="3" t="s">
        <v>58</v>
      </c>
      <c r="AQ1493" s="3" t="s">
        <v>86</v>
      </c>
      <c r="AR1493" s="6" t="str">
        <f>HYPERLINK("http://catalog.hathitrust.org/Record/001080813","HathiTrust Record")</f>
        <v>HathiTrust Record</v>
      </c>
      <c r="AS1493" s="6" t="str">
        <f>HYPERLINK("https://creighton-primo.hosted.exlibrisgroup.com/primo-explore/search?tab=default_tab&amp;search_scope=EVERYTHING&amp;vid=01CRU&amp;lang=en_US&amp;offset=0&amp;query=any,contains,991001324129702656","Catalog Record")</f>
        <v>Catalog Record</v>
      </c>
      <c r="AT1493" s="6" t="str">
        <f>HYPERLINK("http://www.worldcat.org/oclc/18258111","WorldCat Record")</f>
        <v>WorldCat Record</v>
      </c>
      <c r="AU1493" s="3" t="s">
        <v>19085</v>
      </c>
      <c r="AV1493" s="3" t="s">
        <v>19086</v>
      </c>
      <c r="AW1493" s="3" t="s">
        <v>19087</v>
      </c>
      <c r="AX1493" s="3" t="s">
        <v>19087</v>
      </c>
      <c r="AY1493" s="3" t="s">
        <v>19088</v>
      </c>
      <c r="AZ1493" s="3" t="s">
        <v>74</v>
      </c>
      <c r="BB1493" s="3" t="s">
        <v>19089</v>
      </c>
      <c r="BC1493" s="3" t="s">
        <v>19090</v>
      </c>
      <c r="BD1493" s="3" t="s">
        <v>19091</v>
      </c>
    </row>
    <row r="1494" spans="1:56" ht="42.75" customHeight="1" x14ac:dyDescent="0.25">
      <c r="A1494" s="7" t="s">
        <v>58</v>
      </c>
      <c r="B1494" s="2" t="s">
        <v>19092</v>
      </c>
      <c r="C1494" s="2" t="s">
        <v>19093</v>
      </c>
      <c r="D1494" s="2" t="s">
        <v>19094</v>
      </c>
      <c r="F1494" s="3" t="s">
        <v>58</v>
      </c>
      <c r="G1494" s="3" t="s">
        <v>59</v>
      </c>
      <c r="H1494" s="3" t="s">
        <v>86</v>
      </c>
      <c r="I1494" s="3" t="s">
        <v>58</v>
      </c>
      <c r="J1494" s="3" t="s">
        <v>60</v>
      </c>
      <c r="K1494" s="2" t="s">
        <v>19095</v>
      </c>
      <c r="L1494" s="2" t="s">
        <v>3998</v>
      </c>
      <c r="M1494" s="3" t="s">
        <v>534</v>
      </c>
      <c r="O1494" s="3" t="s">
        <v>64</v>
      </c>
      <c r="P1494" s="3" t="s">
        <v>115</v>
      </c>
      <c r="R1494" s="3" t="s">
        <v>67</v>
      </c>
      <c r="S1494" s="4">
        <v>10</v>
      </c>
      <c r="T1494" s="4">
        <v>21</v>
      </c>
      <c r="U1494" s="5" t="s">
        <v>19096</v>
      </c>
      <c r="V1494" s="5" t="s">
        <v>19096</v>
      </c>
      <c r="W1494" s="5" t="s">
        <v>19097</v>
      </c>
      <c r="X1494" s="5" t="s">
        <v>19097</v>
      </c>
      <c r="Y1494" s="4">
        <v>208</v>
      </c>
      <c r="Z1494" s="4">
        <v>147</v>
      </c>
      <c r="AA1494" s="4">
        <v>170</v>
      </c>
      <c r="AB1494" s="4">
        <v>2</v>
      </c>
      <c r="AC1494" s="4">
        <v>2</v>
      </c>
      <c r="AD1494" s="4">
        <v>3</v>
      </c>
      <c r="AE1494" s="4">
        <v>3</v>
      </c>
      <c r="AF1494" s="4">
        <v>0</v>
      </c>
      <c r="AG1494" s="4">
        <v>0</v>
      </c>
      <c r="AH1494" s="4">
        <v>3</v>
      </c>
      <c r="AI1494" s="4">
        <v>3</v>
      </c>
      <c r="AJ1494" s="4">
        <v>1</v>
      </c>
      <c r="AK1494" s="4">
        <v>1</v>
      </c>
      <c r="AL1494" s="4">
        <v>0</v>
      </c>
      <c r="AM1494" s="4">
        <v>0</v>
      </c>
      <c r="AN1494" s="4">
        <v>0</v>
      </c>
      <c r="AO1494" s="4">
        <v>0</v>
      </c>
      <c r="AP1494" s="3" t="s">
        <v>58</v>
      </c>
      <c r="AQ1494" s="3" t="s">
        <v>86</v>
      </c>
      <c r="AR1494" s="6" t="str">
        <f>HYPERLINK("http://catalog.hathitrust.org/Record/001956042","HathiTrust Record")</f>
        <v>HathiTrust Record</v>
      </c>
      <c r="AS1494" s="6" t="str">
        <f>HYPERLINK("https://creighton-primo.hosted.exlibrisgroup.com/primo-explore/search?tab=default_tab&amp;search_scope=EVERYTHING&amp;vid=01CRU&amp;lang=en_US&amp;offset=0&amp;query=any,contains,991001797479702656","Catalog Record")</f>
        <v>Catalog Record</v>
      </c>
      <c r="AT1494" s="6" t="str">
        <f>HYPERLINK("http://www.worldcat.org/oclc/20933834","WorldCat Record")</f>
        <v>WorldCat Record</v>
      </c>
      <c r="AU1494" s="3" t="s">
        <v>19098</v>
      </c>
      <c r="AV1494" s="3" t="s">
        <v>19099</v>
      </c>
      <c r="AW1494" s="3" t="s">
        <v>19100</v>
      </c>
      <c r="AX1494" s="3" t="s">
        <v>19100</v>
      </c>
      <c r="AY1494" s="3" t="s">
        <v>19101</v>
      </c>
      <c r="AZ1494" s="3" t="s">
        <v>74</v>
      </c>
      <c r="BB1494" s="3" t="s">
        <v>19102</v>
      </c>
      <c r="BC1494" s="3" t="s">
        <v>19103</v>
      </c>
      <c r="BD1494" s="3" t="s">
        <v>19104</v>
      </c>
    </row>
    <row r="1495" spans="1:56" ht="42.75" customHeight="1" x14ac:dyDescent="0.25">
      <c r="A1495" s="7" t="s">
        <v>58</v>
      </c>
      <c r="B1495" s="2" t="s">
        <v>19105</v>
      </c>
      <c r="C1495" s="2" t="s">
        <v>19106</v>
      </c>
      <c r="D1495" s="2" t="s">
        <v>19107</v>
      </c>
      <c r="F1495" s="3" t="s">
        <v>58</v>
      </c>
      <c r="G1495" s="3" t="s">
        <v>59</v>
      </c>
      <c r="H1495" s="3" t="s">
        <v>58</v>
      </c>
      <c r="I1495" s="3" t="s">
        <v>58</v>
      </c>
      <c r="J1495" s="3" t="s">
        <v>60</v>
      </c>
      <c r="K1495" s="2" t="s">
        <v>19108</v>
      </c>
      <c r="L1495" s="2" t="s">
        <v>19109</v>
      </c>
      <c r="M1495" s="3" t="s">
        <v>371</v>
      </c>
      <c r="O1495" s="3" t="s">
        <v>64</v>
      </c>
      <c r="P1495" s="3" t="s">
        <v>208</v>
      </c>
      <c r="R1495" s="3" t="s">
        <v>67</v>
      </c>
      <c r="S1495" s="4">
        <v>12</v>
      </c>
      <c r="T1495" s="4">
        <v>12</v>
      </c>
      <c r="U1495" s="5" t="s">
        <v>19110</v>
      </c>
      <c r="V1495" s="5" t="s">
        <v>19110</v>
      </c>
      <c r="W1495" s="5" t="s">
        <v>19111</v>
      </c>
      <c r="X1495" s="5" t="s">
        <v>19111</v>
      </c>
      <c r="Y1495" s="4">
        <v>587</v>
      </c>
      <c r="Z1495" s="4">
        <v>520</v>
      </c>
      <c r="AA1495" s="4">
        <v>530</v>
      </c>
      <c r="AB1495" s="4">
        <v>2</v>
      </c>
      <c r="AC1495" s="4">
        <v>2</v>
      </c>
      <c r="AD1495" s="4">
        <v>14</v>
      </c>
      <c r="AE1495" s="4">
        <v>14</v>
      </c>
      <c r="AF1495" s="4">
        <v>6</v>
      </c>
      <c r="AG1495" s="4">
        <v>6</v>
      </c>
      <c r="AH1495" s="4">
        <v>3</v>
      </c>
      <c r="AI1495" s="4">
        <v>3</v>
      </c>
      <c r="AJ1495" s="4">
        <v>9</v>
      </c>
      <c r="AK1495" s="4">
        <v>9</v>
      </c>
      <c r="AL1495" s="4">
        <v>1</v>
      </c>
      <c r="AM1495" s="4">
        <v>1</v>
      </c>
      <c r="AN1495" s="4">
        <v>0</v>
      </c>
      <c r="AO1495" s="4">
        <v>0</v>
      </c>
      <c r="AP1495" s="3" t="s">
        <v>58</v>
      </c>
      <c r="AQ1495" s="3" t="s">
        <v>86</v>
      </c>
      <c r="AR1495" s="6" t="str">
        <f>HYPERLINK("http://catalog.hathitrust.org/Record/000591305","HathiTrust Record")</f>
        <v>HathiTrust Record</v>
      </c>
      <c r="AS1495" s="6" t="str">
        <f>HYPERLINK("https://creighton-primo.hosted.exlibrisgroup.com/primo-explore/search?tab=default_tab&amp;search_scope=EVERYTHING&amp;vid=01CRU&amp;lang=en_US&amp;offset=0&amp;query=any,contains,991000777719702656","Catalog Record")</f>
        <v>Catalog Record</v>
      </c>
      <c r="AT1495" s="6" t="str">
        <f>HYPERLINK("http://www.worldcat.org/oclc/13092416","WorldCat Record")</f>
        <v>WorldCat Record</v>
      </c>
      <c r="AU1495" s="3" t="s">
        <v>19112</v>
      </c>
      <c r="AV1495" s="3" t="s">
        <v>19113</v>
      </c>
      <c r="AW1495" s="3" t="s">
        <v>19114</v>
      </c>
      <c r="AX1495" s="3" t="s">
        <v>19114</v>
      </c>
      <c r="AY1495" s="3" t="s">
        <v>19115</v>
      </c>
      <c r="AZ1495" s="3" t="s">
        <v>74</v>
      </c>
      <c r="BB1495" s="3" t="s">
        <v>19116</v>
      </c>
      <c r="BC1495" s="3" t="s">
        <v>19117</v>
      </c>
      <c r="BD1495" s="3" t="s">
        <v>19118</v>
      </c>
    </row>
    <row r="1496" spans="1:56" ht="42.75" customHeight="1" x14ac:dyDescent="0.25">
      <c r="A1496" s="7" t="s">
        <v>58</v>
      </c>
      <c r="B1496" s="2" t="s">
        <v>19119</v>
      </c>
      <c r="C1496" s="2" t="s">
        <v>19120</v>
      </c>
      <c r="D1496" s="2" t="s">
        <v>19121</v>
      </c>
      <c r="F1496" s="3" t="s">
        <v>58</v>
      </c>
      <c r="G1496" s="3" t="s">
        <v>59</v>
      </c>
      <c r="H1496" s="3" t="s">
        <v>58</v>
      </c>
      <c r="I1496" s="3" t="s">
        <v>58</v>
      </c>
      <c r="J1496" s="3" t="s">
        <v>60</v>
      </c>
      <c r="K1496" s="2" t="s">
        <v>19122</v>
      </c>
      <c r="L1496" s="2" t="s">
        <v>19123</v>
      </c>
      <c r="M1496" s="3" t="s">
        <v>114</v>
      </c>
      <c r="O1496" s="3" t="s">
        <v>64</v>
      </c>
      <c r="P1496" s="3" t="s">
        <v>115</v>
      </c>
      <c r="R1496" s="3" t="s">
        <v>67</v>
      </c>
      <c r="S1496" s="4">
        <v>7</v>
      </c>
      <c r="T1496" s="4">
        <v>7</v>
      </c>
      <c r="U1496" s="5" t="s">
        <v>19124</v>
      </c>
      <c r="V1496" s="5" t="s">
        <v>19124</v>
      </c>
      <c r="W1496" s="5" t="s">
        <v>17285</v>
      </c>
      <c r="X1496" s="5" t="s">
        <v>17285</v>
      </c>
      <c r="Y1496" s="4">
        <v>339</v>
      </c>
      <c r="Z1496" s="4">
        <v>324</v>
      </c>
      <c r="AA1496" s="4">
        <v>338</v>
      </c>
      <c r="AB1496" s="4">
        <v>3</v>
      </c>
      <c r="AC1496" s="4">
        <v>3</v>
      </c>
      <c r="AD1496" s="4">
        <v>3</v>
      </c>
      <c r="AE1496" s="4">
        <v>3</v>
      </c>
      <c r="AF1496" s="4">
        <v>3</v>
      </c>
      <c r="AG1496" s="4">
        <v>3</v>
      </c>
      <c r="AH1496" s="4">
        <v>0</v>
      </c>
      <c r="AI1496" s="4">
        <v>0</v>
      </c>
      <c r="AJ1496" s="4">
        <v>0</v>
      </c>
      <c r="AK1496" s="4">
        <v>0</v>
      </c>
      <c r="AL1496" s="4">
        <v>0</v>
      </c>
      <c r="AM1496" s="4">
        <v>0</v>
      </c>
      <c r="AN1496" s="4">
        <v>0</v>
      </c>
      <c r="AO1496" s="4">
        <v>0</v>
      </c>
      <c r="AP1496" s="3" t="s">
        <v>58</v>
      </c>
      <c r="AQ1496" s="3" t="s">
        <v>58</v>
      </c>
      <c r="AS1496" s="6" t="str">
        <f>HYPERLINK("https://creighton-primo.hosted.exlibrisgroup.com/primo-explore/search?tab=default_tab&amp;search_scope=EVERYTHING&amp;vid=01CRU&amp;lang=en_US&amp;offset=0&amp;query=any,contains,991000298969702656","Catalog Record")</f>
        <v>Catalog Record</v>
      </c>
      <c r="AT1496" s="6" t="str">
        <f>HYPERLINK("http://www.worldcat.org/oclc/10020134","WorldCat Record")</f>
        <v>WorldCat Record</v>
      </c>
      <c r="AU1496" s="3" t="s">
        <v>19125</v>
      </c>
      <c r="AV1496" s="3" t="s">
        <v>19126</v>
      </c>
      <c r="AW1496" s="3" t="s">
        <v>19127</v>
      </c>
      <c r="AX1496" s="3" t="s">
        <v>19127</v>
      </c>
      <c r="AY1496" s="3" t="s">
        <v>19128</v>
      </c>
      <c r="AZ1496" s="3" t="s">
        <v>74</v>
      </c>
      <c r="BB1496" s="3" t="s">
        <v>19129</v>
      </c>
      <c r="BC1496" s="3" t="s">
        <v>19130</v>
      </c>
      <c r="BD1496" s="3" t="s">
        <v>19131</v>
      </c>
    </row>
    <row r="1497" spans="1:56" ht="42.75" customHeight="1" x14ac:dyDescent="0.25">
      <c r="A1497" s="7" t="s">
        <v>58</v>
      </c>
      <c r="B1497" s="2" t="s">
        <v>19132</v>
      </c>
      <c r="C1497" s="2" t="s">
        <v>19133</v>
      </c>
      <c r="D1497" s="2" t="s">
        <v>19134</v>
      </c>
      <c r="E1497" s="3" t="s">
        <v>3491</v>
      </c>
      <c r="F1497" s="3" t="s">
        <v>86</v>
      </c>
      <c r="G1497" s="3" t="s">
        <v>59</v>
      </c>
      <c r="H1497" s="3" t="s">
        <v>58</v>
      </c>
      <c r="I1497" s="3" t="s">
        <v>86</v>
      </c>
      <c r="J1497" s="3" t="s">
        <v>60</v>
      </c>
      <c r="L1497" s="2" t="s">
        <v>19135</v>
      </c>
      <c r="M1497" s="3" t="s">
        <v>238</v>
      </c>
      <c r="O1497" s="3" t="s">
        <v>64</v>
      </c>
      <c r="P1497" s="3" t="s">
        <v>115</v>
      </c>
      <c r="R1497" s="3" t="s">
        <v>67</v>
      </c>
      <c r="S1497" s="4">
        <v>5</v>
      </c>
      <c r="T1497" s="4">
        <v>17</v>
      </c>
      <c r="U1497" s="5" t="s">
        <v>19136</v>
      </c>
      <c r="V1497" s="5" t="s">
        <v>19137</v>
      </c>
      <c r="W1497" s="5" t="s">
        <v>69</v>
      </c>
      <c r="X1497" s="5" t="s">
        <v>69</v>
      </c>
      <c r="Y1497" s="4">
        <v>285</v>
      </c>
      <c r="Z1497" s="4">
        <v>198</v>
      </c>
      <c r="AA1497" s="4">
        <v>600</v>
      </c>
      <c r="AB1497" s="4">
        <v>2</v>
      </c>
      <c r="AC1497" s="4">
        <v>5</v>
      </c>
      <c r="AD1497" s="4">
        <v>8</v>
      </c>
      <c r="AE1497" s="4">
        <v>14</v>
      </c>
      <c r="AF1497" s="4">
        <v>1</v>
      </c>
      <c r="AG1497" s="4">
        <v>3</v>
      </c>
      <c r="AH1497" s="4">
        <v>1</v>
      </c>
      <c r="AI1497" s="4">
        <v>3</v>
      </c>
      <c r="AJ1497" s="4">
        <v>6</v>
      </c>
      <c r="AK1497" s="4">
        <v>8</v>
      </c>
      <c r="AL1497" s="4">
        <v>1</v>
      </c>
      <c r="AM1497" s="4">
        <v>2</v>
      </c>
      <c r="AN1497" s="4">
        <v>0</v>
      </c>
      <c r="AO1497" s="4">
        <v>0</v>
      </c>
      <c r="AP1497" s="3" t="s">
        <v>58</v>
      </c>
      <c r="AQ1497" s="3" t="s">
        <v>86</v>
      </c>
      <c r="AR1497" s="6" t="str">
        <f>HYPERLINK("http://catalog.hathitrust.org/Record/000257147","HathiTrust Record")</f>
        <v>HathiTrust Record</v>
      </c>
      <c r="AS1497" s="6" t="str">
        <f>HYPERLINK("https://creighton-primo.hosted.exlibrisgroup.com/primo-explore/search?tab=default_tab&amp;search_scope=EVERYTHING&amp;vid=01CRU&amp;lang=en_US&amp;offset=0&amp;query=any,contains,991005266599702656","Catalog Record")</f>
        <v>Catalog Record</v>
      </c>
      <c r="AT1497" s="6" t="str">
        <f>HYPERLINK("http://www.worldcat.org/oclc/4504256","WorldCat Record")</f>
        <v>WorldCat Record</v>
      </c>
      <c r="AU1497" s="3" t="s">
        <v>19138</v>
      </c>
      <c r="AV1497" s="3" t="s">
        <v>19139</v>
      </c>
      <c r="AW1497" s="3" t="s">
        <v>19140</v>
      </c>
      <c r="AX1497" s="3" t="s">
        <v>19140</v>
      </c>
      <c r="AY1497" s="3" t="s">
        <v>19141</v>
      </c>
      <c r="AZ1497" s="3" t="s">
        <v>74</v>
      </c>
      <c r="BB1497" s="3" t="s">
        <v>19142</v>
      </c>
      <c r="BC1497" s="3" t="s">
        <v>19143</v>
      </c>
      <c r="BD1497" s="3" t="s">
        <v>19144</v>
      </c>
    </row>
    <row r="1498" spans="1:56" ht="42.75" customHeight="1" x14ac:dyDescent="0.25">
      <c r="A1498" s="7" t="s">
        <v>58</v>
      </c>
      <c r="B1498" s="2" t="s">
        <v>19132</v>
      </c>
      <c r="C1498" s="2" t="s">
        <v>19133</v>
      </c>
      <c r="D1498" s="2" t="s">
        <v>19134</v>
      </c>
      <c r="E1498" s="3" t="s">
        <v>2397</v>
      </c>
      <c r="F1498" s="3" t="s">
        <v>86</v>
      </c>
      <c r="G1498" s="3" t="s">
        <v>59</v>
      </c>
      <c r="H1498" s="3" t="s">
        <v>58</v>
      </c>
      <c r="I1498" s="3" t="s">
        <v>86</v>
      </c>
      <c r="J1498" s="3" t="s">
        <v>60</v>
      </c>
      <c r="L1498" s="2" t="s">
        <v>19135</v>
      </c>
      <c r="M1498" s="3" t="s">
        <v>238</v>
      </c>
      <c r="O1498" s="3" t="s">
        <v>64</v>
      </c>
      <c r="P1498" s="3" t="s">
        <v>115</v>
      </c>
      <c r="R1498" s="3" t="s">
        <v>67</v>
      </c>
      <c r="S1498" s="4">
        <v>7</v>
      </c>
      <c r="T1498" s="4">
        <v>17</v>
      </c>
      <c r="U1498" s="5" t="s">
        <v>19136</v>
      </c>
      <c r="V1498" s="5" t="s">
        <v>19137</v>
      </c>
      <c r="W1498" s="5" t="s">
        <v>69</v>
      </c>
      <c r="X1498" s="5" t="s">
        <v>69</v>
      </c>
      <c r="Y1498" s="4">
        <v>285</v>
      </c>
      <c r="Z1498" s="4">
        <v>198</v>
      </c>
      <c r="AA1498" s="4">
        <v>600</v>
      </c>
      <c r="AB1498" s="4">
        <v>2</v>
      </c>
      <c r="AC1498" s="4">
        <v>5</v>
      </c>
      <c r="AD1498" s="4">
        <v>8</v>
      </c>
      <c r="AE1498" s="4">
        <v>14</v>
      </c>
      <c r="AF1498" s="4">
        <v>1</v>
      </c>
      <c r="AG1498" s="4">
        <v>3</v>
      </c>
      <c r="AH1498" s="4">
        <v>1</v>
      </c>
      <c r="AI1498" s="4">
        <v>3</v>
      </c>
      <c r="AJ1498" s="4">
        <v>6</v>
      </c>
      <c r="AK1498" s="4">
        <v>8</v>
      </c>
      <c r="AL1498" s="4">
        <v>1</v>
      </c>
      <c r="AM1498" s="4">
        <v>2</v>
      </c>
      <c r="AN1498" s="4">
        <v>0</v>
      </c>
      <c r="AO1498" s="4">
        <v>0</v>
      </c>
      <c r="AP1498" s="3" t="s">
        <v>58</v>
      </c>
      <c r="AQ1498" s="3" t="s">
        <v>86</v>
      </c>
      <c r="AR1498" s="6" t="str">
        <f>HYPERLINK("http://catalog.hathitrust.org/Record/000257147","HathiTrust Record")</f>
        <v>HathiTrust Record</v>
      </c>
      <c r="AS1498" s="6" t="str">
        <f>HYPERLINK("https://creighton-primo.hosted.exlibrisgroup.com/primo-explore/search?tab=default_tab&amp;search_scope=EVERYTHING&amp;vid=01CRU&amp;lang=en_US&amp;offset=0&amp;query=any,contains,991005266599702656","Catalog Record")</f>
        <v>Catalog Record</v>
      </c>
      <c r="AT1498" s="6" t="str">
        <f>HYPERLINK("http://www.worldcat.org/oclc/4504256","WorldCat Record")</f>
        <v>WorldCat Record</v>
      </c>
      <c r="AU1498" s="3" t="s">
        <v>19138</v>
      </c>
      <c r="AV1498" s="3" t="s">
        <v>19139</v>
      </c>
      <c r="AW1498" s="3" t="s">
        <v>19140</v>
      </c>
      <c r="AX1498" s="3" t="s">
        <v>19140</v>
      </c>
      <c r="AY1498" s="3" t="s">
        <v>19141</v>
      </c>
      <c r="AZ1498" s="3" t="s">
        <v>74</v>
      </c>
      <c r="BB1498" s="3" t="s">
        <v>19142</v>
      </c>
      <c r="BC1498" s="3" t="s">
        <v>19145</v>
      </c>
      <c r="BD1498" s="3" t="s">
        <v>19146</v>
      </c>
    </row>
    <row r="1499" spans="1:56" ht="42.75" customHeight="1" x14ac:dyDescent="0.25">
      <c r="A1499" s="7" t="s">
        <v>58</v>
      </c>
      <c r="B1499" s="2" t="s">
        <v>19132</v>
      </c>
      <c r="C1499" s="2" t="s">
        <v>19133</v>
      </c>
      <c r="D1499" s="2" t="s">
        <v>19134</v>
      </c>
      <c r="E1499" s="3" t="s">
        <v>3494</v>
      </c>
      <c r="F1499" s="3" t="s">
        <v>86</v>
      </c>
      <c r="G1499" s="3" t="s">
        <v>59</v>
      </c>
      <c r="H1499" s="3" t="s">
        <v>58</v>
      </c>
      <c r="I1499" s="3" t="s">
        <v>86</v>
      </c>
      <c r="J1499" s="3" t="s">
        <v>60</v>
      </c>
      <c r="L1499" s="2" t="s">
        <v>19135</v>
      </c>
      <c r="M1499" s="3" t="s">
        <v>238</v>
      </c>
      <c r="O1499" s="3" t="s">
        <v>64</v>
      </c>
      <c r="P1499" s="3" t="s">
        <v>115</v>
      </c>
      <c r="R1499" s="3" t="s">
        <v>67</v>
      </c>
      <c r="S1499" s="4">
        <v>5</v>
      </c>
      <c r="T1499" s="4">
        <v>17</v>
      </c>
      <c r="U1499" s="5" t="s">
        <v>19137</v>
      </c>
      <c r="V1499" s="5" t="s">
        <v>19137</v>
      </c>
      <c r="W1499" s="5" t="s">
        <v>69</v>
      </c>
      <c r="X1499" s="5" t="s">
        <v>69</v>
      </c>
      <c r="Y1499" s="4">
        <v>285</v>
      </c>
      <c r="Z1499" s="4">
        <v>198</v>
      </c>
      <c r="AA1499" s="4">
        <v>600</v>
      </c>
      <c r="AB1499" s="4">
        <v>2</v>
      </c>
      <c r="AC1499" s="4">
        <v>5</v>
      </c>
      <c r="AD1499" s="4">
        <v>8</v>
      </c>
      <c r="AE1499" s="4">
        <v>14</v>
      </c>
      <c r="AF1499" s="4">
        <v>1</v>
      </c>
      <c r="AG1499" s="4">
        <v>3</v>
      </c>
      <c r="AH1499" s="4">
        <v>1</v>
      </c>
      <c r="AI1499" s="4">
        <v>3</v>
      </c>
      <c r="AJ1499" s="4">
        <v>6</v>
      </c>
      <c r="AK1499" s="4">
        <v>8</v>
      </c>
      <c r="AL1499" s="4">
        <v>1</v>
      </c>
      <c r="AM1499" s="4">
        <v>2</v>
      </c>
      <c r="AN1499" s="4">
        <v>0</v>
      </c>
      <c r="AO1499" s="4">
        <v>0</v>
      </c>
      <c r="AP1499" s="3" t="s">
        <v>58</v>
      </c>
      <c r="AQ1499" s="3" t="s">
        <v>86</v>
      </c>
      <c r="AR1499" s="6" t="str">
        <f>HYPERLINK("http://catalog.hathitrust.org/Record/000257147","HathiTrust Record")</f>
        <v>HathiTrust Record</v>
      </c>
      <c r="AS1499" s="6" t="str">
        <f>HYPERLINK("https://creighton-primo.hosted.exlibrisgroup.com/primo-explore/search?tab=default_tab&amp;search_scope=EVERYTHING&amp;vid=01CRU&amp;lang=en_US&amp;offset=0&amp;query=any,contains,991005266599702656","Catalog Record")</f>
        <v>Catalog Record</v>
      </c>
      <c r="AT1499" s="6" t="str">
        <f>HYPERLINK("http://www.worldcat.org/oclc/4504256","WorldCat Record")</f>
        <v>WorldCat Record</v>
      </c>
      <c r="AU1499" s="3" t="s">
        <v>19138</v>
      </c>
      <c r="AV1499" s="3" t="s">
        <v>19139</v>
      </c>
      <c r="AW1499" s="3" t="s">
        <v>19140</v>
      </c>
      <c r="AX1499" s="3" t="s">
        <v>19140</v>
      </c>
      <c r="AY1499" s="3" t="s">
        <v>19141</v>
      </c>
      <c r="AZ1499" s="3" t="s">
        <v>74</v>
      </c>
      <c r="BB1499" s="3" t="s">
        <v>19142</v>
      </c>
      <c r="BC1499" s="3" t="s">
        <v>19147</v>
      </c>
      <c r="BD1499" s="3" t="s">
        <v>19148</v>
      </c>
    </row>
    <row r="1500" spans="1:56" ht="42.75" customHeight="1" x14ac:dyDescent="0.25">
      <c r="A1500" s="7" t="s">
        <v>58</v>
      </c>
      <c r="B1500" s="2" t="s">
        <v>19149</v>
      </c>
      <c r="C1500" s="2" t="s">
        <v>19150</v>
      </c>
      <c r="D1500" s="2" t="s">
        <v>19151</v>
      </c>
      <c r="F1500" s="3" t="s">
        <v>58</v>
      </c>
      <c r="G1500" s="3" t="s">
        <v>59</v>
      </c>
      <c r="H1500" s="3" t="s">
        <v>86</v>
      </c>
      <c r="I1500" s="3" t="s">
        <v>58</v>
      </c>
      <c r="J1500" s="3" t="s">
        <v>60</v>
      </c>
      <c r="K1500" s="2" t="s">
        <v>19152</v>
      </c>
      <c r="L1500" s="2" t="s">
        <v>19153</v>
      </c>
      <c r="M1500" s="3" t="s">
        <v>1574</v>
      </c>
      <c r="O1500" s="3" t="s">
        <v>64</v>
      </c>
      <c r="P1500" s="3" t="s">
        <v>115</v>
      </c>
      <c r="Q1500" s="2" t="s">
        <v>19154</v>
      </c>
      <c r="R1500" s="3" t="s">
        <v>67</v>
      </c>
      <c r="S1500" s="4">
        <v>11</v>
      </c>
      <c r="T1500" s="4">
        <v>11</v>
      </c>
      <c r="U1500" s="5" t="s">
        <v>19155</v>
      </c>
      <c r="V1500" s="5" t="s">
        <v>19155</v>
      </c>
      <c r="W1500" s="5" t="s">
        <v>69</v>
      </c>
      <c r="X1500" s="5" t="s">
        <v>69</v>
      </c>
      <c r="Y1500" s="4">
        <v>160</v>
      </c>
      <c r="Z1500" s="4">
        <v>104</v>
      </c>
      <c r="AA1500" s="4">
        <v>106</v>
      </c>
      <c r="AB1500" s="4">
        <v>2</v>
      </c>
      <c r="AC1500" s="4">
        <v>2</v>
      </c>
      <c r="AD1500" s="4">
        <v>0</v>
      </c>
      <c r="AE1500" s="4">
        <v>0</v>
      </c>
      <c r="AF1500" s="4">
        <v>0</v>
      </c>
      <c r="AG1500" s="4">
        <v>0</v>
      </c>
      <c r="AH1500" s="4">
        <v>0</v>
      </c>
      <c r="AI1500" s="4">
        <v>0</v>
      </c>
      <c r="AJ1500" s="4">
        <v>0</v>
      </c>
      <c r="AK1500" s="4">
        <v>0</v>
      </c>
      <c r="AL1500" s="4">
        <v>0</v>
      </c>
      <c r="AM1500" s="4">
        <v>0</v>
      </c>
      <c r="AN1500" s="4">
        <v>0</v>
      </c>
      <c r="AO1500" s="4">
        <v>0</v>
      </c>
      <c r="AP1500" s="3" t="s">
        <v>58</v>
      </c>
      <c r="AQ1500" s="3" t="s">
        <v>86</v>
      </c>
      <c r="AR1500" s="6" t="str">
        <f>HYPERLINK("http://catalog.hathitrust.org/Record/000313472","HathiTrust Record")</f>
        <v>HathiTrust Record</v>
      </c>
      <c r="AS1500" s="6" t="str">
        <f>HYPERLINK("https://creighton-primo.hosted.exlibrisgroup.com/primo-explore/search?tab=default_tab&amp;search_scope=EVERYTHING&amp;vid=01CRU&amp;lang=en_US&amp;offset=0&amp;query=any,contains,991005226789702656","Catalog Record")</f>
        <v>Catalog Record</v>
      </c>
      <c r="AT1500" s="6" t="str">
        <f>HYPERLINK("http://www.worldcat.org/oclc/8283335","WorldCat Record")</f>
        <v>WorldCat Record</v>
      </c>
      <c r="AU1500" s="3" t="s">
        <v>19156</v>
      </c>
      <c r="AV1500" s="3" t="s">
        <v>19157</v>
      </c>
      <c r="AW1500" s="3" t="s">
        <v>19158</v>
      </c>
      <c r="AX1500" s="3" t="s">
        <v>19158</v>
      </c>
      <c r="AY1500" s="3" t="s">
        <v>19159</v>
      </c>
      <c r="AZ1500" s="3" t="s">
        <v>74</v>
      </c>
      <c r="BB1500" s="3" t="s">
        <v>19160</v>
      </c>
      <c r="BC1500" s="3" t="s">
        <v>19161</v>
      </c>
      <c r="BD1500" s="3" t="s">
        <v>19162</v>
      </c>
    </row>
    <row r="1501" spans="1:56" ht="42.75" customHeight="1" x14ac:dyDescent="0.25">
      <c r="A1501" s="7" t="s">
        <v>58</v>
      </c>
      <c r="B1501" s="2" t="s">
        <v>19163</v>
      </c>
      <c r="C1501" s="2" t="s">
        <v>19164</v>
      </c>
      <c r="D1501" s="2" t="s">
        <v>19165</v>
      </c>
      <c r="F1501" s="3" t="s">
        <v>58</v>
      </c>
      <c r="G1501" s="3" t="s">
        <v>59</v>
      </c>
      <c r="H1501" s="3" t="s">
        <v>58</v>
      </c>
      <c r="I1501" s="3" t="s">
        <v>58</v>
      </c>
      <c r="J1501" s="3" t="s">
        <v>60</v>
      </c>
      <c r="K1501" s="2" t="s">
        <v>19166</v>
      </c>
      <c r="L1501" s="2" t="s">
        <v>19167</v>
      </c>
      <c r="M1501" s="3" t="s">
        <v>2227</v>
      </c>
      <c r="O1501" s="3" t="s">
        <v>64</v>
      </c>
      <c r="P1501" s="3" t="s">
        <v>65</v>
      </c>
      <c r="R1501" s="3" t="s">
        <v>67</v>
      </c>
      <c r="S1501" s="4">
        <v>3</v>
      </c>
      <c r="T1501" s="4">
        <v>3</v>
      </c>
      <c r="U1501" s="5" t="s">
        <v>19168</v>
      </c>
      <c r="V1501" s="5" t="s">
        <v>19168</v>
      </c>
      <c r="W1501" s="5" t="s">
        <v>69</v>
      </c>
      <c r="X1501" s="5" t="s">
        <v>69</v>
      </c>
      <c r="Y1501" s="4">
        <v>123</v>
      </c>
      <c r="Z1501" s="4">
        <v>91</v>
      </c>
      <c r="AA1501" s="4">
        <v>93</v>
      </c>
      <c r="AB1501" s="4">
        <v>1</v>
      </c>
      <c r="AC1501" s="4">
        <v>1</v>
      </c>
      <c r="AD1501" s="4">
        <v>0</v>
      </c>
      <c r="AE1501" s="4">
        <v>0</v>
      </c>
      <c r="AF1501" s="4">
        <v>0</v>
      </c>
      <c r="AG1501" s="4">
        <v>0</v>
      </c>
      <c r="AH1501" s="4">
        <v>0</v>
      </c>
      <c r="AI1501" s="4">
        <v>0</v>
      </c>
      <c r="AJ1501" s="4">
        <v>0</v>
      </c>
      <c r="AK1501" s="4">
        <v>0</v>
      </c>
      <c r="AL1501" s="4">
        <v>0</v>
      </c>
      <c r="AM1501" s="4">
        <v>0</v>
      </c>
      <c r="AN1501" s="4">
        <v>0</v>
      </c>
      <c r="AO1501" s="4">
        <v>0</v>
      </c>
      <c r="AP1501" s="3" t="s">
        <v>58</v>
      </c>
      <c r="AQ1501" s="3" t="s">
        <v>86</v>
      </c>
      <c r="AR1501" s="6" t="str">
        <f>HYPERLINK("http://catalog.hathitrust.org/Record/000477304","HathiTrust Record")</f>
        <v>HathiTrust Record</v>
      </c>
      <c r="AS1501" s="6" t="str">
        <f>HYPERLINK("https://creighton-primo.hosted.exlibrisgroup.com/primo-explore/search?tab=default_tab&amp;search_scope=EVERYTHING&amp;vid=01CRU&amp;lang=en_US&amp;offset=0&amp;query=any,contains,991000726269702656","Catalog Record")</f>
        <v>Catalog Record</v>
      </c>
      <c r="AT1501" s="6" t="str">
        <f>HYPERLINK("http://www.worldcat.org/oclc/18742935","WorldCat Record")</f>
        <v>WorldCat Record</v>
      </c>
      <c r="AU1501" s="3" t="s">
        <v>19169</v>
      </c>
      <c r="AV1501" s="3" t="s">
        <v>19170</v>
      </c>
      <c r="AW1501" s="3" t="s">
        <v>19171</v>
      </c>
      <c r="AX1501" s="3" t="s">
        <v>19171</v>
      </c>
      <c r="AY1501" s="3" t="s">
        <v>19172</v>
      </c>
      <c r="AZ1501" s="3" t="s">
        <v>74</v>
      </c>
      <c r="BB1501" s="3" t="s">
        <v>19173</v>
      </c>
      <c r="BC1501" s="3" t="s">
        <v>19174</v>
      </c>
      <c r="BD1501" s="3" t="s">
        <v>19175</v>
      </c>
    </row>
    <row r="1502" spans="1:56" ht="42.75" customHeight="1" x14ac:dyDescent="0.25">
      <c r="A1502" s="7" t="s">
        <v>58</v>
      </c>
      <c r="B1502" s="2" t="s">
        <v>19176</v>
      </c>
      <c r="C1502" s="2" t="s">
        <v>19177</v>
      </c>
      <c r="D1502" s="2" t="s">
        <v>19178</v>
      </c>
      <c r="F1502" s="3" t="s">
        <v>58</v>
      </c>
      <c r="G1502" s="3" t="s">
        <v>59</v>
      </c>
      <c r="H1502" s="3" t="s">
        <v>58</v>
      </c>
      <c r="I1502" s="3" t="s">
        <v>58</v>
      </c>
      <c r="J1502" s="3" t="s">
        <v>60</v>
      </c>
      <c r="L1502" s="2" t="s">
        <v>19179</v>
      </c>
      <c r="M1502" s="3" t="s">
        <v>888</v>
      </c>
      <c r="O1502" s="3" t="s">
        <v>64</v>
      </c>
      <c r="P1502" s="3" t="s">
        <v>145</v>
      </c>
      <c r="R1502" s="3" t="s">
        <v>67</v>
      </c>
      <c r="S1502" s="4">
        <v>1</v>
      </c>
      <c r="T1502" s="4">
        <v>1</v>
      </c>
      <c r="U1502" s="5" t="s">
        <v>18235</v>
      </c>
      <c r="V1502" s="5" t="s">
        <v>18235</v>
      </c>
      <c r="W1502" s="5" t="s">
        <v>19180</v>
      </c>
      <c r="X1502" s="5" t="s">
        <v>19180</v>
      </c>
      <c r="Y1502" s="4">
        <v>54</v>
      </c>
      <c r="Z1502" s="4">
        <v>42</v>
      </c>
      <c r="AA1502" s="4">
        <v>42</v>
      </c>
      <c r="AB1502" s="4">
        <v>2</v>
      </c>
      <c r="AC1502" s="4">
        <v>2</v>
      </c>
      <c r="AD1502" s="4">
        <v>3</v>
      </c>
      <c r="AE1502" s="4">
        <v>3</v>
      </c>
      <c r="AF1502" s="4">
        <v>1</v>
      </c>
      <c r="AG1502" s="4">
        <v>1</v>
      </c>
      <c r="AH1502" s="4">
        <v>0</v>
      </c>
      <c r="AI1502" s="4">
        <v>0</v>
      </c>
      <c r="AJ1502" s="4">
        <v>1</v>
      </c>
      <c r="AK1502" s="4">
        <v>1</v>
      </c>
      <c r="AL1502" s="4">
        <v>1</v>
      </c>
      <c r="AM1502" s="4">
        <v>1</v>
      </c>
      <c r="AN1502" s="4">
        <v>0</v>
      </c>
      <c r="AO1502" s="4">
        <v>0</v>
      </c>
      <c r="AP1502" s="3" t="s">
        <v>58</v>
      </c>
      <c r="AQ1502" s="3" t="s">
        <v>58</v>
      </c>
      <c r="AS1502" s="6" t="str">
        <f>HYPERLINK("https://creighton-primo.hosted.exlibrisgroup.com/primo-explore/search?tab=default_tab&amp;search_scope=EVERYTHING&amp;vid=01CRU&amp;lang=en_US&amp;offset=0&amp;query=any,contains,991003007299702656","Catalog Record")</f>
        <v>Catalog Record</v>
      </c>
      <c r="AT1502" s="6" t="str">
        <f>HYPERLINK("http://www.worldcat.org/oclc/40767323","WorldCat Record")</f>
        <v>WorldCat Record</v>
      </c>
      <c r="AU1502" s="3" t="s">
        <v>19181</v>
      </c>
      <c r="AV1502" s="3" t="s">
        <v>19182</v>
      </c>
      <c r="AW1502" s="3" t="s">
        <v>19183</v>
      </c>
      <c r="AX1502" s="3" t="s">
        <v>19183</v>
      </c>
      <c r="AY1502" s="3" t="s">
        <v>19184</v>
      </c>
      <c r="AZ1502" s="3" t="s">
        <v>74</v>
      </c>
      <c r="BB1502" s="3" t="s">
        <v>19185</v>
      </c>
      <c r="BC1502" s="3" t="s">
        <v>19186</v>
      </c>
      <c r="BD1502" s="3" t="s">
        <v>19187</v>
      </c>
    </row>
    <row r="1503" spans="1:56" ht="42.75" customHeight="1" x14ac:dyDescent="0.25">
      <c r="A1503" s="7" t="s">
        <v>58</v>
      </c>
      <c r="B1503" s="2" t="s">
        <v>19188</v>
      </c>
      <c r="C1503" s="2" t="s">
        <v>19189</v>
      </c>
      <c r="D1503" s="2" t="s">
        <v>19190</v>
      </c>
      <c r="F1503" s="3" t="s">
        <v>58</v>
      </c>
      <c r="G1503" s="3" t="s">
        <v>59</v>
      </c>
      <c r="H1503" s="3" t="s">
        <v>86</v>
      </c>
      <c r="I1503" s="3" t="s">
        <v>58</v>
      </c>
      <c r="J1503" s="3" t="s">
        <v>60</v>
      </c>
      <c r="K1503" s="2" t="s">
        <v>19191</v>
      </c>
      <c r="L1503" s="2" t="s">
        <v>19192</v>
      </c>
      <c r="M1503" s="3" t="s">
        <v>2386</v>
      </c>
      <c r="N1503" s="2" t="s">
        <v>4027</v>
      </c>
      <c r="O1503" s="3" t="s">
        <v>64</v>
      </c>
      <c r="P1503" s="3" t="s">
        <v>115</v>
      </c>
      <c r="R1503" s="3" t="s">
        <v>67</v>
      </c>
      <c r="S1503" s="4">
        <v>1</v>
      </c>
      <c r="T1503" s="4">
        <v>3</v>
      </c>
      <c r="U1503" s="5" t="s">
        <v>10353</v>
      </c>
      <c r="V1503" s="5" t="s">
        <v>10353</v>
      </c>
      <c r="W1503" s="5" t="s">
        <v>272</v>
      </c>
      <c r="X1503" s="5" t="s">
        <v>272</v>
      </c>
      <c r="Y1503" s="4">
        <v>291</v>
      </c>
      <c r="Z1503" s="4">
        <v>240</v>
      </c>
      <c r="AA1503" s="4">
        <v>473</v>
      </c>
      <c r="AB1503" s="4">
        <v>2</v>
      </c>
      <c r="AC1503" s="4">
        <v>3</v>
      </c>
      <c r="AD1503" s="4">
        <v>6</v>
      </c>
      <c r="AE1503" s="4">
        <v>15</v>
      </c>
      <c r="AF1503" s="4">
        <v>2</v>
      </c>
      <c r="AG1503" s="4">
        <v>7</v>
      </c>
      <c r="AH1503" s="4">
        <v>2</v>
      </c>
      <c r="AI1503" s="4">
        <v>4</v>
      </c>
      <c r="AJ1503" s="4">
        <v>4</v>
      </c>
      <c r="AK1503" s="4">
        <v>8</v>
      </c>
      <c r="AL1503" s="4">
        <v>0</v>
      </c>
      <c r="AM1503" s="4">
        <v>1</v>
      </c>
      <c r="AN1503" s="4">
        <v>0</v>
      </c>
      <c r="AO1503" s="4">
        <v>0</v>
      </c>
      <c r="AP1503" s="3" t="s">
        <v>58</v>
      </c>
      <c r="AQ1503" s="3" t="s">
        <v>86</v>
      </c>
      <c r="AR1503" s="6" t="str">
        <f>HYPERLINK("http://catalog.hathitrust.org/Record/001561513","HathiTrust Record")</f>
        <v>HathiTrust Record</v>
      </c>
      <c r="AS1503" s="6" t="str">
        <f>HYPERLINK("https://creighton-primo.hosted.exlibrisgroup.com/primo-explore/search?tab=default_tab&amp;search_scope=EVERYTHING&amp;vid=01CRU&amp;lang=en_US&amp;offset=0&amp;query=any,contains,991001806109702656","Catalog Record")</f>
        <v>Catalog Record</v>
      </c>
      <c r="AT1503" s="6" t="str">
        <f>HYPERLINK("http://www.worldcat.org/oclc/762496","WorldCat Record")</f>
        <v>WorldCat Record</v>
      </c>
      <c r="AU1503" s="3" t="s">
        <v>19193</v>
      </c>
      <c r="AV1503" s="3" t="s">
        <v>19194</v>
      </c>
      <c r="AW1503" s="3" t="s">
        <v>19195</v>
      </c>
      <c r="AX1503" s="3" t="s">
        <v>19195</v>
      </c>
      <c r="AY1503" s="3" t="s">
        <v>19196</v>
      </c>
      <c r="AZ1503" s="3" t="s">
        <v>74</v>
      </c>
      <c r="BB1503" s="3" t="s">
        <v>19197</v>
      </c>
      <c r="BC1503" s="3" t="s">
        <v>19198</v>
      </c>
      <c r="BD1503" s="3" t="s">
        <v>19199</v>
      </c>
    </row>
    <row r="1504" spans="1:56" ht="42.75" customHeight="1" x14ac:dyDescent="0.25">
      <c r="A1504" s="7" t="s">
        <v>58</v>
      </c>
      <c r="B1504" s="2" t="s">
        <v>19200</v>
      </c>
      <c r="C1504" s="2" t="s">
        <v>19201</v>
      </c>
      <c r="D1504" s="2" t="s">
        <v>19202</v>
      </c>
      <c r="F1504" s="3" t="s">
        <v>58</v>
      </c>
      <c r="G1504" s="3" t="s">
        <v>59</v>
      </c>
      <c r="H1504" s="3" t="s">
        <v>58</v>
      </c>
      <c r="I1504" s="3" t="s">
        <v>58</v>
      </c>
      <c r="J1504" s="3" t="s">
        <v>60</v>
      </c>
      <c r="K1504" s="2" t="s">
        <v>19203</v>
      </c>
      <c r="L1504" s="2" t="s">
        <v>19204</v>
      </c>
      <c r="M1504" s="3" t="s">
        <v>114</v>
      </c>
      <c r="O1504" s="3" t="s">
        <v>64</v>
      </c>
      <c r="P1504" s="3" t="s">
        <v>1898</v>
      </c>
      <c r="Q1504" s="2" t="s">
        <v>19205</v>
      </c>
      <c r="R1504" s="3" t="s">
        <v>67</v>
      </c>
      <c r="S1504" s="4">
        <v>0</v>
      </c>
      <c r="T1504" s="4">
        <v>0</v>
      </c>
      <c r="U1504" s="5" t="s">
        <v>16335</v>
      </c>
      <c r="V1504" s="5" t="s">
        <v>16335</v>
      </c>
      <c r="W1504" s="5" t="s">
        <v>16312</v>
      </c>
      <c r="X1504" s="5" t="s">
        <v>16312</v>
      </c>
      <c r="Y1504" s="4">
        <v>266</v>
      </c>
      <c r="Z1504" s="4">
        <v>183</v>
      </c>
      <c r="AA1504" s="4">
        <v>185</v>
      </c>
      <c r="AB1504" s="4">
        <v>1</v>
      </c>
      <c r="AC1504" s="4">
        <v>1</v>
      </c>
      <c r="AD1504" s="4">
        <v>11</v>
      </c>
      <c r="AE1504" s="4">
        <v>11</v>
      </c>
      <c r="AF1504" s="4">
        <v>2</v>
      </c>
      <c r="AG1504" s="4">
        <v>2</v>
      </c>
      <c r="AH1504" s="4">
        <v>6</v>
      </c>
      <c r="AI1504" s="4">
        <v>6</v>
      </c>
      <c r="AJ1504" s="4">
        <v>6</v>
      </c>
      <c r="AK1504" s="4">
        <v>6</v>
      </c>
      <c r="AL1504" s="4">
        <v>0</v>
      </c>
      <c r="AM1504" s="4">
        <v>0</v>
      </c>
      <c r="AN1504" s="4">
        <v>0</v>
      </c>
      <c r="AO1504" s="4">
        <v>0</v>
      </c>
      <c r="AP1504" s="3" t="s">
        <v>58</v>
      </c>
      <c r="AQ1504" s="3" t="s">
        <v>86</v>
      </c>
      <c r="AR1504" s="6" t="str">
        <f>HYPERLINK("http://catalog.hathitrust.org/Record/000413704","HathiTrust Record")</f>
        <v>HathiTrust Record</v>
      </c>
      <c r="AS1504" s="6" t="str">
        <f>HYPERLINK("https://creighton-primo.hosted.exlibrisgroup.com/primo-explore/search?tab=default_tab&amp;search_scope=EVERYTHING&amp;vid=01CRU&amp;lang=en_US&amp;offset=0&amp;query=any,contains,991000479249702656","Catalog Record")</f>
        <v>Catalog Record</v>
      </c>
      <c r="AT1504" s="6" t="str">
        <f>HYPERLINK("http://www.worldcat.org/oclc/11044696","WorldCat Record")</f>
        <v>WorldCat Record</v>
      </c>
      <c r="AU1504" s="3" t="s">
        <v>19206</v>
      </c>
      <c r="AV1504" s="3" t="s">
        <v>19207</v>
      </c>
      <c r="AW1504" s="3" t="s">
        <v>19208</v>
      </c>
      <c r="AX1504" s="3" t="s">
        <v>19208</v>
      </c>
      <c r="AY1504" s="3" t="s">
        <v>19209</v>
      </c>
      <c r="AZ1504" s="3" t="s">
        <v>74</v>
      </c>
      <c r="BB1504" s="3" t="s">
        <v>19210</v>
      </c>
      <c r="BC1504" s="3" t="s">
        <v>19211</v>
      </c>
      <c r="BD1504" s="3" t="s">
        <v>19212</v>
      </c>
    </row>
    <row r="1505" spans="1:56" ht="42.75" customHeight="1" x14ac:dyDescent="0.25">
      <c r="A1505" s="7" t="s">
        <v>58</v>
      </c>
      <c r="B1505" s="2" t="s">
        <v>19213</v>
      </c>
      <c r="C1505" s="2" t="s">
        <v>19214</v>
      </c>
      <c r="D1505" s="2" t="s">
        <v>19215</v>
      </c>
      <c r="F1505" s="3" t="s">
        <v>58</v>
      </c>
      <c r="G1505" s="3" t="s">
        <v>59</v>
      </c>
      <c r="H1505" s="3" t="s">
        <v>58</v>
      </c>
      <c r="I1505" s="3" t="s">
        <v>58</v>
      </c>
      <c r="J1505" s="3" t="s">
        <v>60</v>
      </c>
      <c r="K1505" s="2" t="s">
        <v>19216</v>
      </c>
      <c r="L1505" s="2" t="s">
        <v>4203</v>
      </c>
      <c r="M1505" s="3" t="s">
        <v>238</v>
      </c>
      <c r="N1505" s="2" t="s">
        <v>4027</v>
      </c>
      <c r="O1505" s="3" t="s">
        <v>64</v>
      </c>
      <c r="P1505" s="3" t="s">
        <v>83</v>
      </c>
      <c r="R1505" s="3" t="s">
        <v>67</v>
      </c>
      <c r="S1505" s="4">
        <v>13</v>
      </c>
      <c r="T1505" s="4">
        <v>13</v>
      </c>
      <c r="U1505" s="5" t="s">
        <v>16029</v>
      </c>
      <c r="V1505" s="5" t="s">
        <v>16029</v>
      </c>
      <c r="W1505" s="5" t="s">
        <v>14364</v>
      </c>
      <c r="X1505" s="5" t="s">
        <v>14364</v>
      </c>
      <c r="Y1505" s="4">
        <v>112</v>
      </c>
      <c r="Z1505" s="4">
        <v>107</v>
      </c>
      <c r="AA1505" s="4">
        <v>107</v>
      </c>
      <c r="AB1505" s="4">
        <v>2</v>
      </c>
      <c r="AC1505" s="4">
        <v>2</v>
      </c>
      <c r="AD1505" s="4">
        <v>3</v>
      </c>
      <c r="AE1505" s="4">
        <v>3</v>
      </c>
      <c r="AF1505" s="4">
        <v>0</v>
      </c>
      <c r="AG1505" s="4">
        <v>0</v>
      </c>
      <c r="AH1505" s="4">
        <v>1</v>
      </c>
      <c r="AI1505" s="4">
        <v>1</v>
      </c>
      <c r="AJ1505" s="4">
        <v>2</v>
      </c>
      <c r="AK1505" s="4">
        <v>2</v>
      </c>
      <c r="AL1505" s="4">
        <v>1</v>
      </c>
      <c r="AM1505" s="4">
        <v>1</v>
      </c>
      <c r="AN1505" s="4">
        <v>0</v>
      </c>
      <c r="AO1505" s="4">
        <v>0</v>
      </c>
      <c r="AP1505" s="3" t="s">
        <v>58</v>
      </c>
      <c r="AQ1505" s="3" t="s">
        <v>58</v>
      </c>
      <c r="AS1505" s="6" t="str">
        <f>HYPERLINK("https://creighton-primo.hosted.exlibrisgroup.com/primo-explore/search?tab=default_tab&amp;search_scope=EVERYTHING&amp;vid=01CRU&amp;lang=en_US&amp;offset=0&amp;query=any,contains,991004712489702656","Catalog Record")</f>
        <v>Catalog Record</v>
      </c>
      <c r="AT1505" s="6" t="str">
        <f>HYPERLINK("http://www.worldcat.org/oclc/4774715","WorldCat Record")</f>
        <v>WorldCat Record</v>
      </c>
      <c r="AU1505" s="3" t="s">
        <v>19217</v>
      </c>
      <c r="AV1505" s="3" t="s">
        <v>19218</v>
      </c>
      <c r="AW1505" s="3" t="s">
        <v>19219</v>
      </c>
      <c r="AX1505" s="3" t="s">
        <v>19219</v>
      </c>
      <c r="AY1505" s="3" t="s">
        <v>19220</v>
      </c>
      <c r="AZ1505" s="3" t="s">
        <v>74</v>
      </c>
      <c r="BB1505" s="3" t="s">
        <v>19221</v>
      </c>
      <c r="BC1505" s="3" t="s">
        <v>19222</v>
      </c>
      <c r="BD1505" s="3" t="s">
        <v>19223</v>
      </c>
    </row>
    <row r="1506" spans="1:56" ht="42.75" customHeight="1" x14ac:dyDescent="0.25">
      <c r="A1506" s="7" t="s">
        <v>58</v>
      </c>
      <c r="B1506" s="2" t="s">
        <v>19224</v>
      </c>
      <c r="C1506" s="2" t="s">
        <v>19225</v>
      </c>
      <c r="D1506" s="2" t="s">
        <v>19226</v>
      </c>
      <c r="F1506" s="3" t="s">
        <v>58</v>
      </c>
      <c r="G1506" s="3" t="s">
        <v>59</v>
      </c>
      <c r="H1506" s="3" t="s">
        <v>58</v>
      </c>
      <c r="I1506" s="3" t="s">
        <v>58</v>
      </c>
      <c r="J1506" s="3" t="s">
        <v>60</v>
      </c>
      <c r="K1506" s="2" t="s">
        <v>19227</v>
      </c>
      <c r="L1506" s="2" t="s">
        <v>19228</v>
      </c>
      <c r="M1506" s="3" t="s">
        <v>12936</v>
      </c>
      <c r="O1506" s="3" t="s">
        <v>64</v>
      </c>
      <c r="P1506" s="3" t="s">
        <v>83</v>
      </c>
      <c r="R1506" s="3" t="s">
        <v>67</v>
      </c>
      <c r="S1506" s="4">
        <v>4</v>
      </c>
      <c r="T1506" s="4">
        <v>4</v>
      </c>
      <c r="U1506" s="5" t="s">
        <v>18235</v>
      </c>
      <c r="V1506" s="5" t="s">
        <v>18235</v>
      </c>
      <c r="W1506" s="5" t="s">
        <v>165</v>
      </c>
      <c r="X1506" s="5" t="s">
        <v>165</v>
      </c>
      <c r="Y1506" s="4">
        <v>102</v>
      </c>
      <c r="Z1506" s="4">
        <v>84</v>
      </c>
      <c r="AA1506" s="4">
        <v>86</v>
      </c>
      <c r="AB1506" s="4">
        <v>2</v>
      </c>
      <c r="AC1506" s="4">
        <v>2</v>
      </c>
      <c r="AD1506" s="4">
        <v>2</v>
      </c>
      <c r="AE1506" s="4">
        <v>2</v>
      </c>
      <c r="AF1506" s="4">
        <v>0</v>
      </c>
      <c r="AG1506" s="4">
        <v>0</v>
      </c>
      <c r="AH1506" s="4">
        <v>1</v>
      </c>
      <c r="AI1506" s="4">
        <v>1</v>
      </c>
      <c r="AJ1506" s="4">
        <v>1</v>
      </c>
      <c r="AK1506" s="4">
        <v>1</v>
      </c>
      <c r="AL1506" s="4">
        <v>0</v>
      </c>
      <c r="AM1506" s="4">
        <v>0</v>
      </c>
      <c r="AN1506" s="4">
        <v>0</v>
      </c>
      <c r="AO1506" s="4">
        <v>0</v>
      </c>
      <c r="AP1506" s="3" t="s">
        <v>58</v>
      </c>
      <c r="AQ1506" s="3" t="s">
        <v>58</v>
      </c>
      <c r="AR1506" s="6" t="str">
        <f>HYPERLINK("http://catalog.hathitrust.org/Record/001565805","HathiTrust Record")</f>
        <v>HathiTrust Record</v>
      </c>
      <c r="AS1506" s="6" t="str">
        <f>HYPERLINK("https://creighton-primo.hosted.exlibrisgroup.com/primo-explore/search?tab=default_tab&amp;search_scope=EVERYTHING&amp;vid=01CRU&amp;lang=en_US&amp;offset=0&amp;query=any,contains,991004490579702656","Catalog Record")</f>
        <v>Catalog Record</v>
      </c>
      <c r="AT1506" s="6" t="str">
        <f>HYPERLINK("http://www.worldcat.org/oclc/3658441","WorldCat Record")</f>
        <v>WorldCat Record</v>
      </c>
      <c r="AU1506" s="3" t="s">
        <v>19229</v>
      </c>
      <c r="AV1506" s="3" t="s">
        <v>19230</v>
      </c>
      <c r="AW1506" s="3" t="s">
        <v>19231</v>
      </c>
      <c r="AX1506" s="3" t="s">
        <v>19231</v>
      </c>
      <c r="AY1506" s="3" t="s">
        <v>19232</v>
      </c>
      <c r="AZ1506" s="3" t="s">
        <v>74</v>
      </c>
      <c r="BC1506" s="3" t="s">
        <v>19233</v>
      </c>
      <c r="BD1506" s="3" t="s">
        <v>19234</v>
      </c>
    </row>
    <row r="1507" spans="1:56" ht="42.75" customHeight="1" x14ac:dyDescent="0.25">
      <c r="A1507" s="7" t="s">
        <v>58</v>
      </c>
      <c r="B1507" s="2" t="s">
        <v>19235</v>
      </c>
      <c r="C1507" s="2" t="s">
        <v>19236</v>
      </c>
      <c r="D1507" s="2" t="s">
        <v>19237</v>
      </c>
      <c r="F1507" s="3" t="s">
        <v>58</v>
      </c>
      <c r="G1507" s="3" t="s">
        <v>59</v>
      </c>
      <c r="H1507" s="3" t="s">
        <v>58</v>
      </c>
      <c r="I1507" s="3" t="s">
        <v>58</v>
      </c>
      <c r="J1507" s="3" t="s">
        <v>60</v>
      </c>
      <c r="K1507" s="2" t="s">
        <v>19238</v>
      </c>
      <c r="L1507" s="2" t="s">
        <v>19239</v>
      </c>
      <c r="M1507" s="3" t="s">
        <v>2770</v>
      </c>
      <c r="O1507" s="3" t="s">
        <v>64</v>
      </c>
      <c r="P1507" s="3" t="s">
        <v>115</v>
      </c>
      <c r="R1507" s="3" t="s">
        <v>67</v>
      </c>
      <c r="S1507" s="4">
        <v>5</v>
      </c>
      <c r="T1507" s="4">
        <v>5</v>
      </c>
      <c r="U1507" s="5" t="s">
        <v>18235</v>
      </c>
      <c r="V1507" s="5" t="s">
        <v>18235</v>
      </c>
      <c r="W1507" s="5" t="s">
        <v>69</v>
      </c>
      <c r="X1507" s="5" t="s">
        <v>69</v>
      </c>
      <c r="Y1507" s="4">
        <v>236</v>
      </c>
      <c r="Z1507" s="4">
        <v>223</v>
      </c>
      <c r="AA1507" s="4">
        <v>233</v>
      </c>
      <c r="AB1507" s="4">
        <v>1</v>
      </c>
      <c r="AC1507" s="4">
        <v>1</v>
      </c>
      <c r="AD1507" s="4">
        <v>1</v>
      </c>
      <c r="AE1507" s="4">
        <v>1</v>
      </c>
      <c r="AF1507" s="4">
        <v>1</v>
      </c>
      <c r="AG1507" s="4">
        <v>1</v>
      </c>
      <c r="AH1507" s="4">
        <v>0</v>
      </c>
      <c r="AI1507" s="4">
        <v>0</v>
      </c>
      <c r="AJ1507" s="4">
        <v>1</v>
      </c>
      <c r="AK1507" s="4">
        <v>1</v>
      </c>
      <c r="AL1507" s="4">
        <v>0</v>
      </c>
      <c r="AM1507" s="4">
        <v>0</v>
      </c>
      <c r="AN1507" s="4">
        <v>0</v>
      </c>
      <c r="AO1507" s="4">
        <v>0</v>
      </c>
      <c r="AP1507" s="3" t="s">
        <v>58</v>
      </c>
      <c r="AQ1507" s="3" t="s">
        <v>86</v>
      </c>
      <c r="AR1507" s="6" t="str">
        <f>HYPERLINK("http://catalog.hathitrust.org/Record/002579121","HathiTrust Record")</f>
        <v>HathiTrust Record</v>
      </c>
      <c r="AS1507" s="6" t="str">
        <f>HYPERLINK("https://creighton-primo.hosted.exlibrisgroup.com/primo-explore/search?tab=default_tab&amp;search_scope=EVERYTHING&amp;vid=01CRU&amp;lang=en_US&amp;offset=0&amp;query=any,contains,991004543579702656","Catalog Record")</f>
        <v>Catalog Record</v>
      </c>
      <c r="AT1507" s="6" t="str">
        <f>HYPERLINK("http://www.worldcat.org/oclc/1551385","WorldCat Record")</f>
        <v>WorldCat Record</v>
      </c>
      <c r="AU1507" s="3" t="s">
        <v>19240</v>
      </c>
      <c r="AV1507" s="3" t="s">
        <v>19241</v>
      </c>
      <c r="AW1507" s="3" t="s">
        <v>19242</v>
      </c>
      <c r="AX1507" s="3" t="s">
        <v>19242</v>
      </c>
      <c r="AY1507" s="3" t="s">
        <v>19243</v>
      </c>
      <c r="AZ1507" s="3" t="s">
        <v>74</v>
      </c>
      <c r="BB1507" s="3" t="s">
        <v>19244</v>
      </c>
      <c r="BC1507" s="3" t="s">
        <v>19245</v>
      </c>
      <c r="BD1507" s="3" t="s">
        <v>19246</v>
      </c>
    </row>
    <row r="1508" spans="1:56" ht="42.75" customHeight="1" x14ac:dyDescent="0.25">
      <c r="A1508" s="7" t="s">
        <v>58</v>
      </c>
      <c r="B1508" s="2" t="s">
        <v>19247</v>
      </c>
      <c r="C1508" s="2" t="s">
        <v>19248</v>
      </c>
      <c r="D1508" s="2" t="s">
        <v>19249</v>
      </c>
      <c r="F1508" s="3" t="s">
        <v>58</v>
      </c>
      <c r="G1508" s="3" t="s">
        <v>59</v>
      </c>
      <c r="H1508" s="3" t="s">
        <v>58</v>
      </c>
      <c r="I1508" s="3" t="s">
        <v>58</v>
      </c>
      <c r="J1508" s="3" t="s">
        <v>60</v>
      </c>
      <c r="K1508" s="2" t="s">
        <v>19250</v>
      </c>
      <c r="L1508" s="2" t="s">
        <v>19251</v>
      </c>
      <c r="M1508" s="3" t="s">
        <v>98</v>
      </c>
      <c r="N1508" s="2" t="s">
        <v>19252</v>
      </c>
      <c r="O1508" s="3" t="s">
        <v>19253</v>
      </c>
      <c r="P1508" s="3" t="s">
        <v>19254</v>
      </c>
      <c r="Q1508" s="2" t="s">
        <v>19255</v>
      </c>
      <c r="R1508" s="3" t="s">
        <v>67</v>
      </c>
      <c r="S1508" s="4">
        <v>1</v>
      </c>
      <c r="T1508" s="4">
        <v>1</v>
      </c>
      <c r="U1508" s="5" t="s">
        <v>9151</v>
      </c>
      <c r="V1508" s="5" t="s">
        <v>9151</v>
      </c>
      <c r="W1508" s="5" t="s">
        <v>19256</v>
      </c>
      <c r="X1508" s="5" t="s">
        <v>19256</v>
      </c>
      <c r="Y1508" s="4">
        <v>18</v>
      </c>
      <c r="Z1508" s="4">
        <v>15</v>
      </c>
      <c r="AA1508" s="4">
        <v>18</v>
      </c>
      <c r="AB1508" s="4">
        <v>1</v>
      </c>
      <c r="AC1508" s="4">
        <v>1</v>
      </c>
      <c r="AD1508" s="4">
        <v>0</v>
      </c>
      <c r="AE1508" s="4">
        <v>0</v>
      </c>
      <c r="AF1508" s="4">
        <v>0</v>
      </c>
      <c r="AG1508" s="4">
        <v>0</v>
      </c>
      <c r="AH1508" s="4">
        <v>0</v>
      </c>
      <c r="AI1508" s="4">
        <v>0</v>
      </c>
      <c r="AJ1508" s="4">
        <v>0</v>
      </c>
      <c r="AK1508" s="4">
        <v>0</v>
      </c>
      <c r="AL1508" s="4">
        <v>0</v>
      </c>
      <c r="AM1508" s="4">
        <v>0</v>
      </c>
      <c r="AN1508" s="4">
        <v>0</v>
      </c>
      <c r="AO1508" s="4">
        <v>0</v>
      </c>
      <c r="AP1508" s="3" t="s">
        <v>58</v>
      </c>
      <c r="AQ1508" s="3" t="s">
        <v>86</v>
      </c>
      <c r="AR1508" s="6" t="str">
        <f>HYPERLINK("http://catalog.hathitrust.org/Record/101409097","HathiTrust Record")</f>
        <v>HathiTrust Record</v>
      </c>
      <c r="AS1508" s="6" t="str">
        <f>HYPERLINK("https://creighton-primo.hosted.exlibrisgroup.com/primo-explore/search?tab=default_tab&amp;search_scope=EVERYTHING&amp;vid=01CRU&amp;lang=en_US&amp;offset=0&amp;query=any,contains,991003560189702656","Catalog Record")</f>
        <v>Catalog Record</v>
      </c>
      <c r="AT1508" s="6" t="str">
        <f>HYPERLINK("http://www.worldcat.org/oclc/20121213","WorldCat Record")</f>
        <v>WorldCat Record</v>
      </c>
      <c r="AU1508" s="3" t="s">
        <v>19257</v>
      </c>
      <c r="AV1508" s="3" t="s">
        <v>19258</v>
      </c>
      <c r="AW1508" s="3" t="s">
        <v>19259</v>
      </c>
      <c r="AX1508" s="3" t="s">
        <v>19259</v>
      </c>
      <c r="AY1508" s="3" t="s">
        <v>19260</v>
      </c>
      <c r="AZ1508" s="3" t="s">
        <v>74</v>
      </c>
      <c r="BC1508" s="3" t="s">
        <v>19261</v>
      </c>
      <c r="BD1508" s="3" t="s">
        <v>19262</v>
      </c>
    </row>
    <row r="1509" spans="1:56" ht="42.75" customHeight="1" x14ac:dyDescent="0.25">
      <c r="A1509" s="7" t="s">
        <v>58</v>
      </c>
      <c r="B1509" s="2" t="s">
        <v>19263</v>
      </c>
      <c r="C1509" s="2" t="s">
        <v>19264</v>
      </c>
      <c r="D1509" s="2" t="s">
        <v>19265</v>
      </c>
      <c r="F1509" s="3" t="s">
        <v>58</v>
      </c>
      <c r="G1509" s="3" t="s">
        <v>59</v>
      </c>
      <c r="H1509" s="3" t="s">
        <v>86</v>
      </c>
      <c r="I1509" s="3" t="s">
        <v>58</v>
      </c>
      <c r="J1509" s="3" t="s">
        <v>60</v>
      </c>
      <c r="L1509" s="2" t="s">
        <v>19266</v>
      </c>
      <c r="M1509" s="3" t="s">
        <v>2227</v>
      </c>
      <c r="O1509" s="3" t="s">
        <v>64</v>
      </c>
      <c r="P1509" s="3" t="s">
        <v>145</v>
      </c>
      <c r="Q1509" s="2" t="s">
        <v>19267</v>
      </c>
      <c r="R1509" s="3" t="s">
        <v>67</v>
      </c>
      <c r="S1509" s="4">
        <v>13</v>
      </c>
      <c r="T1509" s="4">
        <v>13</v>
      </c>
      <c r="U1509" s="5" t="s">
        <v>16567</v>
      </c>
      <c r="V1509" s="5" t="s">
        <v>16567</v>
      </c>
      <c r="W1509" s="5" t="s">
        <v>19268</v>
      </c>
      <c r="X1509" s="5" t="s">
        <v>19268</v>
      </c>
      <c r="Y1509" s="4">
        <v>282</v>
      </c>
      <c r="Z1509" s="4">
        <v>230</v>
      </c>
      <c r="AA1509" s="4">
        <v>232</v>
      </c>
      <c r="AB1509" s="4">
        <v>2</v>
      </c>
      <c r="AC1509" s="4">
        <v>2</v>
      </c>
      <c r="AD1509" s="4">
        <v>7</v>
      </c>
      <c r="AE1509" s="4">
        <v>7</v>
      </c>
      <c r="AF1509" s="4">
        <v>2</v>
      </c>
      <c r="AG1509" s="4">
        <v>2</v>
      </c>
      <c r="AH1509" s="4">
        <v>1</v>
      </c>
      <c r="AI1509" s="4">
        <v>1</v>
      </c>
      <c r="AJ1509" s="4">
        <v>5</v>
      </c>
      <c r="AK1509" s="4">
        <v>5</v>
      </c>
      <c r="AL1509" s="4">
        <v>0</v>
      </c>
      <c r="AM1509" s="4">
        <v>0</v>
      </c>
      <c r="AN1509" s="4">
        <v>0</v>
      </c>
      <c r="AO1509" s="4">
        <v>0</v>
      </c>
      <c r="AP1509" s="3" t="s">
        <v>58</v>
      </c>
      <c r="AQ1509" s="3" t="s">
        <v>86</v>
      </c>
      <c r="AR1509" s="6" t="str">
        <f>HYPERLINK("http://catalog.hathitrust.org/Record/000352114","HathiTrust Record")</f>
        <v>HathiTrust Record</v>
      </c>
      <c r="AS1509" s="6" t="str">
        <f>HYPERLINK("https://creighton-primo.hosted.exlibrisgroup.com/primo-explore/search?tab=default_tab&amp;search_scope=EVERYTHING&amp;vid=01CRU&amp;lang=en_US&amp;offset=0&amp;query=any,contains,991000545339702656","Catalog Record")</f>
        <v>Catalog Record</v>
      </c>
      <c r="AT1509" s="6" t="str">
        <f>HYPERLINK("http://www.worldcat.org/oclc/11517814","WorldCat Record")</f>
        <v>WorldCat Record</v>
      </c>
      <c r="AU1509" s="3" t="s">
        <v>19269</v>
      </c>
      <c r="AV1509" s="3" t="s">
        <v>19270</v>
      </c>
      <c r="AW1509" s="3" t="s">
        <v>19271</v>
      </c>
      <c r="AX1509" s="3" t="s">
        <v>19271</v>
      </c>
      <c r="AY1509" s="3" t="s">
        <v>19272</v>
      </c>
      <c r="AZ1509" s="3" t="s">
        <v>74</v>
      </c>
      <c r="BB1509" s="3" t="s">
        <v>19273</v>
      </c>
      <c r="BC1509" s="3" t="s">
        <v>19274</v>
      </c>
      <c r="BD1509" s="3" t="s">
        <v>19275</v>
      </c>
    </row>
    <row r="1510" spans="1:56" ht="42.75" customHeight="1" x14ac:dyDescent="0.25">
      <c r="A1510" s="7" t="s">
        <v>58</v>
      </c>
      <c r="B1510" s="2" t="s">
        <v>19276</v>
      </c>
      <c r="C1510" s="2" t="s">
        <v>19277</v>
      </c>
      <c r="D1510" s="2" t="s">
        <v>19278</v>
      </c>
      <c r="F1510" s="3" t="s">
        <v>58</v>
      </c>
      <c r="G1510" s="3" t="s">
        <v>59</v>
      </c>
      <c r="H1510" s="3" t="s">
        <v>58</v>
      </c>
      <c r="I1510" s="3" t="s">
        <v>58</v>
      </c>
      <c r="J1510" s="3" t="s">
        <v>60</v>
      </c>
      <c r="L1510" s="2" t="s">
        <v>8118</v>
      </c>
      <c r="M1510" s="3" t="s">
        <v>82</v>
      </c>
      <c r="O1510" s="3" t="s">
        <v>64</v>
      </c>
      <c r="P1510" s="3" t="s">
        <v>145</v>
      </c>
      <c r="Q1510" s="2" t="s">
        <v>19267</v>
      </c>
      <c r="R1510" s="3" t="s">
        <v>67</v>
      </c>
      <c r="S1510" s="4">
        <v>35</v>
      </c>
      <c r="T1510" s="4">
        <v>35</v>
      </c>
      <c r="U1510" s="5" t="s">
        <v>19279</v>
      </c>
      <c r="V1510" s="5" t="s">
        <v>19279</v>
      </c>
      <c r="W1510" s="5" t="s">
        <v>6059</v>
      </c>
      <c r="X1510" s="5" t="s">
        <v>6059</v>
      </c>
      <c r="Y1510" s="4">
        <v>176</v>
      </c>
      <c r="Z1510" s="4">
        <v>137</v>
      </c>
      <c r="AA1510" s="4">
        <v>139</v>
      </c>
      <c r="AB1510" s="4">
        <v>1</v>
      </c>
      <c r="AC1510" s="4">
        <v>1</v>
      </c>
      <c r="AD1510" s="4">
        <v>5</v>
      </c>
      <c r="AE1510" s="4">
        <v>5</v>
      </c>
      <c r="AF1510" s="4">
        <v>2</v>
      </c>
      <c r="AG1510" s="4">
        <v>2</v>
      </c>
      <c r="AH1510" s="4">
        <v>1</v>
      </c>
      <c r="AI1510" s="4">
        <v>1</v>
      </c>
      <c r="AJ1510" s="4">
        <v>4</v>
      </c>
      <c r="AK1510" s="4">
        <v>4</v>
      </c>
      <c r="AL1510" s="4">
        <v>0</v>
      </c>
      <c r="AM1510" s="4">
        <v>0</v>
      </c>
      <c r="AN1510" s="4">
        <v>0</v>
      </c>
      <c r="AO1510" s="4">
        <v>0</v>
      </c>
      <c r="AP1510" s="3" t="s">
        <v>58</v>
      </c>
      <c r="AQ1510" s="3" t="s">
        <v>86</v>
      </c>
      <c r="AR1510" s="6" t="str">
        <f>HYPERLINK("http://catalog.hathitrust.org/Record/000822302","HathiTrust Record")</f>
        <v>HathiTrust Record</v>
      </c>
      <c r="AS1510" s="6" t="str">
        <f>HYPERLINK("https://creighton-primo.hosted.exlibrisgroup.com/primo-explore/search?tab=default_tab&amp;search_scope=EVERYTHING&amp;vid=01CRU&amp;lang=en_US&amp;offset=0&amp;query=any,contains,991000942109702656","Catalog Record")</f>
        <v>Catalog Record</v>
      </c>
      <c r="AT1510" s="6" t="str">
        <f>HYPERLINK("http://www.worldcat.org/oclc/14413474","WorldCat Record")</f>
        <v>WorldCat Record</v>
      </c>
      <c r="AU1510" s="3" t="s">
        <v>19280</v>
      </c>
      <c r="AV1510" s="3" t="s">
        <v>19281</v>
      </c>
      <c r="AW1510" s="3" t="s">
        <v>19282</v>
      </c>
      <c r="AX1510" s="3" t="s">
        <v>19282</v>
      </c>
      <c r="AY1510" s="3" t="s">
        <v>19283</v>
      </c>
      <c r="AZ1510" s="3" t="s">
        <v>74</v>
      </c>
      <c r="BB1510" s="3" t="s">
        <v>19284</v>
      </c>
      <c r="BC1510" s="3" t="s">
        <v>19285</v>
      </c>
      <c r="BD1510" s="3" t="s">
        <v>19286</v>
      </c>
    </row>
    <row r="1511" spans="1:56" ht="42.75" customHeight="1" x14ac:dyDescent="0.25">
      <c r="A1511" s="7" t="s">
        <v>58</v>
      </c>
      <c r="B1511" s="2" t="s">
        <v>19287</v>
      </c>
      <c r="C1511" s="2" t="s">
        <v>19288</v>
      </c>
      <c r="D1511" s="2" t="s">
        <v>19289</v>
      </c>
      <c r="F1511" s="3" t="s">
        <v>58</v>
      </c>
      <c r="G1511" s="3" t="s">
        <v>59</v>
      </c>
      <c r="H1511" s="3" t="s">
        <v>58</v>
      </c>
      <c r="I1511" s="3" t="s">
        <v>58</v>
      </c>
      <c r="J1511" s="3" t="s">
        <v>60</v>
      </c>
      <c r="L1511" s="2" t="s">
        <v>19290</v>
      </c>
      <c r="M1511" s="3" t="s">
        <v>695</v>
      </c>
      <c r="N1511" s="2" t="s">
        <v>1736</v>
      </c>
      <c r="O1511" s="3" t="s">
        <v>64</v>
      </c>
      <c r="P1511" s="3" t="s">
        <v>145</v>
      </c>
      <c r="Q1511" s="2" t="s">
        <v>17695</v>
      </c>
      <c r="R1511" s="3" t="s">
        <v>67</v>
      </c>
      <c r="S1511" s="4">
        <v>19</v>
      </c>
      <c r="T1511" s="4">
        <v>19</v>
      </c>
      <c r="U1511" s="5" t="s">
        <v>2798</v>
      </c>
      <c r="V1511" s="5" t="s">
        <v>2798</v>
      </c>
      <c r="W1511" s="5" t="s">
        <v>19291</v>
      </c>
      <c r="X1511" s="5" t="s">
        <v>19291</v>
      </c>
      <c r="Y1511" s="4">
        <v>289</v>
      </c>
      <c r="Z1511" s="4">
        <v>232</v>
      </c>
      <c r="AA1511" s="4">
        <v>318</v>
      </c>
      <c r="AB1511" s="4">
        <v>1</v>
      </c>
      <c r="AC1511" s="4">
        <v>2</v>
      </c>
      <c r="AD1511" s="4">
        <v>8</v>
      </c>
      <c r="AE1511" s="4">
        <v>13</v>
      </c>
      <c r="AF1511" s="4">
        <v>2</v>
      </c>
      <c r="AG1511" s="4">
        <v>4</v>
      </c>
      <c r="AH1511" s="4">
        <v>3</v>
      </c>
      <c r="AI1511" s="4">
        <v>3</v>
      </c>
      <c r="AJ1511" s="4">
        <v>6</v>
      </c>
      <c r="AK1511" s="4">
        <v>8</v>
      </c>
      <c r="AL1511" s="4">
        <v>0</v>
      </c>
      <c r="AM1511" s="4">
        <v>1</v>
      </c>
      <c r="AN1511" s="4">
        <v>0</v>
      </c>
      <c r="AO1511" s="4">
        <v>0</v>
      </c>
      <c r="AP1511" s="3" t="s">
        <v>58</v>
      </c>
      <c r="AQ1511" s="3" t="s">
        <v>58</v>
      </c>
      <c r="AS1511" s="6" t="str">
        <f>HYPERLINK("https://creighton-primo.hosted.exlibrisgroup.com/primo-explore/search?tab=default_tab&amp;search_scope=EVERYTHING&amp;vid=01CRU&amp;lang=en_US&amp;offset=0&amp;query=any,contains,991002126189702656","Catalog Record")</f>
        <v>Catalog Record</v>
      </c>
      <c r="AT1511" s="6" t="str">
        <f>HYPERLINK("http://www.worldcat.org/oclc/27227968","WorldCat Record")</f>
        <v>WorldCat Record</v>
      </c>
      <c r="AU1511" s="3" t="s">
        <v>19292</v>
      </c>
      <c r="AV1511" s="3" t="s">
        <v>19293</v>
      </c>
      <c r="AW1511" s="3" t="s">
        <v>19294</v>
      </c>
      <c r="AX1511" s="3" t="s">
        <v>19294</v>
      </c>
      <c r="AY1511" s="3" t="s">
        <v>19295</v>
      </c>
      <c r="AZ1511" s="3" t="s">
        <v>74</v>
      </c>
      <c r="BB1511" s="3" t="s">
        <v>19296</v>
      </c>
      <c r="BC1511" s="3" t="s">
        <v>19297</v>
      </c>
      <c r="BD1511" s="3" t="s">
        <v>19298</v>
      </c>
    </row>
    <row r="1512" spans="1:56" ht="42.75" customHeight="1" x14ac:dyDescent="0.25">
      <c r="A1512" s="7" t="s">
        <v>58</v>
      </c>
      <c r="B1512" s="2" t="s">
        <v>19299</v>
      </c>
      <c r="C1512" s="2" t="s">
        <v>19300</v>
      </c>
      <c r="D1512" s="2" t="s">
        <v>19301</v>
      </c>
      <c r="F1512" s="3" t="s">
        <v>58</v>
      </c>
      <c r="G1512" s="3" t="s">
        <v>59</v>
      </c>
      <c r="H1512" s="3" t="s">
        <v>58</v>
      </c>
      <c r="I1512" s="3" t="s">
        <v>58</v>
      </c>
      <c r="J1512" s="3" t="s">
        <v>60</v>
      </c>
      <c r="L1512" s="2" t="s">
        <v>8649</v>
      </c>
      <c r="M1512" s="3" t="s">
        <v>371</v>
      </c>
      <c r="O1512" s="3" t="s">
        <v>64</v>
      </c>
      <c r="P1512" s="3" t="s">
        <v>115</v>
      </c>
      <c r="Q1512" s="2" t="s">
        <v>7746</v>
      </c>
      <c r="R1512" s="3" t="s">
        <v>67</v>
      </c>
      <c r="S1512" s="4">
        <v>10</v>
      </c>
      <c r="T1512" s="4">
        <v>10</v>
      </c>
      <c r="U1512" s="5" t="s">
        <v>15954</v>
      </c>
      <c r="V1512" s="5" t="s">
        <v>15954</v>
      </c>
      <c r="W1512" s="5" t="s">
        <v>4848</v>
      </c>
      <c r="X1512" s="5" t="s">
        <v>4848</v>
      </c>
      <c r="Y1512" s="4">
        <v>370</v>
      </c>
      <c r="Z1512" s="4">
        <v>280</v>
      </c>
      <c r="AA1512" s="4">
        <v>282</v>
      </c>
      <c r="AB1512" s="4">
        <v>1</v>
      </c>
      <c r="AC1512" s="4">
        <v>1</v>
      </c>
      <c r="AD1512" s="4">
        <v>11</v>
      </c>
      <c r="AE1512" s="4">
        <v>11</v>
      </c>
      <c r="AF1512" s="4">
        <v>6</v>
      </c>
      <c r="AG1512" s="4">
        <v>6</v>
      </c>
      <c r="AH1512" s="4">
        <v>2</v>
      </c>
      <c r="AI1512" s="4">
        <v>2</v>
      </c>
      <c r="AJ1512" s="4">
        <v>11</v>
      </c>
      <c r="AK1512" s="4">
        <v>11</v>
      </c>
      <c r="AL1512" s="4">
        <v>0</v>
      </c>
      <c r="AM1512" s="4">
        <v>0</v>
      </c>
      <c r="AN1512" s="4">
        <v>0</v>
      </c>
      <c r="AO1512" s="4">
        <v>0</v>
      </c>
      <c r="AP1512" s="3" t="s">
        <v>58</v>
      </c>
      <c r="AQ1512" s="3" t="s">
        <v>86</v>
      </c>
      <c r="AR1512" s="6" t="str">
        <f>HYPERLINK("http://catalog.hathitrust.org/Record/000669317","HathiTrust Record")</f>
        <v>HathiTrust Record</v>
      </c>
      <c r="AS1512" s="6" t="str">
        <f>HYPERLINK("https://creighton-primo.hosted.exlibrisgroup.com/primo-explore/search?tab=default_tab&amp;search_scope=EVERYTHING&amp;vid=01CRU&amp;lang=en_US&amp;offset=0&amp;query=any,contains,991000754379702656","Catalog Record")</f>
        <v>Catalog Record</v>
      </c>
      <c r="AT1512" s="6" t="str">
        <f>HYPERLINK("http://www.worldcat.org/oclc/12945942","WorldCat Record")</f>
        <v>WorldCat Record</v>
      </c>
      <c r="AU1512" s="3" t="s">
        <v>19302</v>
      </c>
      <c r="AV1512" s="3" t="s">
        <v>19303</v>
      </c>
      <c r="AW1512" s="3" t="s">
        <v>19304</v>
      </c>
      <c r="AX1512" s="3" t="s">
        <v>19304</v>
      </c>
      <c r="AY1512" s="3" t="s">
        <v>19305</v>
      </c>
      <c r="AZ1512" s="3" t="s">
        <v>74</v>
      </c>
      <c r="BB1512" s="3" t="s">
        <v>19306</v>
      </c>
      <c r="BC1512" s="3" t="s">
        <v>19307</v>
      </c>
      <c r="BD1512" s="3" t="s">
        <v>19308</v>
      </c>
    </row>
    <row r="1513" spans="1:56" ht="42.75" customHeight="1" x14ac:dyDescent="0.25">
      <c r="A1513" s="7" t="s">
        <v>58</v>
      </c>
      <c r="B1513" s="2" t="s">
        <v>19309</v>
      </c>
      <c r="C1513" s="2" t="s">
        <v>19310</v>
      </c>
      <c r="D1513" s="2" t="s">
        <v>19311</v>
      </c>
      <c r="F1513" s="3" t="s">
        <v>58</v>
      </c>
      <c r="G1513" s="3" t="s">
        <v>59</v>
      </c>
      <c r="H1513" s="3" t="s">
        <v>58</v>
      </c>
      <c r="I1513" s="3" t="s">
        <v>58</v>
      </c>
      <c r="J1513" s="3" t="s">
        <v>60</v>
      </c>
      <c r="L1513" s="2" t="s">
        <v>19312</v>
      </c>
      <c r="M1513" s="3" t="s">
        <v>344</v>
      </c>
      <c r="O1513" s="3" t="s">
        <v>64</v>
      </c>
      <c r="P1513" s="3" t="s">
        <v>115</v>
      </c>
      <c r="Q1513" s="2" t="s">
        <v>19313</v>
      </c>
      <c r="R1513" s="3" t="s">
        <v>67</v>
      </c>
      <c r="S1513" s="4">
        <v>5</v>
      </c>
      <c r="T1513" s="4">
        <v>5</v>
      </c>
      <c r="U1513" s="5" t="s">
        <v>19314</v>
      </c>
      <c r="V1513" s="5" t="s">
        <v>19314</v>
      </c>
      <c r="W1513" s="5" t="s">
        <v>69</v>
      </c>
      <c r="X1513" s="5" t="s">
        <v>69</v>
      </c>
      <c r="Y1513" s="4">
        <v>161</v>
      </c>
      <c r="Z1513" s="4">
        <v>132</v>
      </c>
      <c r="AA1513" s="4">
        <v>135</v>
      </c>
      <c r="AB1513" s="4">
        <v>2</v>
      </c>
      <c r="AC1513" s="4">
        <v>2</v>
      </c>
      <c r="AD1513" s="4">
        <v>3</v>
      </c>
      <c r="AE1513" s="4">
        <v>3</v>
      </c>
      <c r="AF1513" s="4">
        <v>0</v>
      </c>
      <c r="AG1513" s="4">
        <v>0</v>
      </c>
      <c r="AH1513" s="4">
        <v>1</v>
      </c>
      <c r="AI1513" s="4">
        <v>1</v>
      </c>
      <c r="AJ1513" s="4">
        <v>1</v>
      </c>
      <c r="AK1513" s="4">
        <v>1</v>
      </c>
      <c r="AL1513" s="4">
        <v>1</v>
      </c>
      <c r="AM1513" s="4">
        <v>1</v>
      </c>
      <c r="AN1513" s="4">
        <v>0</v>
      </c>
      <c r="AO1513" s="4">
        <v>0</v>
      </c>
      <c r="AP1513" s="3" t="s">
        <v>58</v>
      </c>
      <c r="AQ1513" s="3" t="s">
        <v>58</v>
      </c>
      <c r="AS1513" s="6" t="str">
        <f>HYPERLINK("https://creighton-primo.hosted.exlibrisgroup.com/primo-explore/search?tab=default_tab&amp;search_scope=EVERYTHING&amp;vid=01CRU&amp;lang=en_US&amp;offset=0&amp;query=any,contains,991004896949702656","Catalog Record")</f>
        <v>Catalog Record</v>
      </c>
      <c r="AT1513" s="6" t="str">
        <f>HYPERLINK("http://www.worldcat.org/oclc/5894449","WorldCat Record")</f>
        <v>WorldCat Record</v>
      </c>
      <c r="AU1513" s="3" t="s">
        <v>19315</v>
      </c>
      <c r="AV1513" s="3" t="s">
        <v>19316</v>
      </c>
      <c r="AW1513" s="3" t="s">
        <v>19317</v>
      </c>
      <c r="AX1513" s="3" t="s">
        <v>19317</v>
      </c>
      <c r="AY1513" s="3" t="s">
        <v>19318</v>
      </c>
      <c r="AZ1513" s="3" t="s">
        <v>74</v>
      </c>
      <c r="BB1513" s="3" t="s">
        <v>19319</v>
      </c>
      <c r="BC1513" s="3" t="s">
        <v>19320</v>
      </c>
      <c r="BD1513" s="3" t="s">
        <v>19321</v>
      </c>
    </row>
    <row r="1514" spans="1:56" ht="42.75" customHeight="1" x14ac:dyDescent="0.25">
      <c r="A1514" s="7" t="s">
        <v>58</v>
      </c>
      <c r="B1514" s="2" t="s">
        <v>19322</v>
      </c>
      <c r="C1514" s="2" t="s">
        <v>19323</v>
      </c>
      <c r="D1514" s="2" t="s">
        <v>19324</v>
      </c>
      <c r="F1514" s="3" t="s">
        <v>58</v>
      </c>
      <c r="G1514" s="3" t="s">
        <v>59</v>
      </c>
      <c r="H1514" s="3" t="s">
        <v>58</v>
      </c>
      <c r="I1514" s="3" t="s">
        <v>58</v>
      </c>
      <c r="J1514" s="3" t="s">
        <v>60</v>
      </c>
      <c r="K1514" s="2" t="s">
        <v>19325</v>
      </c>
      <c r="L1514" s="2" t="s">
        <v>19326</v>
      </c>
      <c r="M1514" s="3" t="s">
        <v>2770</v>
      </c>
      <c r="O1514" s="3" t="s">
        <v>64</v>
      </c>
      <c r="P1514" s="3" t="s">
        <v>99</v>
      </c>
      <c r="R1514" s="3" t="s">
        <v>67</v>
      </c>
      <c r="S1514" s="4">
        <v>6</v>
      </c>
      <c r="T1514" s="4">
        <v>6</v>
      </c>
      <c r="U1514" s="5" t="s">
        <v>19327</v>
      </c>
      <c r="V1514" s="5" t="s">
        <v>19327</v>
      </c>
      <c r="W1514" s="5" t="s">
        <v>5930</v>
      </c>
      <c r="X1514" s="5" t="s">
        <v>5930</v>
      </c>
      <c r="Y1514" s="4">
        <v>18</v>
      </c>
      <c r="Z1514" s="4">
        <v>16</v>
      </c>
      <c r="AA1514" s="4">
        <v>21</v>
      </c>
      <c r="AB1514" s="4">
        <v>1</v>
      </c>
      <c r="AC1514" s="4">
        <v>1</v>
      </c>
      <c r="AD1514" s="4">
        <v>0</v>
      </c>
      <c r="AE1514" s="4">
        <v>0</v>
      </c>
      <c r="AF1514" s="4">
        <v>0</v>
      </c>
      <c r="AG1514" s="4">
        <v>0</v>
      </c>
      <c r="AH1514" s="4">
        <v>0</v>
      </c>
      <c r="AI1514" s="4">
        <v>0</v>
      </c>
      <c r="AJ1514" s="4">
        <v>0</v>
      </c>
      <c r="AK1514" s="4">
        <v>0</v>
      </c>
      <c r="AL1514" s="4">
        <v>0</v>
      </c>
      <c r="AM1514" s="4">
        <v>0</v>
      </c>
      <c r="AN1514" s="4">
        <v>0</v>
      </c>
      <c r="AO1514" s="4">
        <v>0</v>
      </c>
      <c r="AP1514" s="3" t="s">
        <v>58</v>
      </c>
      <c r="AQ1514" s="3" t="s">
        <v>86</v>
      </c>
      <c r="AR1514" s="6" t="str">
        <f>HYPERLINK("http://catalog.hathitrust.org/Record/008385843","HathiTrust Record")</f>
        <v>HathiTrust Record</v>
      </c>
      <c r="AS1514" s="6" t="str">
        <f>HYPERLINK("https://creighton-primo.hosted.exlibrisgroup.com/primo-explore/search?tab=default_tab&amp;search_scope=EVERYTHING&amp;vid=01CRU&amp;lang=en_US&amp;offset=0&amp;query=any,contains,991004806999702656","Catalog Record")</f>
        <v>Catalog Record</v>
      </c>
      <c r="AT1514" s="6" t="str">
        <f>HYPERLINK("http://www.worldcat.org/oclc/443345","WorldCat Record")</f>
        <v>WorldCat Record</v>
      </c>
      <c r="AU1514" s="3" t="s">
        <v>19328</v>
      </c>
      <c r="AV1514" s="3" t="s">
        <v>19329</v>
      </c>
      <c r="AW1514" s="3" t="s">
        <v>19330</v>
      </c>
      <c r="AX1514" s="3" t="s">
        <v>19330</v>
      </c>
      <c r="AY1514" s="3" t="s">
        <v>19331</v>
      </c>
      <c r="AZ1514" s="3" t="s">
        <v>74</v>
      </c>
      <c r="BB1514" s="3" t="s">
        <v>19332</v>
      </c>
      <c r="BC1514" s="3" t="s">
        <v>19333</v>
      </c>
      <c r="BD1514" s="3" t="s">
        <v>19334</v>
      </c>
    </row>
    <row r="1515" spans="1:56" ht="42.75" customHeight="1" x14ac:dyDescent="0.25">
      <c r="A1515" s="7" t="s">
        <v>58</v>
      </c>
      <c r="B1515" s="2" t="s">
        <v>19335</v>
      </c>
      <c r="C1515" s="2" t="s">
        <v>19336</v>
      </c>
      <c r="D1515" s="2" t="s">
        <v>19337</v>
      </c>
      <c r="F1515" s="3" t="s">
        <v>58</v>
      </c>
      <c r="G1515" s="3" t="s">
        <v>59</v>
      </c>
      <c r="H1515" s="3" t="s">
        <v>58</v>
      </c>
      <c r="I1515" s="3" t="s">
        <v>58</v>
      </c>
      <c r="J1515" s="3" t="s">
        <v>60</v>
      </c>
      <c r="K1515" s="2" t="s">
        <v>19338</v>
      </c>
      <c r="L1515" s="2" t="s">
        <v>19339</v>
      </c>
      <c r="M1515" s="3" t="s">
        <v>144</v>
      </c>
      <c r="O1515" s="3" t="s">
        <v>64</v>
      </c>
      <c r="P1515" s="3" t="s">
        <v>208</v>
      </c>
      <c r="R1515" s="3" t="s">
        <v>67</v>
      </c>
      <c r="S1515" s="4">
        <v>10</v>
      </c>
      <c r="T1515" s="4">
        <v>10</v>
      </c>
      <c r="U1515" s="5" t="s">
        <v>19340</v>
      </c>
      <c r="V1515" s="5" t="s">
        <v>19340</v>
      </c>
      <c r="W1515" s="5" t="s">
        <v>19341</v>
      </c>
      <c r="X1515" s="5" t="s">
        <v>19341</v>
      </c>
      <c r="Y1515" s="4">
        <v>535</v>
      </c>
      <c r="Z1515" s="4">
        <v>500</v>
      </c>
      <c r="AA1515" s="4">
        <v>517</v>
      </c>
      <c r="AB1515" s="4">
        <v>1</v>
      </c>
      <c r="AC1515" s="4">
        <v>1</v>
      </c>
      <c r="AD1515" s="4">
        <v>3</v>
      </c>
      <c r="AE1515" s="4">
        <v>5</v>
      </c>
      <c r="AF1515" s="4">
        <v>1</v>
      </c>
      <c r="AG1515" s="4">
        <v>2</v>
      </c>
      <c r="AH1515" s="4">
        <v>0</v>
      </c>
      <c r="AI1515" s="4">
        <v>1</v>
      </c>
      <c r="AJ1515" s="4">
        <v>3</v>
      </c>
      <c r="AK1515" s="4">
        <v>3</v>
      </c>
      <c r="AL1515" s="4">
        <v>0</v>
      </c>
      <c r="AM1515" s="4">
        <v>0</v>
      </c>
      <c r="AN1515" s="4">
        <v>0</v>
      </c>
      <c r="AO1515" s="4">
        <v>0</v>
      </c>
      <c r="AP1515" s="3" t="s">
        <v>58</v>
      </c>
      <c r="AQ1515" s="3" t="s">
        <v>86</v>
      </c>
      <c r="AR1515" s="6" t="str">
        <f>HYPERLINK("http://catalog.hathitrust.org/Record/009146862","HathiTrust Record")</f>
        <v>HathiTrust Record</v>
      </c>
      <c r="AS1515" s="6" t="str">
        <f>HYPERLINK("https://creighton-primo.hosted.exlibrisgroup.com/primo-explore/search?tab=default_tab&amp;search_scope=EVERYTHING&amp;vid=01CRU&amp;lang=en_US&amp;offset=0&amp;query=any,contains,991002759779702656","Catalog Record")</f>
        <v>Catalog Record</v>
      </c>
      <c r="AT1515" s="6" t="str">
        <f>HYPERLINK("http://www.worldcat.org/oclc/36201356","WorldCat Record")</f>
        <v>WorldCat Record</v>
      </c>
      <c r="AU1515" s="3" t="s">
        <v>19342</v>
      </c>
      <c r="AV1515" s="3" t="s">
        <v>19343</v>
      </c>
      <c r="AW1515" s="3" t="s">
        <v>19344</v>
      </c>
      <c r="AX1515" s="3" t="s">
        <v>19344</v>
      </c>
      <c r="AY1515" s="3" t="s">
        <v>19345</v>
      </c>
      <c r="AZ1515" s="3" t="s">
        <v>74</v>
      </c>
      <c r="BB1515" s="3" t="s">
        <v>19346</v>
      </c>
      <c r="BC1515" s="3" t="s">
        <v>19347</v>
      </c>
      <c r="BD1515" s="3" t="s">
        <v>19348</v>
      </c>
    </row>
    <row r="1516" spans="1:56" ht="42.75" customHeight="1" x14ac:dyDescent="0.25">
      <c r="A1516" s="7" t="s">
        <v>58</v>
      </c>
      <c r="B1516" s="2" t="s">
        <v>19349</v>
      </c>
      <c r="C1516" s="2" t="s">
        <v>19350</v>
      </c>
      <c r="D1516" s="2" t="s">
        <v>19351</v>
      </c>
      <c r="F1516" s="3" t="s">
        <v>58</v>
      </c>
      <c r="G1516" s="3" t="s">
        <v>59</v>
      </c>
      <c r="H1516" s="3" t="s">
        <v>58</v>
      </c>
      <c r="I1516" s="3" t="s">
        <v>58</v>
      </c>
      <c r="J1516" s="3" t="s">
        <v>60</v>
      </c>
      <c r="K1516" s="2" t="s">
        <v>19352</v>
      </c>
      <c r="L1516" s="2" t="s">
        <v>19353</v>
      </c>
      <c r="M1516" s="3" t="s">
        <v>269</v>
      </c>
      <c r="O1516" s="3" t="s">
        <v>64</v>
      </c>
      <c r="P1516" s="3" t="s">
        <v>115</v>
      </c>
      <c r="R1516" s="3" t="s">
        <v>67</v>
      </c>
      <c r="S1516" s="4">
        <v>2</v>
      </c>
      <c r="T1516" s="4">
        <v>2</v>
      </c>
      <c r="U1516" s="5" t="s">
        <v>15954</v>
      </c>
      <c r="V1516" s="5" t="s">
        <v>15954</v>
      </c>
      <c r="W1516" s="5" t="s">
        <v>2973</v>
      </c>
      <c r="X1516" s="5" t="s">
        <v>2973</v>
      </c>
      <c r="Y1516" s="4">
        <v>233</v>
      </c>
      <c r="Z1516" s="4">
        <v>219</v>
      </c>
      <c r="AA1516" s="4">
        <v>244</v>
      </c>
      <c r="AB1516" s="4">
        <v>5</v>
      </c>
      <c r="AC1516" s="4">
        <v>5</v>
      </c>
      <c r="AD1516" s="4">
        <v>3</v>
      </c>
      <c r="AE1516" s="4">
        <v>3</v>
      </c>
      <c r="AF1516" s="4">
        <v>0</v>
      </c>
      <c r="AG1516" s="4">
        <v>0</v>
      </c>
      <c r="AH1516" s="4">
        <v>0</v>
      </c>
      <c r="AI1516" s="4">
        <v>0</v>
      </c>
      <c r="AJ1516" s="4">
        <v>0</v>
      </c>
      <c r="AK1516" s="4">
        <v>0</v>
      </c>
      <c r="AL1516" s="4">
        <v>3</v>
      </c>
      <c r="AM1516" s="4">
        <v>3</v>
      </c>
      <c r="AN1516" s="4">
        <v>0</v>
      </c>
      <c r="AO1516" s="4">
        <v>0</v>
      </c>
      <c r="AP1516" s="3" t="s">
        <v>58</v>
      </c>
      <c r="AQ1516" s="3" t="s">
        <v>86</v>
      </c>
      <c r="AR1516" s="6" t="str">
        <f>HYPERLINK("http://catalog.hathitrust.org/Record/006203521","HathiTrust Record")</f>
        <v>HathiTrust Record</v>
      </c>
      <c r="AS1516" s="6" t="str">
        <f>HYPERLINK("https://creighton-primo.hosted.exlibrisgroup.com/primo-explore/search?tab=default_tab&amp;search_scope=EVERYTHING&amp;vid=01CRU&amp;lang=en_US&amp;offset=0&amp;query=any,contains,991000053799702656","Catalog Record")</f>
        <v>Catalog Record</v>
      </c>
      <c r="AT1516" s="6" t="str">
        <f>HYPERLINK("http://www.worldcat.org/oclc/23089","WorldCat Record")</f>
        <v>WorldCat Record</v>
      </c>
      <c r="AU1516" s="3" t="s">
        <v>19354</v>
      </c>
      <c r="AV1516" s="3" t="s">
        <v>19355</v>
      </c>
      <c r="AW1516" s="3" t="s">
        <v>19356</v>
      </c>
      <c r="AX1516" s="3" t="s">
        <v>19356</v>
      </c>
      <c r="AY1516" s="3" t="s">
        <v>19357</v>
      </c>
      <c r="AZ1516" s="3" t="s">
        <v>74</v>
      </c>
      <c r="BC1516" s="3" t="s">
        <v>19358</v>
      </c>
      <c r="BD1516" s="3" t="s">
        <v>19359</v>
      </c>
    </row>
    <row r="1517" spans="1:56" ht="42.75" customHeight="1" x14ac:dyDescent="0.25">
      <c r="A1517" s="7" t="s">
        <v>58</v>
      </c>
      <c r="B1517" s="2" t="s">
        <v>19360</v>
      </c>
      <c r="C1517" s="2" t="s">
        <v>19361</v>
      </c>
      <c r="D1517" s="2" t="s">
        <v>19362</v>
      </c>
      <c r="F1517" s="3" t="s">
        <v>58</v>
      </c>
      <c r="G1517" s="3" t="s">
        <v>59</v>
      </c>
      <c r="H1517" s="3" t="s">
        <v>86</v>
      </c>
      <c r="I1517" s="3" t="s">
        <v>58</v>
      </c>
      <c r="J1517" s="3" t="s">
        <v>60</v>
      </c>
      <c r="K1517" s="2" t="s">
        <v>19363</v>
      </c>
      <c r="L1517" s="2" t="s">
        <v>14218</v>
      </c>
      <c r="M1517" s="3" t="s">
        <v>3914</v>
      </c>
      <c r="O1517" s="3" t="s">
        <v>64</v>
      </c>
      <c r="P1517" s="3" t="s">
        <v>115</v>
      </c>
      <c r="Q1517" s="2" t="s">
        <v>13558</v>
      </c>
      <c r="R1517" s="3" t="s">
        <v>67</v>
      </c>
      <c r="S1517" s="4">
        <v>0</v>
      </c>
      <c r="T1517" s="4">
        <v>11</v>
      </c>
      <c r="V1517" s="5" t="s">
        <v>19364</v>
      </c>
      <c r="W1517" s="5" t="s">
        <v>5879</v>
      </c>
      <c r="X1517" s="5" t="s">
        <v>5879</v>
      </c>
      <c r="Y1517" s="4">
        <v>91</v>
      </c>
      <c r="Z1517" s="4">
        <v>63</v>
      </c>
      <c r="AA1517" s="4">
        <v>153</v>
      </c>
      <c r="AB1517" s="4">
        <v>3</v>
      </c>
      <c r="AC1517" s="4">
        <v>3</v>
      </c>
      <c r="AD1517" s="4">
        <v>2</v>
      </c>
      <c r="AE1517" s="4">
        <v>2</v>
      </c>
      <c r="AF1517" s="4">
        <v>0</v>
      </c>
      <c r="AG1517" s="4">
        <v>0</v>
      </c>
      <c r="AH1517" s="4">
        <v>0</v>
      </c>
      <c r="AI1517" s="4">
        <v>0</v>
      </c>
      <c r="AJ1517" s="4">
        <v>1</v>
      </c>
      <c r="AK1517" s="4">
        <v>1</v>
      </c>
      <c r="AL1517" s="4">
        <v>1</v>
      </c>
      <c r="AM1517" s="4">
        <v>1</v>
      </c>
      <c r="AN1517" s="4">
        <v>0</v>
      </c>
      <c r="AO1517" s="4">
        <v>0</v>
      </c>
      <c r="AP1517" s="3" t="s">
        <v>58</v>
      </c>
      <c r="AQ1517" s="3" t="s">
        <v>58</v>
      </c>
      <c r="AS1517" s="6" t="str">
        <f>HYPERLINK("https://creighton-primo.hosted.exlibrisgroup.com/primo-explore/search?tab=default_tab&amp;search_scope=EVERYTHING&amp;vid=01CRU&amp;lang=en_US&amp;offset=0&amp;query=any,contains,991001791579702656","Catalog Record")</f>
        <v>Catalog Record</v>
      </c>
      <c r="AT1517" s="6" t="str">
        <f>HYPERLINK("http://www.worldcat.org/oclc/1974277","WorldCat Record")</f>
        <v>WorldCat Record</v>
      </c>
      <c r="AU1517" s="3" t="s">
        <v>19365</v>
      </c>
      <c r="AV1517" s="3" t="s">
        <v>19366</v>
      </c>
      <c r="AW1517" s="3" t="s">
        <v>19367</v>
      </c>
      <c r="AX1517" s="3" t="s">
        <v>19367</v>
      </c>
      <c r="AY1517" s="3" t="s">
        <v>19368</v>
      </c>
      <c r="AZ1517" s="3" t="s">
        <v>74</v>
      </c>
      <c r="BB1517" s="3" t="s">
        <v>19369</v>
      </c>
      <c r="BC1517" s="3" t="s">
        <v>19370</v>
      </c>
      <c r="BD1517" s="3" t="s">
        <v>19371</v>
      </c>
    </row>
    <row r="1518" spans="1:56" ht="42.75" customHeight="1" x14ac:dyDescent="0.25">
      <c r="A1518" s="7" t="s">
        <v>58</v>
      </c>
      <c r="B1518" s="2" t="s">
        <v>19372</v>
      </c>
      <c r="C1518" s="2" t="s">
        <v>19373</v>
      </c>
      <c r="D1518" s="2" t="s">
        <v>19374</v>
      </c>
      <c r="F1518" s="3" t="s">
        <v>58</v>
      </c>
      <c r="G1518" s="3" t="s">
        <v>59</v>
      </c>
      <c r="H1518" s="3" t="s">
        <v>58</v>
      </c>
      <c r="I1518" s="3" t="s">
        <v>58</v>
      </c>
      <c r="J1518" s="3" t="s">
        <v>60</v>
      </c>
      <c r="K1518" s="2" t="s">
        <v>19375</v>
      </c>
      <c r="L1518" s="2" t="s">
        <v>19376</v>
      </c>
      <c r="M1518" s="3" t="s">
        <v>98</v>
      </c>
      <c r="O1518" s="3" t="s">
        <v>64</v>
      </c>
      <c r="P1518" s="3" t="s">
        <v>99</v>
      </c>
      <c r="R1518" s="3" t="s">
        <v>67</v>
      </c>
      <c r="S1518" s="4">
        <v>12</v>
      </c>
      <c r="T1518" s="4">
        <v>12</v>
      </c>
      <c r="U1518" s="5" t="s">
        <v>19377</v>
      </c>
      <c r="V1518" s="5" t="s">
        <v>19377</v>
      </c>
      <c r="W1518" s="5" t="s">
        <v>1859</v>
      </c>
      <c r="X1518" s="5" t="s">
        <v>1859</v>
      </c>
      <c r="Y1518" s="4">
        <v>270</v>
      </c>
      <c r="Z1518" s="4">
        <v>267</v>
      </c>
      <c r="AA1518" s="4">
        <v>273</v>
      </c>
      <c r="AB1518" s="4">
        <v>1</v>
      </c>
      <c r="AC1518" s="4">
        <v>1</v>
      </c>
      <c r="AD1518" s="4">
        <v>1</v>
      </c>
      <c r="AE1518" s="4">
        <v>1</v>
      </c>
      <c r="AF1518" s="4">
        <v>0</v>
      </c>
      <c r="AG1518" s="4">
        <v>0</v>
      </c>
      <c r="AH1518" s="4">
        <v>1</v>
      </c>
      <c r="AI1518" s="4">
        <v>1</v>
      </c>
      <c r="AJ1518" s="4">
        <v>1</v>
      </c>
      <c r="AK1518" s="4">
        <v>1</v>
      </c>
      <c r="AL1518" s="4">
        <v>0</v>
      </c>
      <c r="AM1518" s="4">
        <v>0</v>
      </c>
      <c r="AN1518" s="4">
        <v>0</v>
      </c>
      <c r="AO1518" s="4">
        <v>0</v>
      </c>
      <c r="AP1518" s="3" t="s">
        <v>58</v>
      </c>
      <c r="AQ1518" s="3" t="s">
        <v>86</v>
      </c>
      <c r="AR1518" s="6" t="str">
        <f>HYPERLINK("http://catalog.hathitrust.org/Record/007067963","HathiTrust Record")</f>
        <v>HathiTrust Record</v>
      </c>
      <c r="AS1518" s="6" t="str">
        <f>HYPERLINK("https://creighton-primo.hosted.exlibrisgroup.com/primo-explore/search?tab=default_tab&amp;search_scope=EVERYTHING&amp;vid=01CRU&amp;lang=en_US&amp;offset=0&amp;query=any,contains,991001278659702656","Catalog Record")</f>
        <v>Catalog Record</v>
      </c>
      <c r="AT1518" s="6" t="str">
        <f>HYPERLINK("http://www.worldcat.org/oclc/17889319","WorldCat Record")</f>
        <v>WorldCat Record</v>
      </c>
      <c r="AU1518" s="3" t="s">
        <v>19378</v>
      </c>
      <c r="AV1518" s="3" t="s">
        <v>19379</v>
      </c>
      <c r="AW1518" s="3" t="s">
        <v>19380</v>
      </c>
      <c r="AX1518" s="3" t="s">
        <v>19380</v>
      </c>
      <c r="AY1518" s="3" t="s">
        <v>19381</v>
      </c>
      <c r="AZ1518" s="3" t="s">
        <v>74</v>
      </c>
      <c r="BB1518" s="3" t="s">
        <v>19382</v>
      </c>
      <c r="BC1518" s="3" t="s">
        <v>19383</v>
      </c>
      <c r="BD1518" s="3" t="s">
        <v>19384</v>
      </c>
    </row>
    <row r="1519" spans="1:56" ht="42.75" customHeight="1" x14ac:dyDescent="0.25">
      <c r="A1519" s="7" t="s">
        <v>58</v>
      </c>
      <c r="B1519" s="2" t="s">
        <v>19385</v>
      </c>
      <c r="C1519" s="2" t="s">
        <v>19386</v>
      </c>
      <c r="D1519" s="2" t="s">
        <v>19387</v>
      </c>
      <c r="F1519" s="3" t="s">
        <v>58</v>
      </c>
      <c r="G1519" s="3" t="s">
        <v>59</v>
      </c>
      <c r="H1519" s="3" t="s">
        <v>58</v>
      </c>
      <c r="I1519" s="3" t="s">
        <v>58</v>
      </c>
      <c r="J1519" s="3" t="s">
        <v>60</v>
      </c>
      <c r="K1519" s="2" t="s">
        <v>19388</v>
      </c>
      <c r="L1519" s="2" t="s">
        <v>19389</v>
      </c>
      <c r="M1519" s="3" t="s">
        <v>1574</v>
      </c>
      <c r="O1519" s="3" t="s">
        <v>64</v>
      </c>
      <c r="P1519" s="3" t="s">
        <v>115</v>
      </c>
      <c r="Q1519" s="2" t="s">
        <v>19390</v>
      </c>
      <c r="R1519" s="3" t="s">
        <v>67</v>
      </c>
      <c r="S1519" s="4">
        <v>12</v>
      </c>
      <c r="T1519" s="4">
        <v>12</v>
      </c>
      <c r="U1519" s="5" t="s">
        <v>19391</v>
      </c>
      <c r="V1519" s="5" t="s">
        <v>19391</v>
      </c>
      <c r="W1519" s="5" t="s">
        <v>5930</v>
      </c>
      <c r="X1519" s="5" t="s">
        <v>5930</v>
      </c>
      <c r="Y1519" s="4">
        <v>127</v>
      </c>
      <c r="Z1519" s="4">
        <v>110</v>
      </c>
      <c r="AA1519" s="4">
        <v>147</v>
      </c>
      <c r="AB1519" s="4">
        <v>1</v>
      </c>
      <c r="AC1519" s="4">
        <v>1</v>
      </c>
      <c r="AD1519" s="4">
        <v>0</v>
      </c>
      <c r="AE1519" s="4">
        <v>1</v>
      </c>
      <c r="AF1519" s="4">
        <v>0</v>
      </c>
      <c r="AG1519" s="4">
        <v>0</v>
      </c>
      <c r="AH1519" s="4">
        <v>0</v>
      </c>
      <c r="AI1519" s="4">
        <v>1</v>
      </c>
      <c r="AJ1519" s="4">
        <v>0</v>
      </c>
      <c r="AK1519" s="4">
        <v>0</v>
      </c>
      <c r="AL1519" s="4">
        <v>0</v>
      </c>
      <c r="AM1519" s="4">
        <v>0</v>
      </c>
      <c r="AN1519" s="4">
        <v>0</v>
      </c>
      <c r="AO1519" s="4">
        <v>0</v>
      </c>
      <c r="AP1519" s="3" t="s">
        <v>58</v>
      </c>
      <c r="AQ1519" s="3" t="s">
        <v>86</v>
      </c>
      <c r="AR1519" s="6" t="str">
        <f>HYPERLINK("http://catalog.hathitrust.org/Record/000315496","HathiTrust Record")</f>
        <v>HathiTrust Record</v>
      </c>
      <c r="AS1519" s="6" t="str">
        <f>HYPERLINK("https://creighton-primo.hosted.exlibrisgroup.com/primo-explore/search?tab=default_tab&amp;search_scope=EVERYTHING&amp;vid=01CRU&amp;lang=en_US&amp;offset=0&amp;query=any,contains,991005035869702656","Catalog Record")</f>
        <v>Catalog Record</v>
      </c>
      <c r="AT1519" s="6" t="str">
        <f>HYPERLINK("http://www.worldcat.org/oclc/6761282","WorldCat Record")</f>
        <v>WorldCat Record</v>
      </c>
      <c r="AU1519" s="3" t="s">
        <v>19392</v>
      </c>
      <c r="AV1519" s="3" t="s">
        <v>19393</v>
      </c>
      <c r="AW1519" s="3" t="s">
        <v>19394</v>
      </c>
      <c r="AX1519" s="3" t="s">
        <v>19394</v>
      </c>
      <c r="AY1519" s="3" t="s">
        <v>19395</v>
      </c>
      <c r="AZ1519" s="3" t="s">
        <v>74</v>
      </c>
      <c r="BB1519" s="3" t="s">
        <v>19396</v>
      </c>
      <c r="BC1519" s="3" t="s">
        <v>19397</v>
      </c>
      <c r="BD1519" s="3" t="s">
        <v>19398</v>
      </c>
    </row>
    <row r="1520" spans="1:56" ht="42.75" customHeight="1" x14ac:dyDescent="0.25">
      <c r="A1520" s="7" t="s">
        <v>58</v>
      </c>
      <c r="B1520" s="2" t="s">
        <v>19399</v>
      </c>
      <c r="C1520" s="2" t="s">
        <v>19400</v>
      </c>
      <c r="D1520" s="2" t="s">
        <v>19401</v>
      </c>
      <c r="F1520" s="3" t="s">
        <v>58</v>
      </c>
      <c r="G1520" s="3" t="s">
        <v>59</v>
      </c>
      <c r="H1520" s="3" t="s">
        <v>86</v>
      </c>
      <c r="I1520" s="3" t="s">
        <v>58</v>
      </c>
      <c r="J1520" s="3" t="s">
        <v>60</v>
      </c>
      <c r="K1520" s="2" t="s">
        <v>19402</v>
      </c>
      <c r="L1520" s="2" t="s">
        <v>19403</v>
      </c>
      <c r="M1520" s="3" t="s">
        <v>2770</v>
      </c>
      <c r="O1520" s="3" t="s">
        <v>64</v>
      </c>
      <c r="P1520" s="3" t="s">
        <v>115</v>
      </c>
      <c r="R1520" s="3" t="s">
        <v>67</v>
      </c>
      <c r="S1520" s="4">
        <v>1</v>
      </c>
      <c r="T1520" s="4">
        <v>6</v>
      </c>
      <c r="V1520" s="5" t="s">
        <v>2078</v>
      </c>
      <c r="W1520" s="5" t="s">
        <v>165</v>
      </c>
      <c r="X1520" s="5" t="s">
        <v>165</v>
      </c>
      <c r="Y1520" s="4">
        <v>999</v>
      </c>
      <c r="Z1520" s="4">
        <v>873</v>
      </c>
      <c r="AA1520" s="4">
        <v>954</v>
      </c>
      <c r="AB1520" s="4">
        <v>10</v>
      </c>
      <c r="AC1520" s="4">
        <v>10</v>
      </c>
      <c r="AD1520" s="4">
        <v>31</v>
      </c>
      <c r="AE1520" s="4">
        <v>34</v>
      </c>
      <c r="AF1520" s="4">
        <v>9</v>
      </c>
      <c r="AG1520" s="4">
        <v>11</v>
      </c>
      <c r="AH1520" s="4">
        <v>7</v>
      </c>
      <c r="AI1520" s="4">
        <v>8</v>
      </c>
      <c r="AJ1520" s="4">
        <v>16</v>
      </c>
      <c r="AK1520" s="4">
        <v>17</v>
      </c>
      <c r="AL1520" s="4">
        <v>5</v>
      </c>
      <c r="AM1520" s="4">
        <v>5</v>
      </c>
      <c r="AN1520" s="4">
        <v>0</v>
      </c>
      <c r="AO1520" s="4">
        <v>0</v>
      </c>
      <c r="AP1520" s="3" t="s">
        <v>58</v>
      </c>
      <c r="AQ1520" s="3" t="s">
        <v>86</v>
      </c>
      <c r="AR1520" s="6" t="str">
        <f>HYPERLINK("http://catalog.hathitrust.org/Record/000173250","HathiTrust Record")</f>
        <v>HathiTrust Record</v>
      </c>
      <c r="AS1520" s="6" t="str">
        <f>HYPERLINK("https://creighton-primo.hosted.exlibrisgroup.com/primo-explore/search?tab=default_tab&amp;search_scope=EVERYTHING&amp;vid=01CRU&amp;lang=en_US&amp;offset=0&amp;query=any,contains,991001790749702656","Catalog Record")</f>
        <v>Catalog Record</v>
      </c>
      <c r="AT1520" s="6" t="str">
        <f>HYPERLINK("http://www.worldcat.org/oclc/2797972","WorldCat Record")</f>
        <v>WorldCat Record</v>
      </c>
      <c r="AU1520" s="3" t="s">
        <v>19404</v>
      </c>
      <c r="AV1520" s="3" t="s">
        <v>19405</v>
      </c>
      <c r="AW1520" s="3" t="s">
        <v>19406</v>
      </c>
      <c r="AX1520" s="3" t="s">
        <v>19406</v>
      </c>
      <c r="AY1520" s="3" t="s">
        <v>19407</v>
      </c>
      <c r="AZ1520" s="3" t="s">
        <v>74</v>
      </c>
      <c r="BB1520" s="3" t="s">
        <v>19408</v>
      </c>
      <c r="BC1520" s="3" t="s">
        <v>19409</v>
      </c>
      <c r="BD1520" s="3" t="s">
        <v>19410</v>
      </c>
    </row>
    <row r="1521" spans="1:56" ht="42.75" customHeight="1" x14ac:dyDescent="0.25">
      <c r="A1521" s="7" t="s">
        <v>58</v>
      </c>
      <c r="B1521" s="2" t="s">
        <v>19411</v>
      </c>
      <c r="C1521" s="2" t="s">
        <v>19412</v>
      </c>
      <c r="D1521" s="2" t="s">
        <v>19413</v>
      </c>
      <c r="F1521" s="3" t="s">
        <v>58</v>
      </c>
      <c r="G1521" s="3" t="s">
        <v>59</v>
      </c>
      <c r="H1521" s="3" t="s">
        <v>58</v>
      </c>
      <c r="I1521" s="3" t="s">
        <v>58</v>
      </c>
      <c r="J1521" s="3" t="s">
        <v>60</v>
      </c>
      <c r="K1521" s="2" t="s">
        <v>19402</v>
      </c>
      <c r="L1521" s="2" t="s">
        <v>19414</v>
      </c>
      <c r="M1521" s="3" t="s">
        <v>2227</v>
      </c>
      <c r="O1521" s="3" t="s">
        <v>64</v>
      </c>
      <c r="P1521" s="3" t="s">
        <v>115</v>
      </c>
      <c r="R1521" s="3" t="s">
        <v>67</v>
      </c>
      <c r="S1521" s="4">
        <v>8</v>
      </c>
      <c r="T1521" s="4">
        <v>8</v>
      </c>
      <c r="U1521" s="5" t="s">
        <v>19415</v>
      </c>
      <c r="V1521" s="5" t="s">
        <v>19415</v>
      </c>
      <c r="W1521" s="5" t="s">
        <v>1576</v>
      </c>
      <c r="X1521" s="5" t="s">
        <v>1576</v>
      </c>
      <c r="Y1521" s="4">
        <v>709</v>
      </c>
      <c r="Z1521" s="4">
        <v>655</v>
      </c>
      <c r="AA1521" s="4">
        <v>672</v>
      </c>
      <c r="AB1521" s="4">
        <v>4</v>
      </c>
      <c r="AC1521" s="4">
        <v>4</v>
      </c>
      <c r="AD1521" s="4">
        <v>16</v>
      </c>
      <c r="AE1521" s="4">
        <v>17</v>
      </c>
      <c r="AF1521" s="4">
        <v>6</v>
      </c>
      <c r="AG1521" s="4">
        <v>7</v>
      </c>
      <c r="AH1521" s="4">
        <v>4</v>
      </c>
      <c r="AI1521" s="4">
        <v>4</v>
      </c>
      <c r="AJ1521" s="4">
        <v>9</v>
      </c>
      <c r="AK1521" s="4">
        <v>9</v>
      </c>
      <c r="AL1521" s="4">
        <v>2</v>
      </c>
      <c r="AM1521" s="4">
        <v>2</v>
      </c>
      <c r="AN1521" s="4">
        <v>0</v>
      </c>
      <c r="AO1521" s="4">
        <v>0</v>
      </c>
      <c r="AP1521" s="3" t="s">
        <v>58</v>
      </c>
      <c r="AQ1521" s="3" t="s">
        <v>58</v>
      </c>
      <c r="AS1521" s="6" t="str">
        <f>HYPERLINK("https://creighton-primo.hosted.exlibrisgroup.com/primo-explore/search?tab=default_tab&amp;search_scope=EVERYTHING&amp;vid=01CRU&amp;lang=en_US&amp;offset=0&amp;query=any,contains,991000538139702656","Catalog Record")</f>
        <v>Catalog Record</v>
      </c>
      <c r="AT1521" s="6" t="str">
        <f>HYPERLINK("http://www.worldcat.org/oclc/11468375","WorldCat Record")</f>
        <v>WorldCat Record</v>
      </c>
      <c r="AU1521" s="3" t="s">
        <v>19416</v>
      </c>
      <c r="AV1521" s="3" t="s">
        <v>19417</v>
      </c>
      <c r="AW1521" s="3" t="s">
        <v>19418</v>
      </c>
      <c r="AX1521" s="3" t="s">
        <v>19418</v>
      </c>
      <c r="AY1521" s="3" t="s">
        <v>19419</v>
      </c>
      <c r="AZ1521" s="3" t="s">
        <v>74</v>
      </c>
      <c r="BB1521" s="3" t="s">
        <v>19420</v>
      </c>
      <c r="BC1521" s="3" t="s">
        <v>19421</v>
      </c>
      <c r="BD1521" s="3" t="s">
        <v>19422</v>
      </c>
    </row>
    <row r="1522" spans="1:56" ht="42.75" customHeight="1" x14ac:dyDescent="0.25">
      <c r="A1522" s="7" t="s">
        <v>58</v>
      </c>
      <c r="B1522" s="2" t="s">
        <v>19423</v>
      </c>
      <c r="C1522" s="2" t="s">
        <v>19424</v>
      </c>
      <c r="D1522" s="2" t="s">
        <v>19425</v>
      </c>
      <c r="F1522" s="3" t="s">
        <v>58</v>
      </c>
      <c r="G1522" s="3" t="s">
        <v>59</v>
      </c>
      <c r="H1522" s="3" t="s">
        <v>86</v>
      </c>
      <c r="I1522" s="3" t="s">
        <v>58</v>
      </c>
      <c r="J1522" s="3" t="s">
        <v>60</v>
      </c>
      <c r="K1522" s="2" t="s">
        <v>19426</v>
      </c>
      <c r="L1522" s="2" t="s">
        <v>19427</v>
      </c>
      <c r="M1522" s="3" t="s">
        <v>2227</v>
      </c>
      <c r="N1522" s="2" t="s">
        <v>1736</v>
      </c>
      <c r="O1522" s="3" t="s">
        <v>64</v>
      </c>
      <c r="P1522" s="3" t="s">
        <v>99</v>
      </c>
      <c r="Q1522" s="2" t="s">
        <v>16539</v>
      </c>
      <c r="R1522" s="3" t="s">
        <v>67</v>
      </c>
      <c r="S1522" s="4">
        <v>5</v>
      </c>
      <c r="T1522" s="4">
        <v>5</v>
      </c>
      <c r="U1522" s="5" t="s">
        <v>19428</v>
      </c>
      <c r="V1522" s="5" t="s">
        <v>19428</v>
      </c>
      <c r="W1522" s="5" t="s">
        <v>7560</v>
      </c>
      <c r="X1522" s="5" t="s">
        <v>7560</v>
      </c>
      <c r="Y1522" s="4">
        <v>199</v>
      </c>
      <c r="Z1522" s="4">
        <v>160</v>
      </c>
      <c r="AA1522" s="4">
        <v>162</v>
      </c>
      <c r="AB1522" s="4">
        <v>2</v>
      </c>
      <c r="AC1522" s="4">
        <v>2</v>
      </c>
      <c r="AD1522" s="4">
        <v>4</v>
      </c>
      <c r="AE1522" s="4">
        <v>4</v>
      </c>
      <c r="AF1522" s="4">
        <v>0</v>
      </c>
      <c r="AG1522" s="4">
        <v>0</v>
      </c>
      <c r="AH1522" s="4">
        <v>1</v>
      </c>
      <c r="AI1522" s="4">
        <v>1</v>
      </c>
      <c r="AJ1522" s="4">
        <v>4</v>
      </c>
      <c r="AK1522" s="4">
        <v>4</v>
      </c>
      <c r="AL1522" s="4">
        <v>0</v>
      </c>
      <c r="AM1522" s="4">
        <v>0</v>
      </c>
      <c r="AN1522" s="4">
        <v>0</v>
      </c>
      <c r="AO1522" s="4">
        <v>0</v>
      </c>
      <c r="AP1522" s="3" t="s">
        <v>58</v>
      </c>
      <c r="AQ1522" s="3" t="s">
        <v>86</v>
      </c>
      <c r="AR1522" s="6" t="str">
        <f>HYPERLINK("http://catalog.hathitrust.org/Record/000383911","HathiTrust Record")</f>
        <v>HathiTrust Record</v>
      </c>
      <c r="AS1522" s="6" t="str">
        <f>HYPERLINK("https://creighton-primo.hosted.exlibrisgroup.com/primo-explore/search?tab=default_tab&amp;search_scope=EVERYTHING&amp;vid=01CRU&amp;lang=en_US&amp;offset=0&amp;query=any,contains,991000531809702656","Catalog Record")</f>
        <v>Catalog Record</v>
      </c>
      <c r="AT1522" s="6" t="str">
        <f>HYPERLINK("http://www.worldcat.org/oclc/11399894","WorldCat Record")</f>
        <v>WorldCat Record</v>
      </c>
      <c r="AU1522" s="3" t="s">
        <v>19429</v>
      </c>
      <c r="AV1522" s="3" t="s">
        <v>19430</v>
      </c>
      <c r="AW1522" s="3" t="s">
        <v>19431</v>
      </c>
      <c r="AX1522" s="3" t="s">
        <v>19431</v>
      </c>
      <c r="AY1522" s="3" t="s">
        <v>19432</v>
      </c>
      <c r="AZ1522" s="3" t="s">
        <v>74</v>
      </c>
      <c r="BB1522" s="3" t="s">
        <v>19433</v>
      </c>
      <c r="BC1522" s="3" t="s">
        <v>19434</v>
      </c>
      <c r="BD1522" s="3" t="s">
        <v>19435</v>
      </c>
    </row>
    <row r="1523" spans="1:56" ht="42.75" customHeight="1" x14ac:dyDescent="0.25">
      <c r="A1523" s="7" t="s">
        <v>58</v>
      </c>
      <c r="B1523" s="2" t="s">
        <v>19436</v>
      </c>
      <c r="C1523" s="2" t="s">
        <v>19437</v>
      </c>
      <c r="D1523" s="2" t="s">
        <v>19438</v>
      </c>
      <c r="F1523" s="3" t="s">
        <v>58</v>
      </c>
      <c r="G1523" s="3" t="s">
        <v>59</v>
      </c>
      <c r="H1523" s="3" t="s">
        <v>86</v>
      </c>
      <c r="I1523" s="3" t="s">
        <v>86</v>
      </c>
      <c r="J1523" s="3" t="s">
        <v>60</v>
      </c>
      <c r="K1523" s="2" t="s">
        <v>19439</v>
      </c>
      <c r="L1523" s="2" t="s">
        <v>19440</v>
      </c>
      <c r="M1523" s="3" t="s">
        <v>98</v>
      </c>
      <c r="N1523" s="2" t="s">
        <v>1844</v>
      </c>
      <c r="O1523" s="3" t="s">
        <v>64</v>
      </c>
      <c r="P1523" s="3" t="s">
        <v>316</v>
      </c>
      <c r="R1523" s="3" t="s">
        <v>67</v>
      </c>
      <c r="S1523" s="4">
        <v>13</v>
      </c>
      <c r="T1523" s="4">
        <v>13</v>
      </c>
      <c r="U1523" s="5" t="s">
        <v>7693</v>
      </c>
      <c r="V1523" s="5" t="s">
        <v>7693</v>
      </c>
      <c r="W1523" s="5" t="s">
        <v>19441</v>
      </c>
      <c r="X1523" s="5" t="s">
        <v>19441</v>
      </c>
      <c r="Y1523" s="4">
        <v>385</v>
      </c>
      <c r="Z1523" s="4">
        <v>309</v>
      </c>
      <c r="AA1523" s="4">
        <v>603</v>
      </c>
      <c r="AB1523" s="4">
        <v>4</v>
      </c>
      <c r="AC1523" s="4">
        <v>9</v>
      </c>
      <c r="AD1523" s="4">
        <v>9</v>
      </c>
      <c r="AE1523" s="4">
        <v>24</v>
      </c>
      <c r="AF1523" s="4">
        <v>4</v>
      </c>
      <c r="AG1523" s="4">
        <v>10</v>
      </c>
      <c r="AH1523" s="4">
        <v>2</v>
      </c>
      <c r="AI1523" s="4">
        <v>4</v>
      </c>
      <c r="AJ1523" s="4">
        <v>4</v>
      </c>
      <c r="AK1523" s="4">
        <v>10</v>
      </c>
      <c r="AL1523" s="4">
        <v>2</v>
      </c>
      <c r="AM1523" s="4">
        <v>6</v>
      </c>
      <c r="AN1523" s="4">
        <v>0</v>
      </c>
      <c r="AO1523" s="4">
        <v>0</v>
      </c>
      <c r="AP1523" s="3" t="s">
        <v>58</v>
      </c>
      <c r="AQ1523" s="3" t="s">
        <v>86</v>
      </c>
      <c r="AR1523" s="6" t="str">
        <f>HYPERLINK("http://catalog.hathitrust.org/Record/000901409","HathiTrust Record")</f>
        <v>HathiTrust Record</v>
      </c>
      <c r="AS1523" s="6" t="str">
        <f>HYPERLINK("https://creighton-primo.hosted.exlibrisgroup.com/primo-explore/search?tab=default_tab&amp;search_scope=EVERYTHING&amp;vid=01CRU&amp;lang=en_US&amp;offset=0&amp;query=any,contains,991001120229702656","Catalog Record")</f>
        <v>Catalog Record</v>
      </c>
      <c r="AT1523" s="6" t="str">
        <f>HYPERLINK("http://www.worldcat.org/oclc/16579536","WorldCat Record")</f>
        <v>WorldCat Record</v>
      </c>
      <c r="AU1523" s="3" t="s">
        <v>19442</v>
      </c>
      <c r="AV1523" s="3" t="s">
        <v>19443</v>
      </c>
      <c r="AW1523" s="3" t="s">
        <v>19444</v>
      </c>
      <c r="AX1523" s="3" t="s">
        <v>19444</v>
      </c>
      <c r="AY1523" s="3" t="s">
        <v>19445</v>
      </c>
      <c r="AZ1523" s="3" t="s">
        <v>74</v>
      </c>
      <c r="BB1523" s="3" t="s">
        <v>19446</v>
      </c>
      <c r="BC1523" s="3" t="s">
        <v>19447</v>
      </c>
      <c r="BD1523" s="3" t="s">
        <v>19448</v>
      </c>
    </row>
    <row r="1524" spans="1:56" ht="42.75" customHeight="1" x14ac:dyDescent="0.25">
      <c r="A1524" s="7" t="s">
        <v>58</v>
      </c>
      <c r="B1524" s="2" t="s">
        <v>19449</v>
      </c>
      <c r="C1524" s="2" t="s">
        <v>19450</v>
      </c>
      <c r="D1524" s="2" t="s">
        <v>19451</v>
      </c>
      <c r="F1524" s="3" t="s">
        <v>58</v>
      </c>
      <c r="G1524" s="3" t="s">
        <v>59</v>
      </c>
      <c r="H1524" s="3" t="s">
        <v>86</v>
      </c>
      <c r="I1524" s="3" t="s">
        <v>58</v>
      </c>
      <c r="J1524" s="3" t="s">
        <v>60</v>
      </c>
      <c r="K1524" s="2" t="s">
        <v>19452</v>
      </c>
      <c r="L1524" s="2" t="s">
        <v>19453</v>
      </c>
      <c r="M1524" s="3" t="s">
        <v>82</v>
      </c>
      <c r="O1524" s="3" t="s">
        <v>64</v>
      </c>
      <c r="P1524" s="3" t="s">
        <v>359</v>
      </c>
      <c r="R1524" s="3" t="s">
        <v>67</v>
      </c>
      <c r="S1524" s="4">
        <v>4</v>
      </c>
      <c r="T1524" s="4">
        <v>4</v>
      </c>
      <c r="U1524" s="5" t="s">
        <v>19454</v>
      </c>
      <c r="V1524" s="5" t="s">
        <v>19454</v>
      </c>
      <c r="W1524" s="5" t="s">
        <v>69</v>
      </c>
      <c r="X1524" s="5" t="s">
        <v>69</v>
      </c>
      <c r="Y1524" s="4">
        <v>94</v>
      </c>
      <c r="Z1524" s="4">
        <v>68</v>
      </c>
      <c r="AA1524" s="4">
        <v>68</v>
      </c>
      <c r="AB1524" s="4">
        <v>2</v>
      </c>
      <c r="AC1524" s="4">
        <v>2</v>
      </c>
      <c r="AD1524" s="4">
        <v>2</v>
      </c>
      <c r="AE1524" s="4">
        <v>2</v>
      </c>
      <c r="AF1524" s="4">
        <v>1</v>
      </c>
      <c r="AG1524" s="4">
        <v>1</v>
      </c>
      <c r="AH1524" s="4">
        <v>1</v>
      </c>
      <c r="AI1524" s="4">
        <v>1</v>
      </c>
      <c r="AJ1524" s="4">
        <v>1</v>
      </c>
      <c r="AK1524" s="4">
        <v>1</v>
      </c>
      <c r="AL1524" s="4">
        <v>0</v>
      </c>
      <c r="AM1524" s="4">
        <v>0</v>
      </c>
      <c r="AN1524" s="4">
        <v>0</v>
      </c>
      <c r="AO1524" s="4">
        <v>0</v>
      </c>
      <c r="AP1524" s="3" t="s">
        <v>58</v>
      </c>
      <c r="AQ1524" s="3" t="s">
        <v>58</v>
      </c>
      <c r="AS1524" s="6" t="str">
        <f>HYPERLINK("https://creighton-primo.hosted.exlibrisgroup.com/primo-explore/search?tab=default_tab&amp;search_scope=EVERYTHING&amp;vid=01CRU&amp;lang=en_US&amp;offset=0&amp;query=any,contains,991001000699702656","Catalog Record")</f>
        <v>Catalog Record</v>
      </c>
      <c r="AT1524" s="6" t="str">
        <f>HYPERLINK("http://www.worldcat.org/oclc/15198173","WorldCat Record")</f>
        <v>WorldCat Record</v>
      </c>
      <c r="AU1524" s="3" t="s">
        <v>19455</v>
      </c>
      <c r="AV1524" s="3" t="s">
        <v>19456</v>
      </c>
      <c r="AW1524" s="3" t="s">
        <v>19457</v>
      </c>
      <c r="AX1524" s="3" t="s">
        <v>19457</v>
      </c>
      <c r="AY1524" s="3" t="s">
        <v>19458</v>
      </c>
      <c r="AZ1524" s="3" t="s">
        <v>74</v>
      </c>
      <c r="BB1524" s="3" t="s">
        <v>19459</v>
      </c>
      <c r="BC1524" s="3" t="s">
        <v>19460</v>
      </c>
      <c r="BD1524" s="3" t="s">
        <v>19461</v>
      </c>
    </row>
    <row r="1525" spans="1:56" ht="42.75" customHeight="1" x14ac:dyDescent="0.25">
      <c r="A1525" s="7" t="s">
        <v>58</v>
      </c>
      <c r="B1525" s="2" t="s">
        <v>19462</v>
      </c>
      <c r="C1525" s="2" t="s">
        <v>19463</v>
      </c>
      <c r="D1525" s="2" t="s">
        <v>19464</v>
      </c>
      <c r="F1525" s="3" t="s">
        <v>58</v>
      </c>
      <c r="G1525" s="3" t="s">
        <v>59</v>
      </c>
      <c r="H1525" s="3" t="s">
        <v>58</v>
      </c>
      <c r="I1525" s="3" t="s">
        <v>58</v>
      </c>
      <c r="J1525" s="3" t="s">
        <v>60</v>
      </c>
      <c r="K1525" s="2" t="s">
        <v>19465</v>
      </c>
      <c r="L1525" s="2" t="s">
        <v>19440</v>
      </c>
      <c r="M1525" s="3" t="s">
        <v>98</v>
      </c>
      <c r="O1525" s="3" t="s">
        <v>64</v>
      </c>
      <c r="P1525" s="3" t="s">
        <v>316</v>
      </c>
      <c r="R1525" s="3" t="s">
        <v>67</v>
      </c>
      <c r="S1525" s="4">
        <v>5</v>
      </c>
      <c r="T1525" s="4">
        <v>5</v>
      </c>
      <c r="U1525" s="5" t="s">
        <v>669</v>
      </c>
      <c r="V1525" s="5" t="s">
        <v>669</v>
      </c>
      <c r="W1525" s="5" t="s">
        <v>8433</v>
      </c>
      <c r="X1525" s="5" t="s">
        <v>8433</v>
      </c>
      <c r="Y1525" s="4">
        <v>81</v>
      </c>
      <c r="Z1525" s="4">
        <v>59</v>
      </c>
      <c r="AA1525" s="4">
        <v>59</v>
      </c>
      <c r="AB1525" s="4">
        <v>1</v>
      </c>
      <c r="AC1525" s="4">
        <v>1</v>
      </c>
      <c r="AD1525" s="4">
        <v>1</v>
      </c>
      <c r="AE1525" s="4">
        <v>1</v>
      </c>
      <c r="AF1525" s="4">
        <v>0</v>
      </c>
      <c r="AG1525" s="4">
        <v>0</v>
      </c>
      <c r="AH1525" s="4">
        <v>0</v>
      </c>
      <c r="AI1525" s="4">
        <v>0</v>
      </c>
      <c r="AJ1525" s="4">
        <v>1</v>
      </c>
      <c r="AK1525" s="4">
        <v>1</v>
      </c>
      <c r="AL1525" s="4">
        <v>0</v>
      </c>
      <c r="AM1525" s="4">
        <v>0</v>
      </c>
      <c r="AN1525" s="4">
        <v>0</v>
      </c>
      <c r="AO1525" s="4">
        <v>0</v>
      </c>
      <c r="AP1525" s="3" t="s">
        <v>58</v>
      </c>
      <c r="AQ1525" s="3" t="s">
        <v>58</v>
      </c>
      <c r="AS1525" s="6" t="str">
        <f>HYPERLINK("https://creighton-primo.hosted.exlibrisgroup.com/primo-explore/search?tab=default_tab&amp;search_scope=EVERYTHING&amp;vid=01CRU&amp;lang=en_US&amp;offset=0&amp;query=any,contains,991001151349702656","Catalog Record")</f>
        <v>Catalog Record</v>
      </c>
      <c r="AT1525" s="6" t="str">
        <f>HYPERLINK("http://www.worldcat.org/oclc/16806213","WorldCat Record")</f>
        <v>WorldCat Record</v>
      </c>
      <c r="AU1525" s="3" t="s">
        <v>19466</v>
      </c>
      <c r="AV1525" s="3" t="s">
        <v>19467</v>
      </c>
      <c r="AW1525" s="3" t="s">
        <v>19468</v>
      </c>
      <c r="AX1525" s="3" t="s">
        <v>19468</v>
      </c>
      <c r="AY1525" s="3" t="s">
        <v>19469</v>
      </c>
      <c r="AZ1525" s="3" t="s">
        <v>74</v>
      </c>
      <c r="BB1525" s="3" t="s">
        <v>19470</v>
      </c>
      <c r="BC1525" s="3" t="s">
        <v>19471</v>
      </c>
      <c r="BD1525" s="3" t="s">
        <v>19472</v>
      </c>
    </row>
    <row r="1526" spans="1:56" ht="42.75" customHeight="1" x14ac:dyDescent="0.25">
      <c r="A1526" s="7" t="s">
        <v>58</v>
      </c>
      <c r="B1526" s="2" t="s">
        <v>19473</v>
      </c>
      <c r="C1526" s="2" t="s">
        <v>19474</v>
      </c>
      <c r="D1526" s="2" t="s">
        <v>19475</v>
      </c>
      <c r="F1526" s="3" t="s">
        <v>58</v>
      </c>
      <c r="G1526" s="3" t="s">
        <v>59</v>
      </c>
      <c r="H1526" s="3" t="s">
        <v>58</v>
      </c>
      <c r="I1526" s="3" t="s">
        <v>58</v>
      </c>
      <c r="J1526" s="3" t="s">
        <v>60</v>
      </c>
      <c r="K1526" s="2" t="s">
        <v>19476</v>
      </c>
      <c r="L1526" s="2" t="s">
        <v>19477</v>
      </c>
      <c r="M1526" s="3" t="s">
        <v>642</v>
      </c>
      <c r="N1526" s="2" t="s">
        <v>1844</v>
      </c>
      <c r="O1526" s="3" t="s">
        <v>64</v>
      </c>
      <c r="P1526" s="3" t="s">
        <v>316</v>
      </c>
      <c r="R1526" s="3" t="s">
        <v>67</v>
      </c>
      <c r="S1526" s="4">
        <v>6</v>
      </c>
      <c r="T1526" s="4">
        <v>6</v>
      </c>
      <c r="U1526" s="5" t="s">
        <v>19478</v>
      </c>
      <c r="V1526" s="5" t="s">
        <v>19478</v>
      </c>
      <c r="W1526" s="5" t="s">
        <v>11495</v>
      </c>
      <c r="X1526" s="5" t="s">
        <v>11495</v>
      </c>
      <c r="Y1526" s="4">
        <v>72</v>
      </c>
      <c r="Z1526" s="4">
        <v>53</v>
      </c>
      <c r="AA1526" s="4">
        <v>113</v>
      </c>
      <c r="AB1526" s="4">
        <v>1</v>
      </c>
      <c r="AC1526" s="4">
        <v>1</v>
      </c>
      <c r="AD1526" s="4">
        <v>1</v>
      </c>
      <c r="AE1526" s="4">
        <v>3</v>
      </c>
      <c r="AF1526" s="4">
        <v>0</v>
      </c>
      <c r="AG1526" s="4">
        <v>1</v>
      </c>
      <c r="AH1526" s="4">
        <v>0</v>
      </c>
      <c r="AI1526" s="4">
        <v>1</v>
      </c>
      <c r="AJ1526" s="4">
        <v>1</v>
      </c>
      <c r="AK1526" s="4">
        <v>2</v>
      </c>
      <c r="AL1526" s="4">
        <v>0</v>
      </c>
      <c r="AM1526" s="4">
        <v>0</v>
      </c>
      <c r="AN1526" s="4">
        <v>0</v>
      </c>
      <c r="AO1526" s="4">
        <v>0</v>
      </c>
      <c r="AP1526" s="3" t="s">
        <v>58</v>
      </c>
      <c r="AQ1526" s="3" t="s">
        <v>58</v>
      </c>
      <c r="AS1526" s="6" t="str">
        <f>HYPERLINK("https://creighton-primo.hosted.exlibrisgroup.com/primo-explore/search?tab=default_tab&amp;search_scope=EVERYTHING&amp;vid=01CRU&amp;lang=en_US&amp;offset=0&amp;query=any,contains,991001933259702656","Catalog Record")</f>
        <v>Catalog Record</v>
      </c>
      <c r="AT1526" s="6" t="str">
        <f>HYPERLINK("http://www.worldcat.org/oclc/24428926","WorldCat Record")</f>
        <v>WorldCat Record</v>
      </c>
      <c r="AU1526" s="3" t="s">
        <v>19479</v>
      </c>
      <c r="AV1526" s="3" t="s">
        <v>19480</v>
      </c>
      <c r="AW1526" s="3" t="s">
        <v>19481</v>
      </c>
      <c r="AX1526" s="3" t="s">
        <v>19481</v>
      </c>
      <c r="AY1526" s="3" t="s">
        <v>19482</v>
      </c>
      <c r="AZ1526" s="3" t="s">
        <v>74</v>
      </c>
      <c r="BB1526" s="3" t="s">
        <v>19483</v>
      </c>
      <c r="BC1526" s="3" t="s">
        <v>19484</v>
      </c>
      <c r="BD1526" s="3" t="s">
        <v>19485</v>
      </c>
    </row>
    <row r="1527" spans="1:56" ht="42.75" customHeight="1" x14ac:dyDescent="0.25">
      <c r="A1527" s="7" t="s">
        <v>58</v>
      </c>
      <c r="B1527" s="2" t="s">
        <v>19486</v>
      </c>
      <c r="C1527" s="2" t="s">
        <v>19487</v>
      </c>
      <c r="D1527" s="2" t="s">
        <v>19488</v>
      </c>
      <c r="F1527" s="3" t="s">
        <v>58</v>
      </c>
      <c r="G1527" s="3" t="s">
        <v>59</v>
      </c>
      <c r="H1527" s="3" t="s">
        <v>58</v>
      </c>
      <c r="I1527" s="3" t="s">
        <v>58</v>
      </c>
      <c r="J1527" s="3" t="s">
        <v>60</v>
      </c>
      <c r="K1527" s="2" t="s">
        <v>19489</v>
      </c>
      <c r="L1527" s="2" t="s">
        <v>19490</v>
      </c>
      <c r="M1527" s="3" t="s">
        <v>114</v>
      </c>
      <c r="O1527" s="3" t="s">
        <v>64</v>
      </c>
      <c r="P1527" s="3" t="s">
        <v>83</v>
      </c>
      <c r="R1527" s="3" t="s">
        <v>67</v>
      </c>
      <c r="S1527" s="4">
        <v>3</v>
      </c>
      <c r="T1527" s="4">
        <v>3</v>
      </c>
      <c r="U1527" s="5" t="s">
        <v>19491</v>
      </c>
      <c r="V1527" s="5" t="s">
        <v>19491</v>
      </c>
      <c r="W1527" s="5" t="s">
        <v>8983</v>
      </c>
      <c r="X1527" s="5" t="s">
        <v>8983</v>
      </c>
      <c r="Y1527" s="4">
        <v>172</v>
      </c>
      <c r="Z1527" s="4">
        <v>152</v>
      </c>
      <c r="AA1527" s="4">
        <v>267</v>
      </c>
      <c r="AB1527" s="4">
        <v>3</v>
      </c>
      <c r="AC1527" s="4">
        <v>3</v>
      </c>
      <c r="AD1527" s="4">
        <v>4</v>
      </c>
      <c r="AE1527" s="4">
        <v>5</v>
      </c>
      <c r="AF1527" s="4">
        <v>1</v>
      </c>
      <c r="AG1527" s="4">
        <v>1</v>
      </c>
      <c r="AH1527" s="4">
        <v>1</v>
      </c>
      <c r="AI1527" s="4">
        <v>2</v>
      </c>
      <c r="AJ1527" s="4">
        <v>1</v>
      </c>
      <c r="AK1527" s="4">
        <v>2</v>
      </c>
      <c r="AL1527" s="4">
        <v>2</v>
      </c>
      <c r="AM1527" s="4">
        <v>2</v>
      </c>
      <c r="AN1527" s="4">
        <v>0</v>
      </c>
      <c r="AO1527" s="4">
        <v>0</v>
      </c>
      <c r="AP1527" s="3" t="s">
        <v>58</v>
      </c>
      <c r="AQ1527" s="3" t="s">
        <v>86</v>
      </c>
      <c r="AR1527" s="6" t="str">
        <f>HYPERLINK("http://catalog.hathitrust.org/Record/000164439","HathiTrust Record")</f>
        <v>HathiTrust Record</v>
      </c>
      <c r="AS1527" s="6" t="str">
        <f>HYPERLINK("https://creighton-primo.hosted.exlibrisgroup.com/primo-explore/search?tab=default_tab&amp;search_scope=EVERYTHING&amp;vid=01CRU&amp;lang=en_US&amp;offset=0&amp;query=any,contains,991000371029702656","Catalog Record")</f>
        <v>Catalog Record</v>
      </c>
      <c r="AT1527" s="6" t="str">
        <f>HYPERLINK("http://www.worldcat.org/oclc/10430421","WorldCat Record")</f>
        <v>WorldCat Record</v>
      </c>
      <c r="AU1527" s="3" t="s">
        <v>19492</v>
      </c>
      <c r="AV1527" s="3" t="s">
        <v>19493</v>
      </c>
      <c r="AW1527" s="3" t="s">
        <v>19494</v>
      </c>
      <c r="AX1527" s="3" t="s">
        <v>19494</v>
      </c>
      <c r="AY1527" s="3" t="s">
        <v>19495</v>
      </c>
      <c r="AZ1527" s="3" t="s">
        <v>74</v>
      </c>
      <c r="BB1527" s="3" t="s">
        <v>19496</v>
      </c>
      <c r="BC1527" s="3" t="s">
        <v>19497</v>
      </c>
      <c r="BD1527" s="3" t="s">
        <v>19498</v>
      </c>
    </row>
    <row r="1528" spans="1:56" ht="42.75" customHeight="1" x14ac:dyDescent="0.25">
      <c r="A1528" s="7" t="s">
        <v>58</v>
      </c>
      <c r="B1528" s="2" t="s">
        <v>19499</v>
      </c>
      <c r="C1528" s="2" t="s">
        <v>19500</v>
      </c>
      <c r="D1528" s="2" t="s">
        <v>19501</v>
      </c>
      <c r="F1528" s="3" t="s">
        <v>58</v>
      </c>
      <c r="G1528" s="3" t="s">
        <v>59</v>
      </c>
      <c r="H1528" s="3" t="s">
        <v>58</v>
      </c>
      <c r="I1528" s="3" t="s">
        <v>86</v>
      </c>
      <c r="J1528" s="3" t="s">
        <v>60</v>
      </c>
      <c r="K1528" s="2" t="s">
        <v>19489</v>
      </c>
      <c r="L1528" s="2" t="s">
        <v>19502</v>
      </c>
      <c r="M1528" s="3" t="s">
        <v>737</v>
      </c>
      <c r="N1528" s="2" t="s">
        <v>1844</v>
      </c>
      <c r="O1528" s="3" t="s">
        <v>64</v>
      </c>
      <c r="P1528" s="3" t="s">
        <v>2609</v>
      </c>
      <c r="R1528" s="3" t="s">
        <v>67</v>
      </c>
      <c r="S1528" s="4">
        <v>1</v>
      </c>
      <c r="T1528" s="4">
        <v>1</v>
      </c>
      <c r="U1528" s="5" t="s">
        <v>19503</v>
      </c>
      <c r="V1528" s="5" t="s">
        <v>19503</v>
      </c>
      <c r="W1528" s="5" t="s">
        <v>19504</v>
      </c>
      <c r="X1528" s="5" t="s">
        <v>19504</v>
      </c>
      <c r="Y1528" s="4">
        <v>183</v>
      </c>
      <c r="Z1528" s="4">
        <v>142</v>
      </c>
      <c r="AA1528" s="4">
        <v>397</v>
      </c>
      <c r="AB1528" s="4">
        <v>1</v>
      </c>
      <c r="AC1528" s="4">
        <v>3</v>
      </c>
      <c r="AD1528" s="4">
        <v>2</v>
      </c>
      <c r="AE1528" s="4">
        <v>9</v>
      </c>
      <c r="AF1528" s="4">
        <v>1</v>
      </c>
      <c r="AG1528" s="4">
        <v>3</v>
      </c>
      <c r="AH1528" s="4">
        <v>1</v>
      </c>
      <c r="AI1528" s="4">
        <v>2</v>
      </c>
      <c r="AJ1528" s="4">
        <v>1</v>
      </c>
      <c r="AK1528" s="4">
        <v>4</v>
      </c>
      <c r="AL1528" s="4">
        <v>0</v>
      </c>
      <c r="AM1528" s="4">
        <v>1</v>
      </c>
      <c r="AN1528" s="4">
        <v>0</v>
      </c>
      <c r="AO1528" s="4">
        <v>0</v>
      </c>
      <c r="AP1528" s="3" t="s">
        <v>58</v>
      </c>
      <c r="AQ1528" s="3" t="s">
        <v>86</v>
      </c>
      <c r="AR1528" s="6" t="str">
        <f>HYPERLINK("http://catalog.hathitrust.org/Record/002792358","HathiTrust Record")</f>
        <v>HathiTrust Record</v>
      </c>
      <c r="AS1528" s="6" t="str">
        <f>HYPERLINK("https://creighton-primo.hosted.exlibrisgroup.com/primo-explore/search?tab=default_tab&amp;search_scope=EVERYTHING&amp;vid=01CRU&amp;lang=en_US&amp;offset=0&amp;query=any,contains,991002250139702656","Catalog Record")</f>
        <v>Catalog Record</v>
      </c>
      <c r="AT1528" s="6" t="str">
        <f>HYPERLINK("http://www.worldcat.org/oclc/29032700","WorldCat Record")</f>
        <v>WorldCat Record</v>
      </c>
      <c r="AU1528" s="3" t="s">
        <v>19505</v>
      </c>
      <c r="AV1528" s="3" t="s">
        <v>19506</v>
      </c>
      <c r="AW1528" s="3" t="s">
        <v>19507</v>
      </c>
      <c r="AX1528" s="3" t="s">
        <v>19507</v>
      </c>
      <c r="AY1528" s="3" t="s">
        <v>19508</v>
      </c>
      <c r="AZ1528" s="3" t="s">
        <v>74</v>
      </c>
      <c r="BB1528" s="3" t="s">
        <v>19509</v>
      </c>
      <c r="BC1528" s="3" t="s">
        <v>19510</v>
      </c>
      <c r="BD1528" s="3" t="s">
        <v>19511</v>
      </c>
    </row>
    <row r="1529" spans="1:56" ht="42.75" customHeight="1" x14ac:dyDescent="0.25">
      <c r="A1529" s="7" t="s">
        <v>58</v>
      </c>
      <c r="B1529" s="2" t="s">
        <v>19512</v>
      </c>
      <c r="C1529" s="2" t="s">
        <v>19513</v>
      </c>
      <c r="D1529" s="2" t="s">
        <v>19514</v>
      </c>
      <c r="F1529" s="3" t="s">
        <v>58</v>
      </c>
      <c r="G1529" s="3" t="s">
        <v>59</v>
      </c>
      <c r="H1529" s="3" t="s">
        <v>58</v>
      </c>
      <c r="I1529" s="3" t="s">
        <v>58</v>
      </c>
      <c r="J1529" s="3" t="s">
        <v>60</v>
      </c>
      <c r="L1529" s="2" t="s">
        <v>1588</v>
      </c>
      <c r="M1529" s="3" t="s">
        <v>586</v>
      </c>
      <c r="N1529" s="2" t="s">
        <v>2517</v>
      </c>
      <c r="O1529" s="3" t="s">
        <v>64</v>
      </c>
      <c r="P1529" s="3" t="s">
        <v>316</v>
      </c>
      <c r="R1529" s="3" t="s">
        <v>67</v>
      </c>
      <c r="S1529" s="4">
        <v>9</v>
      </c>
      <c r="T1529" s="4">
        <v>9</v>
      </c>
      <c r="U1529" s="5" t="s">
        <v>19515</v>
      </c>
      <c r="V1529" s="5" t="s">
        <v>19515</v>
      </c>
      <c r="W1529" s="5" t="s">
        <v>19516</v>
      </c>
      <c r="X1529" s="5" t="s">
        <v>19516</v>
      </c>
      <c r="Y1529" s="4">
        <v>453</v>
      </c>
      <c r="Z1529" s="4">
        <v>376</v>
      </c>
      <c r="AA1529" s="4">
        <v>563</v>
      </c>
      <c r="AB1529" s="4">
        <v>2</v>
      </c>
      <c r="AC1529" s="4">
        <v>3</v>
      </c>
      <c r="AD1529" s="4">
        <v>9</v>
      </c>
      <c r="AE1529" s="4">
        <v>15</v>
      </c>
      <c r="AF1529" s="4">
        <v>5</v>
      </c>
      <c r="AG1529" s="4">
        <v>8</v>
      </c>
      <c r="AH1529" s="4">
        <v>2</v>
      </c>
      <c r="AI1529" s="4">
        <v>4</v>
      </c>
      <c r="AJ1529" s="4">
        <v>4</v>
      </c>
      <c r="AK1529" s="4">
        <v>5</v>
      </c>
      <c r="AL1529" s="4">
        <v>1</v>
      </c>
      <c r="AM1529" s="4">
        <v>1</v>
      </c>
      <c r="AN1529" s="4">
        <v>0</v>
      </c>
      <c r="AO1529" s="4">
        <v>0</v>
      </c>
      <c r="AP1529" s="3" t="s">
        <v>58</v>
      </c>
      <c r="AQ1529" s="3" t="s">
        <v>86</v>
      </c>
      <c r="AR1529" s="6" t="str">
        <f>HYPERLINK("http://catalog.hathitrust.org/Record/002233639","HathiTrust Record")</f>
        <v>HathiTrust Record</v>
      </c>
      <c r="AS1529" s="6" t="str">
        <f>HYPERLINK("https://creighton-primo.hosted.exlibrisgroup.com/primo-explore/search?tab=default_tab&amp;search_scope=EVERYTHING&amp;vid=01CRU&amp;lang=en_US&amp;offset=0&amp;query=any,contains,991005309229702656","Catalog Record")</f>
        <v>Catalog Record</v>
      </c>
      <c r="AT1529" s="6" t="str">
        <f>HYPERLINK("http://www.worldcat.org/oclc/22243545","WorldCat Record")</f>
        <v>WorldCat Record</v>
      </c>
      <c r="AU1529" s="3" t="s">
        <v>19517</v>
      </c>
      <c r="AV1529" s="3" t="s">
        <v>19518</v>
      </c>
      <c r="AW1529" s="3" t="s">
        <v>19519</v>
      </c>
      <c r="AX1529" s="3" t="s">
        <v>19519</v>
      </c>
      <c r="AY1529" s="3" t="s">
        <v>19520</v>
      </c>
      <c r="AZ1529" s="3" t="s">
        <v>74</v>
      </c>
      <c r="BB1529" s="3" t="s">
        <v>19521</v>
      </c>
      <c r="BC1529" s="3" t="s">
        <v>19522</v>
      </c>
      <c r="BD1529" s="3" t="s">
        <v>19523</v>
      </c>
    </row>
    <row r="1530" spans="1:56" ht="42.75" customHeight="1" x14ac:dyDescent="0.25">
      <c r="A1530" s="7" t="s">
        <v>58</v>
      </c>
      <c r="B1530" s="2" t="s">
        <v>19524</v>
      </c>
      <c r="C1530" s="2" t="s">
        <v>19525</v>
      </c>
      <c r="D1530" s="2" t="s">
        <v>19526</v>
      </c>
      <c r="F1530" s="3" t="s">
        <v>58</v>
      </c>
      <c r="G1530" s="3" t="s">
        <v>59</v>
      </c>
      <c r="H1530" s="3" t="s">
        <v>58</v>
      </c>
      <c r="I1530" s="3" t="s">
        <v>86</v>
      </c>
      <c r="J1530" s="3" t="s">
        <v>60</v>
      </c>
      <c r="L1530" s="2" t="s">
        <v>19527</v>
      </c>
      <c r="M1530" s="3" t="s">
        <v>586</v>
      </c>
      <c r="O1530" s="3" t="s">
        <v>64</v>
      </c>
      <c r="P1530" s="3" t="s">
        <v>83</v>
      </c>
      <c r="R1530" s="3" t="s">
        <v>67</v>
      </c>
      <c r="S1530" s="4">
        <v>12</v>
      </c>
      <c r="T1530" s="4">
        <v>12</v>
      </c>
      <c r="U1530" s="5" t="s">
        <v>4821</v>
      </c>
      <c r="V1530" s="5" t="s">
        <v>4821</v>
      </c>
      <c r="W1530" s="5" t="s">
        <v>2373</v>
      </c>
      <c r="X1530" s="5" t="s">
        <v>2373</v>
      </c>
      <c r="Y1530" s="4">
        <v>209</v>
      </c>
      <c r="Z1530" s="4">
        <v>154</v>
      </c>
      <c r="AA1530" s="4">
        <v>258</v>
      </c>
      <c r="AB1530" s="4">
        <v>2</v>
      </c>
      <c r="AC1530" s="4">
        <v>4</v>
      </c>
      <c r="AD1530" s="4">
        <v>3</v>
      </c>
      <c r="AE1530" s="4">
        <v>7</v>
      </c>
      <c r="AF1530" s="4">
        <v>0</v>
      </c>
      <c r="AG1530" s="4">
        <v>2</v>
      </c>
      <c r="AH1530" s="4">
        <v>1</v>
      </c>
      <c r="AI1530" s="4">
        <v>1</v>
      </c>
      <c r="AJ1530" s="4">
        <v>2</v>
      </c>
      <c r="AK1530" s="4">
        <v>4</v>
      </c>
      <c r="AL1530" s="4">
        <v>1</v>
      </c>
      <c r="AM1530" s="4">
        <v>2</v>
      </c>
      <c r="AN1530" s="4">
        <v>0</v>
      </c>
      <c r="AO1530" s="4">
        <v>0</v>
      </c>
      <c r="AP1530" s="3" t="s">
        <v>58</v>
      </c>
      <c r="AQ1530" s="3" t="s">
        <v>86</v>
      </c>
      <c r="AR1530" s="6" t="str">
        <f>HYPERLINK("http://catalog.hathitrust.org/Record/004495130","HathiTrust Record")</f>
        <v>HathiTrust Record</v>
      </c>
      <c r="AS1530" s="6" t="str">
        <f>HYPERLINK("https://creighton-primo.hosted.exlibrisgroup.com/primo-explore/search?tab=default_tab&amp;search_scope=EVERYTHING&amp;vid=01CRU&amp;lang=en_US&amp;offset=0&amp;query=any,contains,991001737059702656","Catalog Record")</f>
        <v>Catalog Record</v>
      </c>
      <c r="AT1530" s="6" t="str">
        <f>HYPERLINK("http://www.worldcat.org/oclc/21973485","WorldCat Record")</f>
        <v>WorldCat Record</v>
      </c>
      <c r="AU1530" s="3" t="s">
        <v>19528</v>
      </c>
      <c r="AV1530" s="3" t="s">
        <v>19529</v>
      </c>
      <c r="AW1530" s="3" t="s">
        <v>19530</v>
      </c>
      <c r="AX1530" s="3" t="s">
        <v>19530</v>
      </c>
      <c r="AY1530" s="3" t="s">
        <v>19531</v>
      </c>
      <c r="AZ1530" s="3" t="s">
        <v>74</v>
      </c>
      <c r="BB1530" s="3" t="s">
        <v>19532</v>
      </c>
      <c r="BC1530" s="3" t="s">
        <v>19533</v>
      </c>
      <c r="BD1530" s="3" t="s">
        <v>19534</v>
      </c>
    </row>
    <row r="1531" spans="1:56" ht="42.75" customHeight="1" x14ac:dyDescent="0.25">
      <c r="A1531" s="7" t="s">
        <v>58</v>
      </c>
      <c r="B1531" s="2" t="s">
        <v>19535</v>
      </c>
      <c r="C1531" s="2" t="s">
        <v>19536</v>
      </c>
      <c r="D1531" s="2" t="s">
        <v>19526</v>
      </c>
      <c r="F1531" s="3" t="s">
        <v>58</v>
      </c>
      <c r="G1531" s="3" t="s">
        <v>59</v>
      </c>
      <c r="H1531" s="3" t="s">
        <v>86</v>
      </c>
      <c r="I1531" s="3" t="s">
        <v>86</v>
      </c>
      <c r="J1531" s="3" t="s">
        <v>60</v>
      </c>
      <c r="L1531" s="2" t="s">
        <v>19537</v>
      </c>
      <c r="M1531" s="3" t="s">
        <v>765</v>
      </c>
      <c r="N1531" s="2" t="s">
        <v>1844</v>
      </c>
      <c r="O1531" s="3" t="s">
        <v>64</v>
      </c>
      <c r="P1531" s="3" t="s">
        <v>83</v>
      </c>
      <c r="R1531" s="3" t="s">
        <v>67</v>
      </c>
      <c r="S1531" s="4">
        <v>14</v>
      </c>
      <c r="T1531" s="4">
        <v>37</v>
      </c>
      <c r="U1531" s="5" t="s">
        <v>19538</v>
      </c>
      <c r="V1531" s="5" t="s">
        <v>19538</v>
      </c>
      <c r="W1531" s="5" t="s">
        <v>19539</v>
      </c>
      <c r="X1531" s="5" t="s">
        <v>19539</v>
      </c>
      <c r="Y1531" s="4">
        <v>183</v>
      </c>
      <c r="Z1531" s="4">
        <v>131</v>
      </c>
      <c r="AA1531" s="4">
        <v>258</v>
      </c>
      <c r="AB1531" s="4">
        <v>3</v>
      </c>
      <c r="AC1531" s="4">
        <v>4</v>
      </c>
      <c r="AD1531" s="4">
        <v>5</v>
      </c>
      <c r="AE1531" s="4">
        <v>7</v>
      </c>
      <c r="AF1531" s="4">
        <v>2</v>
      </c>
      <c r="AG1531" s="4">
        <v>2</v>
      </c>
      <c r="AH1531" s="4">
        <v>1</v>
      </c>
      <c r="AI1531" s="4">
        <v>1</v>
      </c>
      <c r="AJ1531" s="4">
        <v>3</v>
      </c>
      <c r="AK1531" s="4">
        <v>4</v>
      </c>
      <c r="AL1531" s="4">
        <v>1</v>
      </c>
      <c r="AM1531" s="4">
        <v>2</v>
      </c>
      <c r="AN1531" s="4">
        <v>0</v>
      </c>
      <c r="AO1531" s="4">
        <v>0</v>
      </c>
      <c r="AP1531" s="3" t="s">
        <v>58</v>
      </c>
      <c r="AQ1531" s="3" t="s">
        <v>86</v>
      </c>
      <c r="AR1531" s="6" t="str">
        <f>HYPERLINK("http://catalog.hathitrust.org/Record/002938400","HathiTrust Record")</f>
        <v>HathiTrust Record</v>
      </c>
      <c r="AS1531" s="6" t="str">
        <f>HYPERLINK("https://creighton-primo.hosted.exlibrisgroup.com/primo-explore/search?tab=default_tab&amp;search_scope=EVERYTHING&amp;vid=01CRU&amp;lang=en_US&amp;offset=0&amp;query=any,contains,991001755809702656","Catalog Record")</f>
        <v>Catalog Record</v>
      </c>
      <c r="AT1531" s="6" t="str">
        <f>HYPERLINK("http://www.worldcat.org/oclc/30780184","WorldCat Record")</f>
        <v>WorldCat Record</v>
      </c>
      <c r="AU1531" s="3" t="s">
        <v>19528</v>
      </c>
      <c r="AV1531" s="3" t="s">
        <v>19540</v>
      </c>
      <c r="AW1531" s="3" t="s">
        <v>19541</v>
      </c>
      <c r="AX1531" s="3" t="s">
        <v>19541</v>
      </c>
      <c r="AY1531" s="3" t="s">
        <v>19542</v>
      </c>
      <c r="AZ1531" s="3" t="s">
        <v>74</v>
      </c>
      <c r="BB1531" s="3" t="s">
        <v>19543</v>
      </c>
      <c r="BC1531" s="3" t="s">
        <v>19544</v>
      </c>
      <c r="BD1531" s="3" t="s">
        <v>19545</v>
      </c>
    </row>
    <row r="1532" spans="1:56" ht="42.75" customHeight="1" x14ac:dyDescent="0.25">
      <c r="A1532" s="7" t="s">
        <v>58</v>
      </c>
      <c r="B1532" s="2" t="s">
        <v>19546</v>
      </c>
      <c r="C1532" s="2" t="s">
        <v>19547</v>
      </c>
      <c r="D1532" s="2" t="s">
        <v>19548</v>
      </c>
      <c r="F1532" s="3" t="s">
        <v>58</v>
      </c>
      <c r="G1532" s="3" t="s">
        <v>59</v>
      </c>
      <c r="H1532" s="3" t="s">
        <v>58</v>
      </c>
      <c r="I1532" s="3" t="s">
        <v>58</v>
      </c>
      <c r="J1532" s="3" t="s">
        <v>60</v>
      </c>
      <c r="K1532" s="2" t="s">
        <v>19549</v>
      </c>
      <c r="L1532" s="2" t="s">
        <v>19550</v>
      </c>
      <c r="M1532" s="3" t="s">
        <v>480</v>
      </c>
      <c r="O1532" s="3" t="s">
        <v>64</v>
      </c>
      <c r="P1532" s="3" t="s">
        <v>359</v>
      </c>
      <c r="R1532" s="3" t="s">
        <v>67</v>
      </c>
      <c r="S1532" s="4">
        <v>11</v>
      </c>
      <c r="T1532" s="4">
        <v>11</v>
      </c>
      <c r="U1532" s="5" t="s">
        <v>863</v>
      </c>
      <c r="V1532" s="5" t="s">
        <v>863</v>
      </c>
      <c r="W1532" s="5" t="s">
        <v>19551</v>
      </c>
      <c r="X1532" s="5" t="s">
        <v>19551</v>
      </c>
      <c r="Y1532" s="4">
        <v>130</v>
      </c>
      <c r="Z1532" s="4">
        <v>111</v>
      </c>
      <c r="AA1532" s="4">
        <v>113</v>
      </c>
      <c r="AB1532" s="4">
        <v>1</v>
      </c>
      <c r="AC1532" s="4">
        <v>1</v>
      </c>
      <c r="AD1532" s="4">
        <v>1</v>
      </c>
      <c r="AE1532" s="4">
        <v>1</v>
      </c>
      <c r="AF1532" s="4">
        <v>0</v>
      </c>
      <c r="AG1532" s="4">
        <v>0</v>
      </c>
      <c r="AH1532" s="4">
        <v>1</v>
      </c>
      <c r="AI1532" s="4">
        <v>1</v>
      </c>
      <c r="AJ1532" s="4">
        <v>1</v>
      </c>
      <c r="AK1532" s="4">
        <v>1</v>
      </c>
      <c r="AL1532" s="4">
        <v>0</v>
      </c>
      <c r="AM1532" s="4">
        <v>0</v>
      </c>
      <c r="AN1532" s="4">
        <v>0</v>
      </c>
      <c r="AO1532" s="4">
        <v>0</v>
      </c>
      <c r="AP1532" s="3" t="s">
        <v>58</v>
      </c>
      <c r="AQ1532" s="3" t="s">
        <v>86</v>
      </c>
      <c r="AR1532" s="6" t="str">
        <f>HYPERLINK("http://catalog.hathitrust.org/Record/001827285","HathiTrust Record")</f>
        <v>HathiTrust Record</v>
      </c>
      <c r="AS1532" s="6" t="str">
        <f>HYPERLINK("https://creighton-primo.hosted.exlibrisgroup.com/primo-explore/search?tab=default_tab&amp;search_scope=EVERYTHING&amp;vid=01CRU&amp;lang=en_US&amp;offset=0&amp;query=any,contains,991001534949702656","Catalog Record")</f>
        <v>Catalog Record</v>
      </c>
      <c r="AT1532" s="6" t="str">
        <f>HYPERLINK("http://www.worldcat.org/oclc/20057465","WorldCat Record")</f>
        <v>WorldCat Record</v>
      </c>
      <c r="AU1532" s="3" t="s">
        <v>19552</v>
      </c>
      <c r="AV1532" s="3" t="s">
        <v>19553</v>
      </c>
      <c r="AW1532" s="3" t="s">
        <v>19554</v>
      </c>
      <c r="AX1532" s="3" t="s">
        <v>19554</v>
      </c>
      <c r="AY1532" s="3" t="s">
        <v>19555</v>
      </c>
      <c r="AZ1532" s="3" t="s">
        <v>74</v>
      </c>
      <c r="BB1532" s="3" t="s">
        <v>19556</v>
      </c>
      <c r="BC1532" s="3" t="s">
        <v>19557</v>
      </c>
      <c r="BD1532" s="3" t="s">
        <v>19558</v>
      </c>
    </row>
    <row r="1533" spans="1:56" ht="42.75" customHeight="1" x14ac:dyDescent="0.25">
      <c r="A1533" s="7" t="s">
        <v>58</v>
      </c>
      <c r="B1533" s="2" t="s">
        <v>19559</v>
      </c>
      <c r="C1533" s="2" t="s">
        <v>19560</v>
      </c>
      <c r="D1533" s="2" t="s">
        <v>19561</v>
      </c>
      <c r="F1533" s="3" t="s">
        <v>58</v>
      </c>
      <c r="G1533" s="3" t="s">
        <v>59</v>
      </c>
      <c r="H1533" s="3" t="s">
        <v>58</v>
      </c>
      <c r="I1533" s="3" t="s">
        <v>58</v>
      </c>
      <c r="J1533" s="3" t="s">
        <v>60</v>
      </c>
      <c r="L1533" s="2" t="s">
        <v>2411</v>
      </c>
      <c r="M1533" s="3" t="s">
        <v>888</v>
      </c>
      <c r="O1533" s="3" t="s">
        <v>64</v>
      </c>
      <c r="P1533" s="3" t="s">
        <v>83</v>
      </c>
      <c r="Q1533" s="2" t="s">
        <v>19562</v>
      </c>
      <c r="R1533" s="3" t="s">
        <v>67</v>
      </c>
      <c r="S1533" s="4">
        <v>4</v>
      </c>
      <c r="T1533" s="4">
        <v>4</v>
      </c>
      <c r="U1533" s="5" t="s">
        <v>19563</v>
      </c>
      <c r="V1533" s="5" t="s">
        <v>19563</v>
      </c>
      <c r="W1533" s="5" t="s">
        <v>16198</v>
      </c>
      <c r="X1533" s="5" t="s">
        <v>16198</v>
      </c>
      <c r="Y1533" s="4">
        <v>215</v>
      </c>
      <c r="Z1533" s="4">
        <v>146</v>
      </c>
      <c r="AA1533" s="4">
        <v>146</v>
      </c>
      <c r="AB1533" s="4">
        <v>2</v>
      </c>
      <c r="AC1533" s="4">
        <v>2</v>
      </c>
      <c r="AD1533" s="4">
        <v>5</v>
      </c>
      <c r="AE1533" s="4">
        <v>5</v>
      </c>
      <c r="AF1533" s="4">
        <v>2</v>
      </c>
      <c r="AG1533" s="4">
        <v>2</v>
      </c>
      <c r="AH1533" s="4">
        <v>1</v>
      </c>
      <c r="AI1533" s="4">
        <v>1</v>
      </c>
      <c r="AJ1533" s="4">
        <v>4</v>
      </c>
      <c r="AK1533" s="4">
        <v>4</v>
      </c>
      <c r="AL1533" s="4">
        <v>1</v>
      </c>
      <c r="AM1533" s="4">
        <v>1</v>
      </c>
      <c r="AN1533" s="4">
        <v>0</v>
      </c>
      <c r="AO1533" s="4">
        <v>0</v>
      </c>
      <c r="AP1533" s="3" t="s">
        <v>58</v>
      </c>
      <c r="AQ1533" s="3" t="s">
        <v>58</v>
      </c>
      <c r="AS1533" s="6" t="str">
        <f>HYPERLINK("https://creighton-primo.hosted.exlibrisgroup.com/primo-explore/search?tab=default_tab&amp;search_scope=EVERYTHING&amp;vid=01CRU&amp;lang=en_US&amp;offset=0&amp;query=any,contains,991002816069702656","Catalog Record")</f>
        <v>Catalog Record</v>
      </c>
      <c r="AT1533" s="6" t="str">
        <f>HYPERLINK("http://www.worldcat.org/oclc/36994098","WorldCat Record")</f>
        <v>WorldCat Record</v>
      </c>
      <c r="AU1533" s="3" t="s">
        <v>19564</v>
      </c>
      <c r="AV1533" s="3" t="s">
        <v>19565</v>
      </c>
      <c r="AW1533" s="3" t="s">
        <v>19566</v>
      </c>
      <c r="AX1533" s="3" t="s">
        <v>19566</v>
      </c>
      <c r="AY1533" s="3" t="s">
        <v>19567</v>
      </c>
      <c r="AZ1533" s="3" t="s">
        <v>74</v>
      </c>
      <c r="BB1533" s="3" t="s">
        <v>19568</v>
      </c>
      <c r="BC1533" s="3" t="s">
        <v>19569</v>
      </c>
      <c r="BD1533" s="3" t="s">
        <v>19570</v>
      </c>
    </row>
    <row r="1534" spans="1:56" ht="42.75" customHeight="1" x14ac:dyDescent="0.25">
      <c r="A1534" s="7" t="s">
        <v>58</v>
      </c>
      <c r="B1534" s="2" t="s">
        <v>19571</v>
      </c>
      <c r="C1534" s="2" t="s">
        <v>19572</v>
      </c>
      <c r="D1534" s="2" t="s">
        <v>19573</v>
      </c>
      <c r="F1534" s="3" t="s">
        <v>58</v>
      </c>
      <c r="G1534" s="3" t="s">
        <v>59</v>
      </c>
      <c r="H1534" s="3" t="s">
        <v>86</v>
      </c>
      <c r="I1534" s="3" t="s">
        <v>58</v>
      </c>
      <c r="J1534" s="3" t="s">
        <v>60</v>
      </c>
      <c r="K1534" s="2" t="s">
        <v>19574</v>
      </c>
      <c r="L1534" s="2" t="s">
        <v>19575</v>
      </c>
      <c r="M1534" s="3" t="s">
        <v>737</v>
      </c>
      <c r="O1534" s="3" t="s">
        <v>64</v>
      </c>
      <c r="P1534" s="3" t="s">
        <v>83</v>
      </c>
      <c r="Q1534" s="2" t="s">
        <v>19576</v>
      </c>
      <c r="R1534" s="3" t="s">
        <v>67</v>
      </c>
      <c r="S1534" s="4">
        <v>14</v>
      </c>
      <c r="T1534" s="4">
        <v>19</v>
      </c>
      <c r="U1534" s="5" t="s">
        <v>19563</v>
      </c>
      <c r="V1534" s="5" t="s">
        <v>19563</v>
      </c>
      <c r="W1534" s="5" t="s">
        <v>19577</v>
      </c>
      <c r="X1534" s="5" t="s">
        <v>19578</v>
      </c>
      <c r="Y1534" s="4">
        <v>256</v>
      </c>
      <c r="Z1534" s="4">
        <v>174</v>
      </c>
      <c r="AA1534" s="4">
        <v>175</v>
      </c>
      <c r="AB1534" s="4">
        <v>4</v>
      </c>
      <c r="AC1534" s="4">
        <v>4</v>
      </c>
      <c r="AD1534" s="4">
        <v>6</v>
      </c>
      <c r="AE1534" s="4">
        <v>6</v>
      </c>
      <c r="AF1534" s="4">
        <v>3</v>
      </c>
      <c r="AG1534" s="4">
        <v>3</v>
      </c>
      <c r="AH1534" s="4">
        <v>1</v>
      </c>
      <c r="AI1534" s="4">
        <v>1</v>
      </c>
      <c r="AJ1534" s="4">
        <v>3</v>
      </c>
      <c r="AK1534" s="4">
        <v>3</v>
      </c>
      <c r="AL1534" s="4">
        <v>2</v>
      </c>
      <c r="AM1534" s="4">
        <v>2</v>
      </c>
      <c r="AN1534" s="4">
        <v>0</v>
      </c>
      <c r="AO1534" s="4">
        <v>0</v>
      </c>
      <c r="AP1534" s="3" t="s">
        <v>58</v>
      </c>
      <c r="AQ1534" s="3" t="s">
        <v>86</v>
      </c>
      <c r="AR1534" s="6" t="str">
        <f>HYPERLINK("http://catalog.hathitrust.org/Record/004531496","HathiTrust Record")</f>
        <v>HathiTrust Record</v>
      </c>
      <c r="AS1534" s="6" t="str">
        <f>HYPERLINK("https://creighton-primo.hosted.exlibrisgroup.com/primo-explore/search?tab=default_tab&amp;search_scope=EVERYTHING&amp;vid=01CRU&amp;lang=en_US&amp;offset=0&amp;query=any,contains,991001755769702656","Catalog Record")</f>
        <v>Catalog Record</v>
      </c>
      <c r="AT1534" s="6" t="str">
        <f>HYPERLINK("http://www.worldcat.org/oclc/28888256","WorldCat Record")</f>
        <v>WorldCat Record</v>
      </c>
      <c r="AU1534" s="3" t="s">
        <v>19579</v>
      </c>
      <c r="AV1534" s="3" t="s">
        <v>19580</v>
      </c>
      <c r="AW1534" s="3" t="s">
        <v>19581</v>
      </c>
      <c r="AX1534" s="3" t="s">
        <v>19581</v>
      </c>
      <c r="AY1534" s="3" t="s">
        <v>19582</v>
      </c>
      <c r="AZ1534" s="3" t="s">
        <v>74</v>
      </c>
      <c r="BB1534" s="3" t="s">
        <v>19583</v>
      </c>
      <c r="BC1534" s="3" t="s">
        <v>19584</v>
      </c>
      <c r="BD1534" s="3" t="s">
        <v>19585</v>
      </c>
    </row>
    <row r="1535" spans="1:56" ht="42.75" customHeight="1" x14ac:dyDescent="0.25">
      <c r="A1535" s="7" t="s">
        <v>58</v>
      </c>
      <c r="B1535" s="2" t="s">
        <v>19586</v>
      </c>
      <c r="C1535" s="2" t="s">
        <v>19587</v>
      </c>
      <c r="D1535" s="2" t="s">
        <v>19588</v>
      </c>
      <c r="F1535" s="3" t="s">
        <v>58</v>
      </c>
      <c r="G1535" s="3" t="s">
        <v>59</v>
      </c>
      <c r="H1535" s="3" t="s">
        <v>58</v>
      </c>
      <c r="I1535" s="3" t="s">
        <v>58</v>
      </c>
      <c r="J1535" s="3" t="s">
        <v>60</v>
      </c>
      <c r="K1535" s="2" t="s">
        <v>19476</v>
      </c>
      <c r="L1535" s="2" t="s">
        <v>19440</v>
      </c>
      <c r="M1535" s="3" t="s">
        <v>98</v>
      </c>
      <c r="O1535" s="3" t="s">
        <v>64</v>
      </c>
      <c r="P1535" s="3" t="s">
        <v>316</v>
      </c>
      <c r="R1535" s="3" t="s">
        <v>67</v>
      </c>
      <c r="S1535" s="4">
        <v>2</v>
      </c>
      <c r="T1535" s="4">
        <v>2</v>
      </c>
      <c r="U1535" s="5" t="s">
        <v>19589</v>
      </c>
      <c r="V1535" s="5" t="s">
        <v>19589</v>
      </c>
      <c r="W1535" s="5" t="s">
        <v>19590</v>
      </c>
      <c r="X1535" s="5" t="s">
        <v>19590</v>
      </c>
      <c r="Y1535" s="4">
        <v>87</v>
      </c>
      <c r="Z1535" s="4">
        <v>72</v>
      </c>
      <c r="AA1535" s="4">
        <v>77</v>
      </c>
      <c r="AB1535" s="4">
        <v>1</v>
      </c>
      <c r="AC1535" s="4">
        <v>1</v>
      </c>
      <c r="AD1535" s="4">
        <v>0</v>
      </c>
      <c r="AE1535" s="4">
        <v>0</v>
      </c>
      <c r="AF1535" s="4">
        <v>0</v>
      </c>
      <c r="AG1535" s="4">
        <v>0</v>
      </c>
      <c r="AH1535" s="4">
        <v>0</v>
      </c>
      <c r="AI1535" s="4">
        <v>0</v>
      </c>
      <c r="AJ1535" s="4">
        <v>0</v>
      </c>
      <c r="AK1535" s="4">
        <v>0</v>
      </c>
      <c r="AL1535" s="4">
        <v>0</v>
      </c>
      <c r="AM1535" s="4">
        <v>0</v>
      </c>
      <c r="AN1535" s="4">
        <v>0</v>
      </c>
      <c r="AO1535" s="4">
        <v>0</v>
      </c>
      <c r="AP1535" s="3" t="s">
        <v>58</v>
      </c>
      <c r="AQ1535" s="3" t="s">
        <v>58</v>
      </c>
      <c r="AS1535" s="6" t="str">
        <f>HYPERLINK("https://creighton-primo.hosted.exlibrisgroup.com/primo-explore/search?tab=default_tab&amp;search_scope=EVERYTHING&amp;vid=01CRU&amp;lang=en_US&amp;offset=0&amp;query=any,contains,991001178779702656","Catalog Record")</f>
        <v>Catalog Record</v>
      </c>
      <c r="AT1535" s="6" t="str">
        <f>HYPERLINK("http://www.worldcat.org/oclc/17105861","WorldCat Record")</f>
        <v>WorldCat Record</v>
      </c>
      <c r="AU1535" s="3" t="s">
        <v>19591</v>
      </c>
      <c r="AV1535" s="3" t="s">
        <v>19592</v>
      </c>
      <c r="AW1535" s="3" t="s">
        <v>19593</v>
      </c>
      <c r="AX1535" s="3" t="s">
        <v>19593</v>
      </c>
      <c r="AY1535" s="3" t="s">
        <v>19594</v>
      </c>
      <c r="AZ1535" s="3" t="s">
        <v>74</v>
      </c>
      <c r="BB1535" s="3" t="s">
        <v>19595</v>
      </c>
      <c r="BC1535" s="3" t="s">
        <v>19596</v>
      </c>
      <c r="BD1535" s="3" t="s">
        <v>19597</v>
      </c>
    </row>
    <row r="1536" spans="1:56" ht="42.75" customHeight="1" x14ac:dyDescent="0.25">
      <c r="A1536" s="7" t="s">
        <v>58</v>
      </c>
      <c r="B1536" s="2" t="s">
        <v>19598</v>
      </c>
      <c r="C1536" s="2" t="s">
        <v>19599</v>
      </c>
      <c r="D1536" s="2" t="s">
        <v>19600</v>
      </c>
      <c r="F1536" s="3" t="s">
        <v>58</v>
      </c>
      <c r="G1536" s="3" t="s">
        <v>59</v>
      </c>
      <c r="H1536" s="3" t="s">
        <v>58</v>
      </c>
      <c r="I1536" s="3" t="s">
        <v>58</v>
      </c>
      <c r="J1536" s="3" t="s">
        <v>60</v>
      </c>
      <c r="L1536" s="2" t="s">
        <v>19034</v>
      </c>
      <c r="M1536" s="3" t="s">
        <v>114</v>
      </c>
      <c r="O1536" s="3" t="s">
        <v>64</v>
      </c>
      <c r="P1536" s="3" t="s">
        <v>115</v>
      </c>
      <c r="Q1536" s="2" t="s">
        <v>19035</v>
      </c>
      <c r="R1536" s="3" t="s">
        <v>67</v>
      </c>
      <c r="S1536" s="4">
        <v>10</v>
      </c>
      <c r="T1536" s="4">
        <v>10</v>
      </c>
      <c r="U1536" s="5" t="s">
        <v>15954</v>
      </c>
      <c r="V1536" s="5" t="s">
        <v>15954</v>
      </c>
      <c r="W1536" s="5" t="s">
        <v>7263</v>
      </c>
      <c r="X1536" s="5" t="s">
        <v>7263</v>
      </c>
      <c r="Y1536" s="4">
        <v>166</v>
      </c>
      <c r="Z1536" s="4">
        <v>145</v>
      </c>
      <c r="AA1536" s="4">
        <v>269</v>
      </c>
      <c r="AB1536" s="4">
        <v>2</v>
      </c>
      <c r="AC1536" s="4">
        <v>4</v>
      </c>
      <c r="AD1536" s="4">
        <v>4</v>
      </c>
      <c r="AE1536" s="4">
        <v>7</v>
      </c>
      <c r="AF1536" s="4">
        <v>2</v>
      </c>
      <c r="AG1536" s="4">
        <v>3</v>
      </c>
      <c r="AH1536" s="4">
        <v>0</v>
      </c>
      <c r="AI1536" s="4">
        <v>0</v>
      </c>
      <c r="AJ1536" s="4">
        <v>2</v>
      </c>
      <c r="AK1536" s="4">
        <v>2</v>
      </c>
      <c r="AL1536" s="4">
        <v>1</v>
      </c>
      <c r="AM1536" s="4">
        <v>3</v>
      </c>
      <c r="AN1536" s="4">
        <v>0</v>
      </c>
      <c r="AO1536" s="4">
        <v>0</v>
      </c>
      <c r="AP1536" s="3" t="s">
        <v>58</v>
      </c>
      <c r="AQ1536" s="3" t="s">
        <v>86</v>
      </c>
      <c r="AR1536" s="6" t="str">
        <f>HYPERLINK("http://catalog.hathitrust.org/Record/000412534","HathiTrust Record")</f>
        <v>HathiTrust Record</v>
      </c>
      <c r="AS1536" s="6" t="str">
        <f>HYPERLINK("https://creighton-primo.hosted.exlibrisgroup.com/primo-explore/search?tab=default_tab&amp;search_scope=EVERYTHING&amp;vid=01CRU&amp;lang=en_US&amp;offset=0&amp;query=any,contains,991000370489702656","Catalog Record")</f>
        <v>Catalog Record</v>
      </c>
      <c r="AT1536" s="6" t="str">
        <f>HYPERLINK("http://www.worldcat.org/oclc/10429989","WorldCat Record")</f>
        <v>WorldCat Record</v>
      </c>
      <c r="AU1536" s="3" t="s">
        <v>19601</v>
      </c>
      <c r="AV1536" s="3" t="s">
        <v>19602</v>
      </c>
      <c r="AW1536" s="3" t="s">
        <v>19603</v>
      </c>
      <c r="AX1536" s="3" t="s">
        <v>19603</v>
      </c>
      <c r="AY1536" s="3" t="s">
        <v>19604</v>
      </c>
      <c r="AZ1536" s="3" t="s">
        <v>74</v>
      </c>
      <c r="BB1536" s="3" t="s">
        <v>19605</v>
      </c>
      <c r="BC1536" s="3" t="s">
        <v>19606</v>
      </c>
      <c r="BD1536" s="3" t="s">
        <v>19607</v>
      </c>
    </row>
    <row r="1537" spans="1:56" ht="42.75" customHeight="1" x14ac:dyDescent="0.25">
      <c r="A1537" s="7" t="s">
        <v>58</v>
      </c>
      <c r="B1537" s="2" t="s">
        <v>19608</v>
      </c>
      <c r="C1537" s="2" t="s">
        <v>19609</v>
      </c>
      <c r="D1537" s="2" t="s">
        <v>19610</v>
      </c>
      <c r="F1537" s="3" t="s">
        <v>58</v>
      </c>
      <c r="G1537" s="3" t="s">
        <v>59</v>
      </c>
      <c r="H1537" s="3" t="s">
        <v>86</v>
      </c>
      <c r="I1537" s="3" t="s">
        <v>58</v>
      </c>
      <c r="J1537" s="3" t="s">
        <v>60</v>
      </c>
      <c r="K1537" s="2" t="s">
        <v>19611</v>
      </c>
      <c r="L1537" s="2" t="s">
        <v>19612</v>
      </c>
      <c r="M1537" s="3" t="s">
        <v>144</v>
      </c>
      <c r="O1537" s="3" t="s">
        <v>64</v>
      </c>
      <c r="P1537" s="3" t="s">
        <v>2331</v>
      </c>
      <c r="R1537" s="3" t="s">
        <v>67</v>
      </c>
      <c r="S1537" s="4">
        <v>5</v>
      </c>
      <c r="T1537" s="4">
        <v>12</v>
      </c>
      <c r="U1537" s="5" t="s">
        <v>19613</v>
      </c>
      <c r="V1537" s="5" t="s">
        <v>19614</v>
      </c>
      <c r="W1537" s="5" t="s">
        <v>11680</v>
      </c>
      <c r="X1537" s="5" t="s">
        <v>19615</v>
      </c>
      <c r="Y1537" s="4">
        <v>31</v>
      </c>
      <c r="Z1537" s="4">
        <v>30</v>
      </c>
      <c r="AA1537" s="4">
        <v>30</v>
      </c>
      <c r="AB1537" s="4">
        <v>4</v>
      </c>
      <c r="AC1537" s="4">
        <v>4</v>
      </c>
      <c r="AD1537" s="4">
        <v>0</v>
      </c>
      <c r="AE1537" s="4">
        <v>0</v>
      </c>
      <c r="AF1537" s="4">
        <v>0</v>
      </c>
      <c r="AG1537" s="4">
        <v>0</v>
      </c>
      <c r="AH1537" s="4">
        <v>0</v>
      </c>
      <c r="AI1537" s="4">
        <v>0</v>
      </c>
      <c r="AJ1537" s="4">
        <v>0</v>
      </c>
      <c r="AK1537" s="4">
        <v>0</v>
      </c>
      <c r="AL1537" s="4">
        <v>0</v>
      </c>
      <c r="AM1537" s="4">
        <v>0</v>
      </c>
      <c r="AN1537" s="4">
        <v>0</v>
      </c>
      <c r="AO1537" s="4">
        <v>0</v>
      </c>
      <c r="AP1537" s="3" t="s">
        <v>58</v>
      </c>
      <c r="AQ1537" s="3" t="s">
        <v>58</v>
      </c>
      <c r="AS1537" s="6" t="str">
        <f>HYPERLINK("https://creighton-primo.hosted.exlibrisgroup.com/primo-explore/search?tab=default_tab&amp;search_scope=EVERYTHING&amp;vid=01CRU&amp;lang=en_US&amp;offset=0&amp;query=any,contains,991001808379702656","Catalog Record")</f>
        <v>Catalog Record</v>
      </c>
      <c r="AT1537" s="6" t="str">
        <f>HYPERLINK("http://www.worldcat.org/oclc/37549547","WorldCat Record")</f>
        <v>WorldCat Record</v>
      </c>
      <c r="AU1537" s="3" t="s">
        <v>19616</v>
      </c>
      <c r="AV1537" s="3" t="s">
        <v>19617</v>
      </c>
      <c r="AW1537" s="3" t="s">
        <v>19618</v>
      </c>
      <c r="AX1537" s="3" t="s">
        <v>19618</v>
      </c>
      <c r="AY1537" s="3" t="s">
        <v>19619</v>
      </c>
      <c r="AZ1537" s="3" t="s">
        <v>74</v>
      </c>
      <c r="BB1537" s="3" t="s">
        <v>19620</v>
      </c>
      <c r="BC1537" s="3" t="s">
        <v>19621</v>
      </c>
      <c r="BD1537" s="3" t="s">
        <v>19622</v>
      </c>
    </row>
    <row r="1538" spans="1:56" ht="42.75" customHeight="1" x14ac:dyDescent="0.25">
      <c r="A1538" s="7" t="s">
        <v>58</v>
      </c>
      <c r="B1538" s="2" t="s">
        <v>19623</v>
      </c>
      <c r="C1538" s="2" t="s">
        <v>19624</v>
      </c>
      <c r="D1538" s="2" t="s">
        <v>19625</v>
      </c>
      <c r="F1538" s="3" t="s">
        <v>58</v>
      </c>
      <c r="G1538" s="3" t="s">
        <v>59</v>
      </c>
      <c r="H1538" s="3" t="s">
        <v>58</v>
      </c>
      <c r="I1538" s="3" t="s">
        <v>58</v>
      </c>
      <c r="J1538" s="3" t="s">
        <v>60</v>
      </c>
      <c r="L1538" s="2" t="s">
        <v>19626</v>
      </c>
      <c r="M1538" s="3" t="s">
        <v>2227</v>
      </c>
      <c r="O1538" s="3" t="s">
        <v>64</v>
      </c>
      <c r="P1538" s="3" t="s">
        <v>316</v>
      </c>
      <c r="Q1538" s="2" t="s">
        <v>19627</v>
      </c>
      <c r="R1538" s="3" t="s">
        <v>67</v>
      </c>
      <c r="S1538" s="4">
        <v>3</v>
      </c>
      <c r="T1538" s="4">
        <v>3</v>
      </c>
      <c r="U1538" s="5" t="s">
        <v>19628</v>
      </c>
      <c r="V1538" s="5" t="s">
        <v>19628</v>
      </c>
      <c r="W1538" s="5" t="s">
        <v>69</v>
      </c>
      <c r="X1538" s="5" t="s">
        <v>69</v>
      </c>
      <c r="Y1538" s="4">
        <v>30</v>
      </c>
      <c r="Z1538" s="4">
        <v>30</v>
      </c>
      <c r="AA1538" s="4">
        <v>30</v>
      </c>
      <c r="AB1538" s="4">
        <v>2</v>
      </c>
      <c r="AC1538" s="4">
        <v>2</v>
      </c>
      <c r="AD1538" s="4">
        <v>1</v>
      </c>
      <c r="AE1538" s="4">
        <v>1</v>
      </c>
      <c r="AF1538" s="4">
        <v>0</v>
      </c>
      <c r="AG1538" s="4">
        <v>0</v>
      </c>
      <c r="AH1538" s="4">
        <v>0</v>
      </c>
      <c r="AI1538" s="4">
        <v>0</v>
      </c>
      <c r="AJ1538" s="4">
        <v>0</v>
      </c>
      <c r="AK1538" s="4">
        <v>0</v>
      </c>
      <c r="AL1538" s="4">
        <v>1</v>
      </c>
      <c r="AM1538" s="4">
        <v>1</v>
      </c>
      <c r="AN1538" s="4">
        <v>0</v>
      </c>
      <c r="AO1538" s="4">
        <v>0</v>
      </c>
      <c r="AP1538" s="3" t="s">
        <v>58</v>
      </c>
      <c r="AQ1538" s="3" t="s">
        <v>58</v>
      </c>
      <c r="AS1538" s="6" t="str">
        <f>HYPERLINK("https://creighton-primo.hosted.exlibrisgroup.com/primo-explore/search?tab=default_tab&amp;search_scope=EVERYTHING&amp;vid=01CRU&amp;lang=en_US&amp;offset=0&amp;query=any,contains,991001034749702656","Catalog Record")</f>
        <v>Catalog Record</v>
      </c>
      <c r="AT1538" s="6" t="str">
        <f>HYPERLINK("http://www.worldcat.org/oclc/15537479","WorldCat Record")</f>
        <v>WorldCat Record</v>
      </c>
      <c r="AU1538" s="3" t="s">
        <v>19629</v>
      </c>
      <c r="AV1538" s="3" t="s">
        <v>19630</v>
      </c>
      <c r="AW1538" s="3" t="s">
        <v>19631</v>
      </c>
      <c r="AX1538" s="3" t="s">
        <v>19631</v>
      </c>
      <c r="AY1538" s="3" t="s">
        <v>19632</v>
      </c>
      <c r="AZ1538" s="3" t="s">
        <v>74</v>
      </c>
      <c r="BC1538" s="3" t="s">
        <v>19633</v>
      </c>
      <c r="BD1538" s="3" t="s">
        <v>19634</v>
      </c>
    </row>
    <row r="1539" spans="1:56" ht="42.75" customHeight="1" x14ac:dyDescent="0.25">
      <c r="A1539" s="7" t="s">
        <v>58</v>
      </c>
      <c r="B1539" s="2" t="s">
        <v>19635</v>
      </c>
      <c r="C1539" s="2" t="s">
        <v>19636</v>
      </c>
      <c r="D1539" s="2" t="s">
        <v>19637</v>
      </c>
      <c r="F1539" s="3" t="s">
        <v>58</v>
      </c>
      <c r="G1539" s="3" t="s">
        <v>59</v>
      </c>
      <c r="H1539" s="3" t="s">
        <v>86</v>
      </c>
      <c r="I1539" s="3" t="s">
        <v>58</v>
      </c>
      <c r="J1539" s="3" t="s">
        <v>60</v>
      </c>
      <c r="L1539" s="2" t="s">
        <v>7154</v>
      </c>
      <c r="M1539" s="3" t="s">
        <v>805</v>
      </c>
      <c r="N1539" s="2" t="s">
        <v>1736</v>
      </c>
      <c r="O1539" s="3" t="s">
        <v>64</v>
      </c>
      <c r="P1539" s="3" t="s">
        <v>145</v>
      </c>
      <c r="R1539" s="3" t="s">
        <v>67</v>
      </c>
      <c r="S1539" s="4">
        <v>3</v>
      </c>
      <c r="T1539" s="4">
        <v>8</v>
      </c>
      <c r="U1539" s="5" t="s">
        <v>19638</v>
      </c>
      <c r="V1539" s="5" t="s">
        <v>19639</v>
      </c>
      <c r="W1539" s="5" t="s">
        <v>8308</v>
      </c>
      <c r="X1539" s="5" t="s">
        <v>150</v>
      </c>
      <c r="Y1539" s="4">
        <v>303</v>
      </c>
      <c r="Z1539" s="4">
        <v>250</v>
      </c>
      <c r="AA1539" s="4">
        <v>426</v>
      </c>
      <c r="AB1539" s="4">
        <v>2</v>
      </c>
      <c r="AC1539" s="4">
        <v>3</v>
      </c>
      <c r="AD1539" s="4">
        <v>15</v>
      </c>
      <c r="AE1539" s="4">
        <v>23</v>
      </c>
      <c r="AF1539" s="4">
        <v>6</v>
      </c>
      <c r="AG1539" s="4">
        <v>8</v>
      </c>
      <c r="AH1539" s="4">
        <v>2</v>
      </c>
      <c r="AI1539" s="4">
        <v>3</v>
      </c>
      <c r="AJ1539" s="4">
        <v>10</v>
      </c>
      <c r="AK1539" s="4">
        <v>15</v>
      </c>
      <c r="AL1539" s="4">
        <v>1</v>
      </c>
      <c r="AM1539" s="4">
        <v>2</v>
      </c>
      <c r="AN1539" s="4">
        <v>0</v>
      </c>
      <c r="AO1539" s="4">
        <v>0</v>
      </c>
      <c r="AP1539" s="3" t="s">
        <v>58</v>
      </c>
      <c r="AQ1539" s="3" t="s">
        <v>58</v>
      </c>
      <c r="AS1539" s="6" t="str">
        <f>HYPERLINK("https://creighton-primo.hosted.exlibrisgroup.com/primo-explore/search?tab=default_tab&amp;search_scope=EVERYTHING&amp;vid=01CRU&amp;lang=en_US&amp;offset=0&amp;query=any,contains,991001691149702656","Catalog Record")</f>
        <v>Catalog Record</v>
      </c>
      <c r="AT1539" s="6" t="str">
        <f>HYPERLINK("http://www.worldcat.org/oclc/34413595","WorldCat Record")</f>
        <v>WorldCat Record</v>
      </c>
      <c r="AU1539" s="3" t="s">
        <v>19640</v>
      </c>
      <c r="AV1539" s="3" t="s">
        <v>19641</v>
      </c>
      <c r="AW1539" s="3" t="s">
        <v>19642</v>
      </c>
      <c r="AX1539" s="3" t="s">
        <v>19642</v>
      </c>
      <c r="AY1539" s="3" t="s">
        <v>19643</v>
      </c>
      <c r="AZ1539" s="3" t="s">
        <v>74</v>
      </c>
      <c r="BB1539" s="3" t="s">
        <v>19644</v>
      </c>
      <c r="BC1539" s="3" t="s">
        <v>19645</v>
      </c>
      <c r="BD1539" s="3" t="s">
        <v>19646</v>
      </c>
    </row>
    <row r="1540" spans="1:56" ht="42.75" customHeight="1" x14ac:dyDescent="0.25">
      <c r="A1540" s="7" t="s">
        <v>58</v>
      </c>
      <c r="B1540" s="2" t="s">
        <v>19647</v>
      </c>
      <c r="C1540" s="2" t="s">
        <v>19648</v>
      </c>
      <c r="D1540" s="2" t="s">
        <v>19649</v>
      </c>
      <c r="F1540" s="3" t="s">
        <v>58</v>
      </c>
      <c r="G1540" s="3" t="s">
        <v>59</v>
      </c>
      <c r="H1540" s="3" t="s">
        <v>58</v>
      </c>
      <c r="I1540" s="3" t="s">
        <v>58</v>
      </c>
      <c r="J1540" s="3" t="s">
        <v>60</v>
      </c>
      <c r="K1540" s="2" t="s">
        <v>19650</v>
      </c>
      <c r="L1540" s="2" t="s">
        <v>19651</v>
      </c>
      <c r="M1540" s="3" t="s">
        <v>1404</v>
      </c>
      <c r="O1540" s="3" t="s">
        <v>64</v>
      </c>
      <c r="P1540" s="3" t="s">
        <v>83</v>
      </c>
      <c r="R1540" s="3" t="s">
        <v>67</v>
      </c>
      <c r="S1540" s="4">
        <v>2</v>
      </c>
      <c r="T1540" s="4">
        <v>2</v>
      </c>
      <c r="U1540" s="5" t="s">
        <v>7545</v>
      </c>
      <c r="V1540" s="5" t="s">
        <v>7545</v>
      </c>
      <c r="W1540" s="5" t="s">
        <v>19652</v>
      </c>
      <c r="X1540" s="5" t="s">
        <v>19652</v>
      </c>
      <c r="Y1540" s="4">
        <v>127</v>
      </c>
      <c r="Z1540" s="4">
        <v>98</v>
      </c>
      <c r="AA1540" s="4">
        <v>98</v>
      </c>
      <c r="AB1540" s="4">
        <v>1</v>
      </c>
      <c r="AC1540" s="4">
        <v>1</v>
      </c>
      <c r="AD1540" s="4">
        <v>8</v>
      </c>
      <c r="AE1540" s="4">
        <v>8</v>
      </c>
      <c r="AF1540" s="4">
        <v>5</v>
      </c>
      <c r="AG1540" s="4">
        <v>5</v>
      </c>
      <c r="AH1540" s="4">
        <v>0</v>
      </c>
      <c r="AI1540" s="4">
        <v>0</v>
      </c>
      <c r="AJ1540" s="4">
        <v>3</v>
      </c>
      <c r="AK1540" s="4">
        <v>3</v>
      </c>
      <c r="AL1540" s="4">
        <v>0</v>
      </c>
      <c r="AM1540" s="4">
        <v>0</v>
      </c>
      <c r="AN1540" s="4">
        <v>0</v>
      </c>
      <c r="AO1540" s="4">
        <v>0</v>
      </c>
      <c r="AP1540" s="3" t="s">
        <v>58</v>
      </c>
      <c r="AQ1540" s="3" t="s">
        <v>58</v>
      </c>
      <c r="AS1540" s="6" t="str">
        <f>HYPERLINK("https://creighton-primo.hosted.exlibrisgroup.com/primo-explore/search?tab=default_tab&amp;search_scope=EVERYTHING&amp;vid=01CRU&amp;lang=en_US&amp;offset=0&amp;query=any,contains,991005183839702656","Catalog Record")</f>
        <v>Catalog Record</v>
      </c>
      <c r="AT1540" s="6" t="str">
        <f>HYPERLINK("http://www.worldcat.org/oclc/173243795","WorldCat Record")</f>
        <v>WorldCat Record</v>
      </c>
      <c r="AU1540" s="3" t="s">
        <v>19653</v>
      </c>
      <c r="AV1540" s="3" t="s">
        <v>19654</v>
      </c>
      <c r="AW1540" s="3" t="s">
        <v>19655</v>
      </c>
      <c r="AX1540" s="3" t="s">
        <v>19655</v>
      </c>
      <c r="AY1540" s="3" t="s">
        <v>19656</v>
      </c>
      <c r="AZ1540" s="3" t="s">
        <v>74</v>
      </c>
      <c r="BB1540" s="3" t="s">
        <v>19657</v>
      </c>
      <c r="BC1540" s="3" t="s">
        <v>19658</v>
      </c>
      <c r="BD1540" s="3" t="s">
        <v>19659</v>
      </c>
    </row>
    <row r="1541" spans="1:56" ht="42.75" customHeight="1" x14ac:dyDescent="0.25">
      <c r="A1541" s="7" t="s">
        <v>58</v>
      </c>
      <c r="B1541" s="2" t="s">
        <v>19660</v>
      </c>
      <c r="C1541" s="2" t="s">
        <v>19661</v>
      </c>
      <c r="D1541" s="2" t="s">
        <v>19662</v>
      </c>
      <c r="F1541" s="3" t="s">
        <v>58</v>
      </c>
      <c r="G1541" s="3" t="s">
        <v>59</v>
      </c>
      <c r="H1541" s="3" t="s">
        <v>86</v>
      </c>
      <c r="I1541" s="3" t="s">
        <v>58</v>
      </c>
      <c r="J1541" s="3" t="s">
        <v>60</v>
      </c>
      <c r="K1541" s="2" t="s">
        <v>19663</v>
      </c>
      <c r="L1541" s="2" t="s">
        <v>7639</v>
      </c>
      <c r="M1541" s="3" t="s">
        <v>82</v>
      </c>
      <c r="O1541" s="3" t="s">
        <v>64</v>
      </c>
      <c r="P1541" s="3" t="s">
        <v>115</v>
      </c>
      <c r="R1541" s="3" t="s">
        <v>67</v>
      </c>
      <c r="S1541" s="4">
        <v>14</v>
      </c>
      <c r="T1541" s="4">
        <v>14</v>
      </c>
      <c r="U1541" s="5" t="s">
        <v>6864</v>
      </c>
      <c r="V1541" s="5" t="s">
        <v>6864</v>
      </c>
      <c r="W1541" s="5" t="s">
        <v>7013</v>
      </c>
      <c r="X1541" s="5" t="s">
        <v>7013</v>
      </c>
      <c r="Y1541" s="4">
        <v>427</v>
      </c>
      <c r="Z1541" s="4">
        <v>365</v>
      </c>
      <c r="AA1541" s="4">
        <v>366</v>
      </c>
      <c r="AB1541" s="4">
        <v>5</v>
      </c>
      <c r="AC1541" s="4">
        <v>5</v>
      </c>
      <c r="AD1541" s="4">
        <v>18</v>
      </c>
      <c r="AE1541" s="4">
        <v>18</v>
      </c>
      <c r="AF1541" s="4">
        <v>6</v>
      </c>
      <c r="AG1541" s="4">
        <v>6</v>
      </c>
      <c r="AH1541" s="4">
        <v>5</v>
      </c>
      <c r="AI1541" s="4">
        <v>5</v>
      </c>
      <c r="AJ1541" s="4">
        <v>11</v>
      </c>
      <c r="AK1541" s="4">
        <v>11</v>
      </c>
      <c r="AL1541" s="4">
        <v>3</v>
      </c>
      <c r="AM1541" s="4">
        <v>3</v>
      </c>
      <c r="AN1541" s="4">
        <v>0</v>
      </c>
      <c r="AO1541" s="4">
        <v>0</v>
      </c>
      <c r="AP1541" s="3" t="s">
        <v>58</v>
      </c>
      <c r="AQ1541" s="3" t="s">
        <v>58</v>
      </c>
      <c r="AS1541" s="6" t="str">
        <f>HYPERLINK("https://creighton-primo.hosted.exlibrisgroup.com/primo-explore/search?tab=default_tab&amp;search_scope=EVERYTHING&amp;vid=01CRU&amp;lang=en_US&amp;offset=0&amp;query=any,contains,991000973719702656","Catalog Record")</f>
        <v>Catalog Record</v>
      </c>
      <c r="AT1541" s="6" t="str">
        <f>HYPERLINK("http://www.worldcat.org/oclc/14967550","WorldCat Record")</f>
        <v>WorldCat Record</v>
      </c>
      <c r="AU1541" s="3" t="s">
        <v>19664</v>
      </c>
      <c r="AV1541" s="3" t="s">
        <v>19665</v>
      </c>
      <c r="AW1541" s="3" t="s">
        <v>19666</v>
      </c>
      <c r="AX1541" s="3" t="s">
        <v>19666</v>
      </c>
      <c r="AY1541" s="3" t="s">
        <v>19667</v>
      </c>
      <c r="AZ1541" s="3" t="s">
        <v>74</v>
      </c>
      <c r="BB1541" s="3" t="s">
        <v>19668</v>
      </c>
      <c r="BC1541" s="3" t="s">
        <v>19669</v>
      </c>
      <c r="BD1541" s="3" t="s">
        <v>19670</v>
      </c>
    </row>
    <row r="1542" spans="1:56" ht="42.75" customHeight="1" x14ac:dyDescent="0.25">
      <c r="A1542" s="7" t="s">
        <v>58</v>
      </c>
      <c r="B1542" s="2" t="s">
        <v>19671</v>
      </c>
      <c r="C1542" s="2" t="s">
        <v>19672</v>
      </c>
      <c r="D1542" s="2" t="s">
        <v>19673</v>
      </c>
      <c r="F1542" s="3" t="s">
        <v>58</v>
      </c>
      <c r="G1542" s="3" t="s">
        <v>59</v>
      </c>
      <c r="H1542" s="3" t="s">
        <v>58</v>
      </c>
      <c r="I1542" s="3" t="s">
        <v>58</v>
      </c>
      <c r="J1542" s="3" t="s">
        <v>60</v>
      </c>
      <c r="K1542" s="2" t="s">
        <v>19674</v>
      </c>
      <c r="L1542" s="2" t="s">
        <v>19675</v>
      </c>
      <c r="M1542" s="3" t="s">
        <v>98</v>
      </c>
      <c r="N1542" s="2" t="s">
        <v>19676</v>
      </c>
      <c r="O1542" s="3" t="s">
        <v>64</v>
      </c>
      <c r="P1542" s="3" t="s">
        <v>359</v>
      </c>
      <c r="R1542" s="3" t="s">
        <v>67</v>
      </c>
      <c r="S1542" s="4">
        <v>8</v>
      </c>
      <c r="T1542" s="4">
        <v>8</v>
      </c>
      <c r="U1542" s="5" t="s">
        <v>19677</v>
      </c>
      <c r="V1542" s="5" t="s">
        <v>19677</v>
      </c>
      <c r="W1542" s="5" t="s">
        <v>3736</v>
      </c>
      <c r="X1542" s="5" t="s">
        <v>3736</v>
      </c>
      <c r="Y1542" s="4">
        <v>122</v>
      </c>
      <c r="Z1542" s="4">
        <v>106</v>
      </c>
      <c r="AA1542" s="4">
        <v>176</v>
      </c>
      <c r="AB1542" s="4">
        <v>1</v>
      </c>
      <c r="AC1542" s="4">
        <v>1</v>
      </c>
      <c r="AD1542" s="4">
        <v>5</v>
      </c>
      <c r="AE1542" s="4">
        <v>5</v>
      </c>
      <c r="AF1542" s="4">
        <v>2</v>
      </c>
      <c r="AG1542" s="4">
        <v>2</v>
      </c>
      <c r="AH1542" s="4">
        <v>2</v>
      </c>
      <c r="AI1542" s="4">
        <v>2</v>
      </c>
      <c r="AJ1542" s="4">
        <v>3</v>
      </c>
      <c r="AK1542" s="4">
        <v>3</v>
      </c>
      <c r="AL1542" s="4">
        <v>0</v>
      </c>
      <c r="AM1542" s="4">
        <v>0</v>
      </c>
      <c r="AN1542" s="4">
        <v>0</v>
      </c>
      <c r="AO1542" s="4">
        <v>0</v>
      </c>
      <c r="AP1542" s="3" t="s">
        <v>58</v>
      </c>
      <c r="AQ1542" s="3" t="s">
        <v>58</v>
      </c>
      <c r="AS1542" s="6" t="str">
        <f>HYPERLINK("https://creighton-primo.hosted.exlibrisgroup.com/primo-explore/search?tab=default_tab&amp;search_scope=EVERYTHING&amp;vid=01CRU&amp;lang=en_US&amp;offset=0&amp;query=any,contains,991001115119702656","Catalog Record")</f>
        <v>Catalog Record</v>
      </c>
      <c r="AT1542" s="6" t="str">
        <f>HYPERLINK("http://www.worldcat.org/oclc/16525296","WorldCat Record")</f>
        <v>WorldCat Record</v>
      </c>
      <c r="AU1542" s="3" t="s">
        <v>19678</v>
      </c>
      <c r="AV1542" s="3" t="s">
        <v>19679</v>
      </c>
      <c r="AW1542" s="3" t="s">
        <v>19680</v>
      </c>
      <c r="AX1542" s="3" t="s">
        <v>19680</v>
      </c>
      <c r="AY1542" s="3" t="s">
        <v>19681</v>
      </c>
      <c r="AZ1542" s="3" t="s">
        <v>74</v>
      </c>
      <c r="BB1542" s="3" t="s">
        <v>19682</v>
      </c>
      <c r="BC1542" s="3" t="s">
        <v>19683</v>
      </c>
      <c r="BD1542" s="3" t="s">
        <v>19684</v>
      </c>
    </row>
    <row r="1543" spans="1:56" ht="42.75" customHeight="1" x14ac:dyDescent="0.25">
      <c r="A1543" s="7" t="s">
        <v>58</v>
      </c>
      <c r="B1543" s="2" t="s">
        <v>19685</v>
      </c>
      <c r="C1543" s="2" t="s">
        <v>19686</v>
      </c>
      <c r="D1543" s="2" t="s">
        <v>19687</v>
      </c>
      <c r="F1543" s="3" t="s">
        <v>58</v>
      </c>
      <c r="G1543" s="3" t="s">
        <v>59</v>
      </c>
      <c r="H1543" s="3" t="s">
        <v>58</v>
      </c>
      <c r="I1543" s="3" t="s">
        <v>58</v>
      </c>
      <c r="J1543" s="3" t="s">
        <v>60</v>
      </c>
      <c r="L1543" s="2" t="s">
        <v>19688</v>
      </c>
      <c r="M1543" s="3" t="s">
        <v>586</v>
      </c>
      <c r="O1543" s="3" t="s">
        <v>64</v>
      </c>
      <c r="P1543" s="3" t="s">
        <v>99</v>
      </c>
      <c r="R1543" s="3" t="s">
        <v>67</v>
      </c>
      <c r="S1543" s="4">
        <v>18</v>
      </c>
      <c r="T1543" s="4">
        <v>18</v>
      </c>
      <c r="U1543" s="5" t="s">
        <v>19689</v>
      </c>
      <c r="V1543" s="5" t="s">
        <v>19689</v>
      </c>
      <c r="W1543" s="5" t="s">
        <v>1589</v>
      </c>
      <c r="X1543" s="5" t="s">
        <v>1589</v>
      </c>
      <c r="Y1543" s="4">
        <v>144</v>
      </c>
      <c r="Z1543" s="4">
        <v>80</v>
      </c>
      <c r="AA1543" s="4">
        <v>104</v>
      </c>
      <c r="AB1543" s="4">
        <v>1</v>
      </c>
      <c r="AC1543" s="4">
        <v>1</v>
      </c>
      <c r="AD1543" s="4">
        <v>3</v>
      </c>
      <c r="AE1543" s="4">
        <v>3</v>
      </c>
      <c r="AF1543" s="4">
        <v>0</v>
      </c>
      <c r="AG1543" s="4">
        <v>0</v>
      </c>
      <c r="AH1543" s="4">
        <v>1</v>
      </c>
      <c r="AI1543" s="4">
        <v>1</v>
      </c>
      <c r="AJ1543" s="4">
        <v>2</v>
      </c>
      <c r="AK1543" s="4">
        <v>2</v>
      </c>
      <c r="AL1543" s="4">
        <v>0</v>
      </c>
      <c r="AM1543" s="4">
        <v>0</v>
      </c>
      <c r="AN1543" s="4">
        <v>0</v>
      </c>
      <c r="AO1543" s="4">
        <v>0</v>
      </c>
      <c r="AP1543" s="3" t="s">
        <v>58</v>
      </c>
      <c r="AQ1543" s="3" t="s">
        <v>58</v>
      </c>
      <c r="AS1543" s="6" t="str">
        <f>HYPERLINK("https://creighton-primo.hosted.exlibrisgroup.com/primo-explore/search?tab=default_tab&amp;search_scope=EVERYTHING&amp;vid=01CRU&amp;lang=en_US&amp;offset=0&amp;query=any,contains,991001815419702656","Catalog Record")</f>
        <v>Catalog Record</v>
      </c>
      <c r="AT1543" s="6" t="str">
        <f>HYPERLINK("http://www.worldcat.org/oclc/22810074","WorldCat Record")</f>
        <v>WorldCat Record</v>
      </c>
      <c r="AU1543" s="3" t="s">
        <v>19690</v>
      </c>
      <c r="AV1543" s="3" t="s">
        <v>19691</v>
      </c>
      <c r="AW1543" s="3" t="s">
        <v>19692</v>
      </c>
      <c r="AX1543" s="3" t="s">
        <v>19692</v>
      </c>
      <c r="AY1543" s="3" t="s">
        <v>19693</v>
      </c>
      <c r="AZ1543" s="3" t="s">
        <v>74</v>
      </c>
      <c r="BB1543" s="3" t="s">
        <v>19694</v>
      </c>
      <c r="BC1543" s="3" t="s">
        <v>19695</v>
      </c>
      <c r="BD1543" s="3" t="s">
        <v>19696</v>
      </c>
    </row>
    <row r="1544" spans="1:56" ht="42.75" customHeight="1" x14ac:dyDescent="0.25">
      <c r="A1544" s="7" t="s">
        <v>58</v>
      </c>
      <c r="B1544" s="2" t="s">
        <v>19697</v>
      </c>
      <c r="C1544" s="2" t="s">
        <v>19698</v>
      </c>
      <c r="D1544" s="2" t="s">
        <v>19699</v>
      </c>
      <c r="F1544" s="3" t="s">
        <v>58</v>
      </c>
      <c r="G1544" s="3" t="s">
        <v>59</v>
      </c>
      <c r="H1544" s="3" t="s">
        <v>58</v>
      </c>
      <c r="I1544" s="3" t="s">
        <v>58</v>
      </c>
      <c r="J1544" s="3" t="s">
        <v>60</v>
      </c>
      <c r="K1544" s="2" t="s">
        <v>19700</v>
      </c>
      <c r="L1544" s="2" t="s">
        <v>19701</v>
      </c>
      <c r="M1544" s="3" t="s">
        <v>480</v>
      </c>
      <c r="N1544" s="2" t="s">
        <v>1736</v>
      </c>
      <c r="O1544" s="3" t="s">
        <v>64</v>
      </c>
      <c r="P1544" s="3" t="s">
        <v>115</v>
      </c>
      <c r="R1544" s="3" t="s">
        <v>67</v>
      </c>
      <c r="S1544" s="4">
        <v>6</v>
      </c>
      <c r="T1544" s="4">
        <v>6</v>
      </c>
      <c r="U1544" s="5" t="s">
        <v>6864</v>
      </c>
      <c r="V1544" s="5" t="s">
        <v>6864</v>
      </c>
      <c r="W1544" s="5" t="s">
        <v>19702</v>
      </c>
      <c r="X1544" s="5" t="s">
        <v>19702</v>
      </c>
      <c r="Y1544" s="4">
        <v>309</v>
      </c>
      <c r="Z1544" s="4">
        <v>299</v>
      </c>
      <c r="AA1544" s="4">
        <v>305</v>
      </c>
      <c r="AB1544" s="4">
        <v>2</v>
      </c>
      <c r="AC1544" s="4">
        <v>2</v>
      </c>
      <c r="AD1544" s="4">
        <v>2</v>
      </c>
      <c r="AE1544" s="4">
        <v>2</v>
      </c>
      <c r="AF1544" s="4">
        <v>0</v>
      </c>
      <c r="AG1544" s="4">
        <v>0</v>
      </c>
      <c r="AH1544" s="4">
        <v>0</v>
      </c>
      <c r="AI1544" s="4">
        <v>0</v>
      </c>
      <c r="AJ1544" s="4">
        <v>2</v>
      </c>
      <c r="AK1544" s="4">
        <v>2</v>
      </c>
      <c r="AL1544" s="4">
        <v>0</v>
      </c>
      <c r="AM1544" s="4">
        <v>0</v>
      </c>
      <c r="AN1544" s="4">
        <v>0</v>
      </c>
      <c r="AO1544" s="4">
        <v>0</v>
      </c>
      <c r="AP1544" s="3" t="s">
        <v>58</v>
      </c>
      <c r="AQ1544" s="3" t="s">
        <v>58</v>
      </c>
      <c r="AS1544" s="6" t="str">
        <f>HYPERLINK("https://creighton-primo.hosted.exlibrisgroup.com/primo-explore/search?tab=default_tab&amp;search_scope=EVERYTHING&amp;vid=01CRU&amp;lang=en_US&amp;offset=0&amp;query=any,contains,991001366379702656","Catalog Record")</f>
        <v>Catalog Record</v>
      </c>
      <c r="AT1544" s="6" t="str">
        <f>HYPERLINK("http://www.worldcat.org/oclc/18558834","WorldCat Record")</f>
        <v>WorldCat Record</v>
      </c>
      <c r="AU1544" s="3" t="s">
        <v>19703</v>
      </c>
      <c r="AV1544" s="3" t="s">
        <v>19704</v>
      </c>
      <c r="AW1544" s="3" t="s">
        <v>19705</v>
      </c>
      <c r="AX1544" s="3" t="s">
        <v>19705</v>
      </c>
      <c r="AY1544" s="3" t="s">
        <v>19706</v>
      </c>
      <c r="AZ1544" s="3" t="s">
        <v>74</v>
      </c>
      <c r="BB1544" s="3" t="s">
        <v>19707</v>
      </c>
      <c r="BC1544" s="3" t="s">
        <v>19708</v>
      </c>
      <c r="BD1544" s="3" t="s">
        <v>19709</v>
      </c>
    </row>
    <row r="1545" spans="1:56" ht="42.75" customHeight="1" x14ac:dyDescent="0.25">
      <c r="A1545" s="7" t="s">
        <v>58</v>
      </c>
      <c r="B1545" s="2" t="s">
        <v>19710</v>
      </c>
      <c r="C1545" s="2" t="s">
        <v>19711</v>
      </c>
      <c r="D1545" s="2" t="s">
        <v>19712</v>
      </c>
      <c r="F1545" s="3" t="s">
        <v>58</v>
      </c>
      <c r="G1545" s="3" t="s">
        <v>59</v>
      </c>
      <c r="H1545" s="3" t="s">
        <v>58</v>
      </c>
      <c r="I1545" s="3" t="s">
        <v>58</v>
      </c>
      <c r="J1545" s="3" t="s">
        <v>60</v>
      </c>
      <c r="K1545" s="2" t="s">
        <v>19713</v>
      </c>
      <c r="L1545" s="2" t="s">
        <v>19714</v>
      </c>
      <c r="M1545" s="3" t="s">
        <v>63</v>
      </c>
      <c r="O1545" s="3" t="s">
        <v>64</v>
      </c>
      <c r="P1545" s="3" t="s">
        <v>115</v>
      </c>
      <c r="R1545" s="3" t="s">
        <v>67</v>
      </c>
      <c r="S1545" s="4">
        <v>9</v>
      </c>
      <c r="T1545" s="4">
        <v>9</v>
      </c>
      <c r="U1545" s="5" t="s">
        <v>19137</v>
      </c>
      <c r="V1545" s="5" t="s">
        <v>19137</v>
      </c>
      <c r="W1545" s="5" t="s">
        <v>5491</v>
      </c>
      <c r="X1545" s="5" t="s">
        <v>5491</v>
      </c>
      <c r="Y1545" s="4">
        <v>134</v>
      </c>
      <c r="Z1545" s="4">
        <v>99</v>
      </c>
      <c r="AA1545" s="4">
        <v>100</v>
      </c>
      <c r="AB1545" s="4">
        <v>1</v>
      </c>
      <c r="AC1545" s="4">
        <v>1</v>
      </c>
      <c r="AD1545" s="4">
        <v>1</v>
      </c>
      <c r="AE1545" s="4">
        <v>1</v>
      </c>
      <c r="AF1545" s="4">
        <v>0</v>
      </c>
      <c r="AG1545" s="4">
        <v>0</v>
      </c>
      <c r="AH1545" s="4">
        <v>0</v>
      </c>
      <c r="AI1545" s="4">
        <v>0</v>
      </c>
      <c r="AJ1545" s="4">
        <v>1</v>
      </c>
      <c r="AK1545" s="4">
        <v>1</v>
      </c>
      <c r="AL1545" s="4">
        <v>0</v>
      </c>
      <c r="AM1545" s="4">
        <v>0</v>
      </c>
      <c r="AN1545" s="4">
        <v>0</v>
      </c>
      <c r="AO1545" s="4">
        <v>0</v>
      </c>
      <c r="AP1545" s="3" t="s">
        <v>58</v>
      </c>
      <c r="AQ1545" s="3" t="s">
        <v>86</v>
      </c>
      <c r="AR1545" s="6" t="str">
        <f>HYPERLINK("http://catalog.hathitrust.org/Record/000782661","HathiTrust Record")</f>
        <v>HathiTrust Record</v>
      </c>
      <c r="AS1545" s="6" t="str">
        <f>HYPERLINK("https://creighton-primo.hosted.exlibrisgroup.com/primo-explore/search?tab=default_tab&amp;search_scope=EVERYTHING&amp;vid=01CRU&amp;lang=en_US&amp;offset=0&amp;query=any,contains,991000044949702656","Catalog Record")</f>
        <v>Catalog Record</v>
      </c>
      <c r="AT1545" s="6" t="str">
        <f>HYPERLINK("http://www.worldcat.org/oclc/8667912","WorldCat Record")</f>
        <v>WorldCat Record</v>
      </c>
      <c r="AU1545" s="3" t="s">
        <v>19715</v>
      </c>
      <c r="AV1545" s="3" t="s">
        <v>19716</v>
      </c>
      <c r="AW1545" s="3" t="s">
        <v>19717</v>
      </c>
      <c r="AX1545" s="3" t="s">
        <v>19717</v>
      </c>
      <c r="AY1545" s="3" t="s">
        <v>19718</v>
      </c>
      <c r="AZ1545" s="3" t="s">
        <v>74</v>
      </c>
      <c r="BB1545" s="3" t="s">
        <v>19719</v>
      </c>
      <c r="BC1545" s="3" t="s">
        <v>19720</v>
      </c>
      <c r="BD1545" s="3" t="s">
        <v>19721</v>
      </c>
    </row>
    <row r="1546" spans="1:56" ht="42.75" customHeight="1" x14ac:dyDescent="0.25">
      <c r="A1546" s="7" t="s">
        <v>58</v>
      </c>
      <c r="B1546" s="2" t="s">
        <v>19722</v>
      </c>
      <c r="C1546" s="2" t="s">
        <v>19723</v>
      </c>
      <c r="D1546" s="2" t="s">
        <v>19724</v>
      </c>
      <c r="F1546" s="3" t="s">
        <v>58</v>
      </c>
      <c r="G1546" s="3" t="s">
        <v>59</v>
      </c>
      <c r="H1546" s="3" t="s">
        <v>58</v>
      </c>
      <c r="I1546" s="3" t="s">
        <v>58</v>
      </c>
      <c r="J1546" s="3" t="s">
        <v>60</v>
      </c>
      <c r="K1546" s="2" t="s">
        <v>19725</v>
      </c>
      <c r="L1546" s="2" t="s">
        <v>19726</v>
      </c>
      <c r="M1546" s="3" t="s">
        <v>737</v>
      </c>
      <c r="O1546" s="3" t="s">
        <v>64</v>
      </c>
      <c r="P1546" s="3" t="s">
        <v>115</v>
      </c>
      <c r="R1546" s="3" t="s">
        <v>67</v>
      </c>
      <c r="S1546" s="4">
        <v>5</v>
      </c>
      <c r="T1546" s="4">
        <v>5</v>
      </c>
      <c r="U1546" s="5" t="s">
        <v>19727</v>
      </c>
      <c r="V1546" s="5" t="s">
        <v>19727</v>
      </c>
      <c r="W1546" s="5" t="s">
        <v>19728</v>
      </c>
      <c r="X1546" s="5" t="s">
        <v>19728</v>
      </c>
      <c r="Y1546" s="4">
        <v>456</v>
      </c>
      <c r="Z1546" s="4">
        <v>427</v>
      </c>
      <c r="AA1546" s="4">
        <v>440</v>
      </c>
      <c r="AB1546" s="4">
        <v>4</v>
      </c>
      <c r="AC1546" s="4">
        <v>4</v>
      </c>
      <c r="AD1546" s="4">
        <v>7</v>
      </c>
      <c r="AE1546" s="4">
        <v>7</v>
      </c>
      <c r="AF1546" s="4">
        <v>1</v>
      </c>
      <c r="AG1546" s="4">
        <v>1</v>
      </c>
      <c r="AH1546" s="4">
        <v>2</v>
      </c>
      <c r="AI1546" s="4">
        <v>2</v>
      </c>
      <c r="AJ1546" s="4">
        <v>4</v>
      </c>
      <c r="AK1546" s="4">
        <v>4</v>
      </c>
      <c r="AL1546" s="4">
        <v>1</v>
      </c>
      <c r="AM1546" s="4">
        <v>1</v>
      </c>
      <c r="AN1546" s="4">
        <v>0</v>
      </c>
      <c r="AO1546" s="4">
        <v>0</v>
      </c>
      <c r="AP1546" s="3" t="s">
        <v>58</v>
      </c>
      <c r="AQ1546" s="3" t="s">
        <v>86</v>
      </c>
      <c r="AR1546" s="6" t="str">
        <f>HYPERLINK("http://catalog.hathitrust.org/Record/008744592","HathiTrust Record")</f>
        <v>HathiTrust Record</v>
      </c>
      <c r="AS1546" s="6" t="str">
        <f>HYPERLINK("https://creighton-primo.hosted.exlibrisgroup.com/primo-explore/search?tab=default_tab&amp;search_scope=EVERYTHING&amp;vid=01CRU&amp;lang=en_US&amp;offset=0&amp;query=any,contains,991002338529702656","Catalog Record")</f>
        <v>Catalog Record</v>
      </c>
      <c r="AT1546" s="6" t="str">
        <f>HYPERLINK("http://www.worldcat.org/oclc/30437705","WorldCat Record")</f>
        <v>WorldCat Record</v>
      </c>
      <c r="AU1546" s="3" t="s">
        <v>19729</v>
      </c>
      <c r="AV1546" s="3" t="s">
        <v>19730</v>
      </c>
      <c r="AW1546" s="3" t="s">
        <v>19731</v>
      </c>
      <c r="AX1546" s="3" t="s">
        <v>19731</v>
      </c>
      <c r="AY1546" s="3" t="s">
        <v>19732</v>
      </c>
      <c r="AZ1546" s="3" t="s">
        <v>74</v>
      </c>
      <c r="BB1546" s="3" t="s">
        <v>19733</v>
      </c>
      <c r="BC1546" s="3" t="s">
        <v>19734</v>
      </c>
      <c r="BD1546" s="3" t="s">
        <v>19735</v>
      </c>
    </row>
    <row r="1547" spans="1:56" ht="42.75" customHeight="1" x14ac:dyDescent="0.25">
      <c r="A1547" s="7" t="s">
        <v>58</v>
      </c>
      <c r="B1547" s="2" t="s">
        <v>19736</v>
      </c>
      <c r="C1547" s="2" t="s">
        <v>19737</v>
      </c>
      <c r="D1547" s="2" t="s">
        <v>19738</v>
      </c>
      <c r="F1547" s="3" t="s">
        <v>58</v>
      </c>
      <c r="G1547" s="3" t="s">
        <v>59</v>
      </c>
      <c r="H1547" s="3" t="s">
        <v>58</v>
      </c>
      <c r="I1547" s="3" t="s">
        <v>58</v>
      </c>
      <c r="J1547" s="3" t="s">
        <v>60</v>
      </c>
      <c r="K1547" s="2" t="s">
        <v>19739</v>
      </c>
      <c r="L1547" s="2" t="s">
        <v>15880</v>
      </c>
      <c r="M1547" s="3" t="s">
        <v>82</v>
      </c>
      <c r="O1547" s="3" t="s">
        <v>64</v>
      </c>
      <c r="P1547" s="3" t="s">
        <v>1898</v>
      </c>
      <c r="Q1547" s="2" t="s">
        <v>15881</v>
      </c>
      <c r="R1547" s="3" t="s">
        <v>67</v>
      </c>
      <c r="S1547" s="4">
        <v>15</v>
      </c>
      <c r="T1547" s="4">
        <v>15</v>
      </c>
      <c r="U1547" s="5" t="s">
        <v>19740</v>
      </c>
      <c r="V1547" s="5" t="s">
        <v>19740</v>
      </c>
      <c r="W1547" s="5" t="s">
        <v>19741</v>
      </c>
      <c r="X1547" s="5" t="s">
        <v>19741</v>
      </c>
      <c r="Y1547" s="4">
        <v>95</v>
      </c>
      <c r="Z1547" s="4">
        <v>63</v>
      </c>
      <c r="AA1547" s="4">
        <v>65</v>
      </c>
      <c r="AB1547" s="4">
        <v>1</v>
      </c>
      <c r="AC1547" s="4">
        <v>1</v>
      </c>
      <c r="AD1547" s="4">
        <v>1</v>
      </c>
      <c r="AE1547" s="4">
        <v>1</v>
      </c>
      <c r="AF1547" s="4">
        <v>0</v>
      </c>
      <c r="AG1547" s="4">
        <v>0</v>
      </c>
      <c r="AH1547" s="4">
        <v>1</v>
      </c>
      <c r="AI1547" s="4">
        <v>1</v>
      </c>
      <c r="AJ1547" s="4">
        <v>0</v>
      </c>
      <c r="AK1547" s="4">
        <v>0</v>
      </c>
      <c r="AL1547" s="4">
        <v>0</v>
      </c>
      <c r="AM1547" s="4">
        <v>0</v>
      </c>
      <c r="AN1547" s="4">
        <v>0</v>
      </c>
      <c r="AO1547" s="4">
        <v>0</v>
      </c>
      <c r="AP1547" s="3" t="s">
        <v>58</v>
      </c>
      <c r="AQ1547" s="3" t="s">
        <v>86</v>
      </c>
      <c r="AR1547" s="6" t="str">
        <f>HYPERLINK("http://catalog.hathitrust.org/Record/001086320","HathiTrust Record")</f>
        <v>HathiTrust Record</v>
      </c>
      <c r="AS1547" s="6" t="str">
        <f>HYPERLINK("https://creighton-primo.hosted.exlibrisgroup.com/primo-explore/search?tab=default_tab&amp;search_scope=EVERYTHING&amp;vid=01CRU&amp;lang=en_US&amp;offset=0&amp;query=any,contains,991001042099702656","Catalog Record")</f>
        <v>Catalog Record</v>
      </c>
      <c r="AT1547" s="6" t="str">
        <f>HYPERLINK("http://www.worldcat.org/oclc/15590330","WorldCat Record")</f>
        <v>WorldCat Record</v>
      </c>
      <c r="AU1547" s="3" t="s">
        <v>19742</v>
      </c>
      <c r="AV1547" s="3" t="s">
        <v>19743</v>
      </c>
      <c r="AW1547" s="3" t="s">
        <v>19744</v>
      </c>
      <c r="AX1547" s="3" t="s">
        <v>19744</v>
      </c>
      <c r="AY1547" s="3" t="s">
        <v>19745</v>
      </c>
      <c r="AZ1547" s="3" t="s">
        <v>74</v>
      </c>
      <c r="BB1547" s="3" t="s">
        <v>19746</v>
      </c>
      <c r="BC1547" s="3" t="s">
        <v>19747</v>
      </c>
      <c r="BD1547" s="3" t="s">
        <v>19748</v>
      </c>
    </row>
    <row r="1548" spans="1:56" ht="42.75" customHeight="1" x14ac:dyDescent="0.25">
      <c r="A1548" s="7" t="s">
        <v>58</v>
      </c>
      <c r="B1548" s="2" t="s">
        <v>19749</v>
      </c>
      <c r="C1548" s="2" t="s">
        <v>19750</v>
      </c>
      <c r="D1548" s="2" t="s">
        <v>19751</v>
      </c>
      <c r="F1548" s="3" t="s">
        <v>58</v>
      </c>
      <c r="G1548" s="3" t="s">
        <v>59</v>
      </c>
      <c r="H1548" s="3" t="s">
        <v>58</v>
      </c>
      <c r="I1548" s="3" t="s">
        <v>58</v>
      </c>
      <c r="J1548" s="3" t="s">
        <v>60</v>
      </c>
      <c r="K1548" s="2" t="s">
        <v>19752</v>
      </c>
      <c r="L1548" s="2" t="s">
        <v>19753</v>
      </c>
      <c r="M1548" s="3" t="s">
        <v>2227</v>
      </c>
      <c r="O1548" s="3" t="s">
        <v>64</v>
      </c>
      <c r="P1548" s="3" t="s">
        <v>115</v>
      </c>
      <c r="R1548" s="3" t="s">
        <v>67</v>
      </c>
      <c r="S1548" s="4">
        <v>3</v>
      </c>
      <c r="T1548" s="4">
        <v>3</v>
      </c>
      <c r="U1548" s="5" t="s">
        <v>7520</v>
      </c>
      <c r="V1548" s="5" t="s">
        <v>7520</v>
      </c>
      <c r="W1548" s="5" t="s">
        <v>8983</v>
      </c>
      <c r="X1548" s="5" t="s">
        <v>8983</v>
      </c>
      <c r="Y1548" s="4">
        <v>768</v>
      </c>
      <c r="Z1548" s="4">
        <v>730</v>
      </c>
      <c r="AA1548" s="4">
        <v>762</v>
      </c>
      <c r="AB1548" s="4">
        <v>7</v>
      </c>
      <c r="AC1548" s="4">
        <v>7</v>
      </c>
      <c r="AD1548" s="4">
        <v>14</v>
      </c>
      <c r="AE1548" s="4">
        <v>15</v>
      </c>
      <c r="AF1548" s="4">
        <v>6</v>
      </c>
      <c r="AG1548" s="4">
        <v>7</v>
      </c>
      <c r="AH1548" s="4">
        <v>2</v>
      </c>
      <c r="AI1548" s="4">
        <v>2</v>
      </c>
      <c r="AJ1548" s="4">
        <v>5</v>
      </c>
      <c r="AK1548" s="4">
        <v>5</v>
      </c>
      <c r="AL1548" s="4">
        <v>5</v>
      </c>
      <c r="AM1548" s="4">
        <v>5</v>
      </c>
      <c r="AN1548" s="4">
        <v>0</v>
      </c>
      <c r="AO1548" s="4">
        <v>0</v>
      </c>
      <c r="AP1548" s="3" t="s">
        <v>58</v>
      </c>
      <c r="AQ1548" s="3" t="s">
        <v>58</v>
      </c>
      <c r="AS1548" s="6" t="str">
        <f>HYPERLINK("https://creighton-primo.hosted.exlibrisgroup.com/primo-explore/search?tab=default_tab&amp;search_scope=EVERYTHING&amp;vid=01CRU&amp;lang=en_US&amp;offset=0&amp;query=any,contains,991000600799702656","Catalog Record")</f>
        <v>Catalog Record</v>
      </c>
      <c r="AT1548" s="6" t="str">
        <f>HYPERLINK("http://www.worldcat.org/oclc/11841110","WorldCat Record")</f>
        <v>WorldCat Record</v>
      </c>
      <c r="AU1548" s="3" t="s">
        <v>19754</v>
      </c>
      <c r="AV1548" s="3" t="s">
        <v>19755</v>
      </c>
      <c r="AW1548" s="3" t="s">
        <v>19756</v>
      </c>
      <c r="AX1548" s="3" t="s">
        <v>19756</v>
      </c>
      <c r="AY1548" s="3" t="s">
        <v>19757</v>
      </c>
      <c r="AZ1548" s="3" t="s">
        <v>74</v>
      </c>
      <c r="BB1548" s="3" t="s">
        <v>19758</v>
      </c>
      <c r="BC1548" s="3" t="s">
        <v>19759</v>
      </c>
      <c r="BD1548" s="3" t="s">
        <v>19760</v>
      </c>
    </row>
    <row r="1549" spans="1:56" ht="42.75" customHeight="1" x14ac:dyDescent="0.25">
      <c r="A1549" s="7" t="s">
        <v>58</v>
      </c>
      <c r="B1549" s="2" t="s">
        <v>19761</v>
      </c>
      <c r="C1549" s="2" t="s">
        <v>19762</v>
      </c>
      <c r="D1549" s="2" t="s">
        <v>19763</v>
      </c>
      <c r="F1549" s="3" t="s">
        <v>58</v>
      </c>
      <c r="G1549" s="3" t="s">
        <v>59</v>
      </c>
      <c r="H1549" s="3" t="s">
        <v>58</v>
      </c>
      <c r="I1549" s="3" t="s">
        <v>58</v>
      </c>
      <c r="J1549" s="3" t="s">
        <v>60</v>
      </c>
      <c r="K1549" s="2" t="s">
        <v>11754</v>
      </c>
      <c r="L1549" s="2" t="s">
        <v>14614</v>
      </c>
      <c r="M1549" s="3" t="s">
        <v>63</v>
      </c>
      <c r="N1549" s="2" t="s">
        <v>1736</v>
      </c>
      <c r="O1549" s="3" t="s">
        <v>64</v>
      </c>
      <c r="P1549" s="3" t="s">
        <v>115</v>
      </c>
      <c r="R1549" s="3" t="s">
        <v>67</v>
      </c>
      <c r="S1549" s="4">
        <v>3</v>
      </c>
      <c r="T1549" s="4">
        <v>3</v>
      </c>
      <c r="U1549" s="5" t="s">
        <v>11756</v>
      </c>
      <c r="V1549" s="5" t="s">
        <v>11756</v>
      </c>
      <c r="W1549" s="5" t="s">
        <v>9230</v>
      </c>
      <c r="X1549" s="5" t="s">
        <v>9230</v>
      </c>
      <c r="Y1549" s="4">
        <v>1489</v>
      </c>
      <c r="Z1549" s="4">
        <v>1404</v>
      </c>
      <c r="AA1549" s="4">
        <v>1721</v>
      </c>
      <c r="AB1549" s="4">
        <v>10</v>
      </c>
      <c r="AC1549" s="4">
        <v>11</v>
      </c>
      <c r="AD1549" s="4">
        <v>27</v>
      </c>
      <c r="AE1549" s="4">
        <v>35</v>
      </c>
      <c r="AF1549" s="4">
        <v>10</v>
      </c>
      <c r="AG1549" s="4">
        <v>15</v>
      </c>
      <c r="AH1549" s="4">
        <v>6</v>
      </c>
      <c r="AI1549" s="4">
        <v>7</v>
      </c>
      <c r="AJ1549" s="4">
        <v>15</v>
      </c>
      <c r="AK1549" s="4">
        <v>18</v>
      </c>
      <c r="AL1549" s="4">
        <v>3</v>
      </c>
      <c r="AM1549" s="4">
        <v>4</v>
      </c>
      <c r="AN1549" s="4">
        <v>0</v>
      </c>
      <c r="AO1549" s="4">
        <v>0</v>
      </c>
      <c r="AP1549" s="3" t="s">
        <v>58</v>
      </c>
      <c r="AQ1549" s="3" t="s">
        <v>58</v>
      </c>
      <c r="AS1549" s="6" t="str">
        <f>HYPERLINK("https://creighton-primo.hosted.exlibrisgroup.com/primo-explore/search?tab=default_tab&amp;search_scope=EVERYTHING&amp;vid=01CRU&amp;lang=en_US&amp;offset=0&amp;query=any,contains,991000226789702656","Catalog Record")</f>
        <v>Catalog Record</v>
      </c>
      <c r="AT1549" s="6" t="str">
        <f>HYPERLINK("http://www.worldcat.org/oclc/9620895","WorldCat Record")</f>
        <v>WorldCat Record</v>
      </c>
      <c r="AU1549" s="3" t="s">
        <v>19764</v>
      </c>
      <c r="AV1549" s="3" t="s">
        <v>19765</v>
      </c>
      <c r="AW1549" s="3" t="s">
        <v>19766</v>
      </c>
      <c r="AX1549" s="3" t="s">
        <v>19766</v>
      </c>
      <c r="AY1549" s="3" t="s">
        <v>19767</v>
      </c>
      <c r="AZ1549" s="3" t="s">
        <v>74</v>
      </c>
      <c r="BB1549" s="3" t="s">
        <v>19768</v>
      </c>
      <c r="BC1549" s="3" t="s">
        <v>19769</v>
      </c>
      <c r="BD1549" s="3" t="s">
        <v>19770</v>
      </c>
    </row>
    <row r="1550" spans="1:56" ht="42.75" customHeight="1" x14ac:dyDescent="0.25">
      <c r="A1550" s="7" t="s">
        <v>58</v>
      </c>
      <c r="B1550" s="2" t="s">
        <v>19771</v>
      </c>
      <c r="C1550" s="2" t="s">
        <v>19772</v>
      </c>
      <c r="D1550" s="2" t="s">
        <v>19773</v>
      </c>
      <c r="F1550" s="3" t="s">
        <v>58</v>
      </c>
      <c r="G1550" s="3" t="s">
        <v>59</v>
      </c>
      <c r="H1550" s="3" t="s">
        <v>86</v>
      </c>
      <c r="I1550" s="3" t="s">
        <v>58</v>
      </c>
      <c r="J1550" s="3" t="s">
        <v>60</v>
      </c>
      <c r="K1550" s="2" t="s">
        <v>19774</v>
      </c>
      <c r="L1550" s="2" t="s">
        <v>19775</v>
      </c>
      <c r="M1550" s="3" t="s">
        <v>1574</v>
      </c>
      <c r="O1550" s="3" t="s">
        <v>64</v>
      </c>
      <c r="P1550" s="3" t="s">
        <v>115</v>
      </c>
      <c r="R1550" s="3" t="s">
        <v>67</v>
      </c>
      <c r="S1550" s="4">
        <v>4</v>
      </c>
      <c r="T1550" s="4">
        <v>4</v>
      </c>
      <c r="U1550" s="5" t="s">
        <v>19776</v>
      </c>
      <c r="V1550" s="5" t="s">
        <v>19776</v>
      </c>
      <c r="W1550" s="5" t="s">
        <v>69</v>
      </c>
      <c r="X1550" s="5" t="s">
        <v>69</v>
      </c>
      <c r="Y1550" s="4">
        <v>327</v>
      </c>
      <c r="Z1550" s="4">
        <v>252</v>
      </c>
      <c r="AA1550" s="4">
        <v>257</v>
      </c>
      <c r="AB1550" s="4">
        <v>3</v>
      </c>
      <c r="AC1550" s="4">
        <v>3</v>
      </c>
      <c r="AD1550" s="4">
        <v>11</v>
      </c>
      <c r="AE1550" s="4">
        <v>11</v>
      </c>
      <c r="AF1550" s="4">
        <v>4</v>
      </c>
      <c r="AG1550" s="4">
        <v>4</v>
      </c>
      <c r="AH1550" s="4">
        <v>2</v>
      </c>
      <c r="AI1550" s="4">
        <v>2</v>
      </c>
      <c r="AJ1550" s="4">
        <v>7</v>
      </c>
      <c r="AK1550" s="4">
        <v>7</v>
      </c>
      <c r="AL1550" s="4">
        <v>1</v>
      </c>
      <c r="AM1550" s="4">
        <v>1</v>
      </c>
      <c r="AN1550" s="4">
        <v>0</v>
      </c>
      <c r="AO1550" s="4">
        <v>0</v>
      </c>
      <c r="AP1550" s="3" t="s">
        <v>58</v>
      </c>
      <c r="AQ1550" s="3" t="s">
        <v>58</v>
      </c>
      <c r="AS1550" s="6" t="str">
        <f>HYPERLINK("https://creighton-primo.hosted.exlibrisgroup.com/primo-explore/search?tab=default_tab&amp;search_scope=EVERYTHING&amp;vid=01CRU&amp;lang=en_US&amp;offset=0&amp;query=any,contains,991005211169702656","Catalog Record")</f>
        <v>Catalog Record</v>
      </c>
      <c r="AT1550" s="6" t="str">
        <f>HYPERLINK("http://www.worldcat.org/oclc/8169183","WorldCat Record")</f>
        <v>WorldCat Record</v>
      </c>
      <c r="AU1550" s="3" t="s">
        <v>19777</v>
      </c>
      <c r="AV1550" s="3" t="s">
        <v>19778</v>
      </c>
      <c r="AW1550" s="3" t="s">
        <v>19779</v>
      </c>
      <c r="AX1550" s="3" t="s">
        <v>19779</v>
      </c>
      <c r="AY1550" s="3" t="s">
        <v>19780</v>
      </c>
      <c r="AZ1550" s="3" t="s">
        <v>74</v>
      </c>
      <c r="BB1550" s="3" t="s">
        <v>19781</v>
      </c>
      <c r="BC1550" s="3" t="s">
        <v>19782</v>
      </c>
      <c r="BD1550" s="3" t="s">
        <v>19783</v>
      </c>
    </row>
    <row r="1551" spans="1:56" ht="42.75" customHeight="1" x14ac:dyDescent="0.25">
      <c r="A1551" s="7" t="s">
        <v>58</v>
      </c>
      <c r="B1551" s="2" t="s">
        <v>19784</v>
      </c>
      <c r="C1551" s="2" t="s">
        <v>19785</v>
      </c>
      <c r="D1551" s="2" t="s">
        <v>19786</v>
      </c>
      <c r="F1551" s="3" t="s">
        <v>58</v>
      </c>
      <c r="G1551" s="3" t="s">
        <v>59</v>
      </c>
      <c r="H1551" s="3" t="s">
        <v>58</v>
      </c>
      <c r="I1551" s="3" t="s">
        <v>58</v>
      </c>
      <c r="J1551" s="3" t="s">
        <v>60</v>
      </c>
      <c r="L1551" s="2" t="s">
        <v>19787</v>
      </c>
      <c r="M1551" s="3" t="s">
        <v>765</v>
      </c>
      <c r="O1551" s="3" t="s">
        <v>64</v>
      </c>
      <c r="P1551" s="3" t="s">
        <v>65</v>
      </c>
      <c r="Q1551" s="2" t="s">
        <v>19788</v>
      </c>
      <c r="R1551" s="3" t="s">
        <v>67</v>
      </c>
      <c r="S1551" s="4">
        <v>9</v>
      </c>
      <c r="T1551" s="4">
        <v>9</v>
      </c>
      <c r="U1551" s="5" t="s">
        <v>19789</v>
      </c>
      <c r="V1551" s="5" t="s">
        <v>19789</v>
      </c>
      <c r="W1551" s="5" t="s">
        <v>10405</v>
      </c>
      <c r="X1551" s="5" t="s">
        <v>10405</v>
      </c>
      <c r="Y1551" s="4">
        <v>67</v>
      </c>
      <c r="Z1551" s="4">
        <v>30</v>
      </c>
      <c r="AA1551" s="4">
        <v>32</v>
      </c>
      <c r="AB1551" s="4">
        <v>1</v>
      </c>
      <c r="AC1551" s="4">
        <v>1</v>
      </c>
      <c r="AD1551" s="4">
        <v>1</v>
      </c>
      <c r="AE1551" s="4">
        <v>1</v>
      </c>
      <c r="AF1551" s="4">
        <v>0</v>
      </c>
      <c r="AG1551" s="4">
        <v>0</v>
      </c>
      <c r="AH1551" s="4">
        <v>1</v>
      </c>
      <c r="AI1551" s="4">
        <v>1</v>
      </c>
      <c r="AJ1551" s="4">
        <v>0</v>
      </c>
      <c r="AK1551" s="4">
        <v>0</v>
      </c>
      <c r="AL1551" s="4">
        <v>0</v>
      </c>
      <c r="AM1551" s="4">
        <v>0</v>
      </c>
      <c r="AN1551" s="4">
        <v>0</v>
      </c>
      <c r="AO1551" s="4">
        <v>0</v>
      </c>
      <c r="AP1551" s="3" t="s">
        <v>58</v>
      </c>
      <c r="AQ1551" s="3" t="s">
        <v>86</v>
      </c>
      <c r="AR1551" s="6" t="str">
        <f>HYPERLINK("http://catalog.hathitrust.org/Record/003133362","HathiTrust Record")</f>
        <v>HathiTrust Record</v>
      </c>
      <c r="AS1551" s="6" t="str">
        <f>HYPERLINK("https://creighton-primo.hosted.exlibrisgroup.com/primo-explore/search?tab=default_tab&amp;search_scope=EVERYTHING&amp;vid=01CRU&amp;lang=en_US&amp;offset=0&amp;query=any,contains,991002556059702656","Catalog Record")</f>
        <v>Catalog Record</v>
      </c>
      <c r="AT1551" s="6" t="str">
        <f>HYPERLINK("http://www.worldcat.org/oclc/33242935","WorldCat Record")</f>
        <v>WorldCat Record</v>
      </c>
      <c r="AU1551" s="3" t="s">
        <v>19790</v>
      </c>
      <c r="AV1551" s="3" t="s">
        <v>19791</v>
      </c>
      <c r="AW1551" s="3" t="s">
        <v>19792</v>
      </c>
      <c r="AX1551" s="3" t="s">
        <v>19792</v>
      </c>
      <c r="AY1551" s="3" t="s">
        <v>19793</v>
      </c>
      <c r="AZ1551" s="3" t="s">
        <v>74</v>
      </c>
      <c r="BB1551" s="3" t="s">
        <v>19794</v>
      </c>
      <c r="BC1551" s="3" t="s">
        <v>19795</v>
      </c>
      <c r="BD1551" s="3" t="s">
        <v>19796</v>
      </c>
    </row>
    <row r="1552" spans="1:56" ht="42.75" customHeight="1" x14ac:dyDescent="0.25">
      <c r="A1552" s="7" t="s">
        <v>58</v>
      </c>
      <c r="B1552" s="2" t="s">
        <v>19797</v>
      </c>
      <c r="C1552" s="2" t="s">
        <v>19798</v>
      </c>
      <c r="D1552" s="2" t="s">
        <v>19799</v>
      </c>
      <c r="F1552" s="3" t="s">
        <v>58</v>
      </c>
      <c r="G1552" s="3" t="s">
        <v>59</v>
      </c>
      <c r="H1552" s="3" t="s">
        <v>58</v>
      </c>
      <c r="I1552" s="3" t="s">
        <v>58</v>
      </c>
      <c r="J1552" s="3" t="s">
        <v>60</v>
      </c>
      <c r="K1552" s="2" t="s">
        <v>19800</v>
      </c>
      <c r="L1552" s="2" t="s">
        <v>19801</v>
      </c>
      <c r="M1552" s="3" t="s">
        <v>19802</v>
      </c>
      <c r="O1552" s="3" t="s">
        <v>64</v>
      </c>
      <c r="P1552" s="3" t="s">
        <v>316</v>
      </c>
      <c r="Q1552" s="2" t="s">
        <v>19803</v>
      </c>
      <c r="R1552" s="3" t="s">
        <v>67</v>
      </c>
      <c r="S1552" s="4">
        <v>4</v>
      </c>
      <c r="T1552" s="4">
        <v>4</v>
      </c>
      <c r="U1552" s="5" t="s">
        <v>19804</v>
      </c>
      <c r="V1552" s="5" t="s">
        <v>19804</v>
      </c>
      <c r="W1552" s="5" t="s">
        <v>85</v>
      </c>
      <c r="X1552" s="5" t="s">
        <v>85</v>
      </c>
      <c r="Y1552" s="4">
        <v>18</v>
      </c>
      <c r="Z1552" s="4">
        <v>15</v>
      </c>
      <c r="AA1552" s="4">
        <v>16</v>
      </c>
      <c r="AB1552" s="4">
        <v>1</v>
      </c>
      <c r="AC1552" s="4">
        <v>1</v>
      </c>
      <c r="AD1552" s="4">
        <v>0</v>
      </c>
      <c r="AE1552" s="4">
        <v>0</v>
      </c>
      <c r="AF1552" s="4">
        <v>0</v>
      </c>
      <c r="AG1552" s="4">
        <v>0</v>
      </c>
      <c r="AH1552" s="4">
        <v>0</v>
      </c>
      <c r="AI1552" s="4">
        <v>0</v>
      </c>
      <c r="AJ1552" s="4">
        <v>0</v>
      </c>
      <c r="AK1552" s="4">
        <v>0</v>
      </c>
      <c r="AL1552" s="4">
        <v>0</v>
      </c>
      <c r="AM1552" s="4">
        <v>0</v>
      </c>
      <c r="AN1552" s="4">
        <v>0</v>
      </c>
      <c r="AO1552" s="4">
        <v>0</v>
      </c>
      <c r="AP1552" s="3" t="s">
        <v>58</v>
      </c>
      <c r="AQ1552" s="3" t="s">
        <v>58</v>
      </c>
      <c r="AS1552" s="6" t="str">
        <f>HYPERLINK("https://creighton-primo.hosted.exlibrisgroup.com/primo-explore/search?tab=default_tab&amp;search_scope=EVERYTHING&amp;vid=01CRU&amp;lang=en_US&amp;offset=0&amp;query=any,contains,991003904809702656","Catalog Record")</f>
        <v>Catalog Record</v>
      </c>
      <c r="AT1552" s="6" t="str">
        <f>HYPERLINK("http://www.worldcat.org/oclc/1834490","WorldCat Record")</f>
        <v>WorldCat Record</v>
      </c>
      <c r="AU1552" s="3" t="s">
        <v>19805</v>
      </c>
      <c r="AV1552" s="3" t="s">
        <v>19806</v>
      </c>
      <c r="AW1552" s="3" t="s">
        <v>19807</v>
      </c>
      <c r="AX1552" s="3" t="s">
        <v>19807</v>
      </c>
      <c r="AY1552" s="3" t="s">
        <v>19808</v>
      </c>
      <c r="AZ1552" s="3" t="s">
        <v>74</v>
      </c>
      <c r="BC1552" s="3" t="s">
        <v>19809</v>
      </c>
      <c r="BD1552" s="3" t="s">
        <v>19810</v>
      </c>
    </row>
    <row r="1553" spans="1:56" ht="42.75" customHeight="1" x14ac:dyDescent="0.25">
      <c r="A1553" s="7" t="s">
        <v>58</v>
      </c>
      <c r="B1553" s="2" t="s">
        <v>19811</v>
      </c>
      <c r="C1553" s="2" t="s">
        <v>19812</v>
      </c>
      <c r="D1553" s="2" t="s">
        <v>19813</v>
      </c>
      <c r="F1553" s="3" t="s">
        <v>58</v>
      </c>
      <c r="G1553" s="3" t="s">
        <v>59</v>
      </c>
      <c r="H1553" s="3" t="s">
        <v>58</v>
      </c>
      <c r="I1553" s="3" t="s">
        <v>58</v>
      </c>
      <c r="J1553" s="3" t="s">
        <v>60</v>
      </c>
      <c r="L1553" s="2" t="s">
        <v>19814</v>
      </c>
      <c r="M1553" s="3" t="s">
        <v>371</v>
      </c>
      <c r="O1553" s="3" t="s">
        <v>64</v>
      </c>
      <c r="P1553" s="3" t="s">
        <v>359</v>
      </c>
      <c r="Q1553" s="2" t="s">
        <v>19815</v>
      </c>
      <c r="R1553" s="3" t="s">
        <v>67</v>
      </c>
      <c r="S1553" s="4">
        <v>1</v>
      </c>
      <c r="T1553" s="4">
        <v>1</v>
      </c>
      <c r="U1553" s="5" t="s">
        <v>19816</v>
      </c>
      <c r="V1553" s="5" t="s">
        <v>19816</v>
      </c>
      <c r="W1553" s="5" t="s">
        <v>69</v>
      </c>
      <c r="X1553" s="5" t="s">
        <v>69</v>
      </c>
      <c r="Y1553" s="4">
        <v>174</v>
      </c>
      <c r="Z1553" s="4">
        <v>139</v>
      </c>
      <c r="AA1553" s="4">
        <v>141</v>
      </c>
      <c r="AB1553" s="4">
        <v>1</v>
      </c>
      <c r="AC1553" s="4">
        <v>1</v>
      </c>
      <c r="AD1553" s="4">
        <v>3</v>
      </c>
      <c r="AE1553" s="4">
        <v>3</v>
      </c>
      <c r="AF1553" s="4">
        <v>0</v>
      </c>
      <c r="AG1553" s="4">
        <v>0</v>
      </c>
      <c r="AH1553" s="4">
        <v>2</v>
      </c>
      <c r="AI1553" s="4">
        <v>2</v>
      </c>
      <c r="AJ1553" s="4">
        <v>1</v>
      </c>
      <c r="AK1553" s="4">
        <v>1</v>
      </c>
      <c r="AL1553" s="4">
        <v>0</v>
      </c>
      <c r="AM1553" s="4">
        <v>0</v>
      </c>
      <c r="AN1553" s="4">
        <v>0</v>
      </c>
      <c r="AO1553" s="4">
        <v>0</v>
      </c>
      <c r="AP1553" s="3" t="s">
        <v>58</v>
      </c>
      <c r="AQ1553" s="3" t="s">
        <v>86</v>
      </c>
      <c r="AR1553" s="6" t="str">
        <f>HYPERLINK("http://catalog.hathitrust.org/Record/000443451","HathiTrust Record")</f>
        <v>HathiTrust Record</v>
      </c>
      <c r="AS1553" s="6" t="str">
        <f>HYPERLINK("https://creighton-primo.hosted.exlibrisgroup.com/primo-explore/search?tab=default_tab&amp;search_scope=EVERYTHING&amp;vid=01CRU&amp;lang=en_US&amp;offset=0&amp;query=any,contains,991000871789702656","Catalog Record")</f>
        <v>Catalog Record</v>
      </c>
      <c r="AT1553" s="6" t="str">
        <f>HYPERLINK("http://www.worldcat.org/oclc/13793332","WorldCat Record")</f>
        <v>WorldCat Record</v>
      </c>
      <c r="AU1553" s="3" t="s">
        <v>19817</v>
      </c>
      <c r="AV1553" s="3" t="s">
        <v>19818</v>
      </c>
      <c r="AW1553" s="3" t="s">
        <v>19819</v>
      </c>
      <c r="AX1553" s="3" t="s">
        <v>19819</v>
      </c>
      <c r="AY1553" s="3" t="s">
        <v>19820</v>
      </c>
      <c r="AZ1553" s="3" t="s">
        <v>74</v>
      </c>
      <c r="BB1553" s="3" t="s">
        <v>19821</v>
      </c>
      <c r="BC1553" s="3" t="s">
        <v>19822</v>
      </c>
      <c r="BD1553" s="3" t="s">
        <v>19823</v>
      </c>
    </row>
    <row r="1554" spans="1:56" ht="42.75" customHeight="1" x14ac:dyDescent="0.25">
      <c r="A1554" s="7" t="s">
        <v>58</v>
      </c>
      <c r="B1554" s="2" t="s">
        <v>19824</v>
      </c>
      <c r="C1554" s="2" t="s">
        <v>19825</v>
      </c>
      <c r="D1554" s="2" t="s">
        <v>19826</v>
      </c>
      <c r="F1554" s="3" t="s">
        <v>58</v>
      </c>
      <c r="G1554" s="3" t="s">
        <v>59</v>
      </c>
      <c r="H1554" s="3" t="s">
        <v>58</v>
      </c>
      <c r="I1554" s="3" t="s">
        <v>58</v>
      </c>
      <c r="J1554" s="3" t="s">
        <v>60</v>
      </c>
      <c r="K1554" s="2" t="s">
        <v>19827</v>
      </c>
      <c r="L1554" s="2" t="s">
        <v>19828</v>
      </c>
      <c r="M1554" s="3" t="s">
        <v>888</v>
      </c>
      <c r="O1554" s="3" t="s">
        <v>64</v>
      </c>
      <c r="P1554" s="3" t="s">
        <v>359</v>
      </c>
      <c r="R1554" s="3" t="s">
        <v>67</v>
      </c>
      <c r="S1554" s="4">
        <v>2</v>
      </c>
      <c r="T1554" s="4">
        <v>2</v>
      </c>
      <c r="U1554" s="5" t="s">
        <v>19829</v>
      </c>
      <c r="V1554" s="5" t="s">
        <v>19829</v>
      </c>
      <c r="W1554" s="5" t="s">
        <v>19830</v>
      </c>
      <c r="X1554" s="5" t="s">
        <v>19830</v>
      </c>
      <c r="Y1554" s="4">
        <v>196</v>
      </c>
      <c r="Z1554" s="4">
        <v>139</v>
      </c>
      <c r="AA1554" s="4">
        <v>142</v>
      </c>
      <c r="AB1554" s="4">
        <v>1</v>
      </c>
      <c r="AC1554" s="4">
        <v>1</v>
      </c>
      <c r="AD1554" s="4">
        <v>5</v>
      </c>
      <c r="AE1554" s="4">
        <v>5</v>
      </c>
      <c r="AF1554" s="4">
        <v>4</v>
      </c>
      <c r="AG1554" s="4">
        <v>4</v>
      </c>
      <c r="AH1554" s="4">
        <v>1</v>
      </c>
      <c r="AI1554" s="4">
        <v>1</v>
      </c>
      <c r="AJ1554" s="4">
        <v>2</v>
      </c>
      <c r="AK1554" s="4">
        <v>2</v>
      </c>
      <c r="AL1554" s="4">
        <v>0</v>
      </c>
      <c r="AM1554" s="4">
        <v>0</v>
      </c>
      <c r="AN1554" s="4">
        <v>0</v>
      </c>
      <c r="AO1554" s="4">
        <v>0</v>
      </c>
      <c r="AP1554" s="3" t="s">
        <v>58</v>
      </c>
      <c r="AQ1554" s="3" t="s">
        <v>86</v>
      </c>
      <c r="AR1554" s="6" t="str">
        <f>HYPERLINK("http://catalog.hathitrust.org/Record/003195371","HathiTrust Record")</f>
        <v>HathiTrust Record</v>
      </c>
      <c r="AS1554" s="6" t="str">
        <f>HYPERLINK("https://creighton-primo.hosted.exlibrisgroup.com/primo-explore/search?tab=default_tab&amp;search_scope=EVERYTHING&amp;vid=01CRU&amp;lang=en_US&amp;offset=0&amp;query=any,contains,991002815539702656","Catalog Record")</f>
        <v>Catalog Record</v>
      </c>
      <c r="AT1554" s="6" t="str">
        <f>HYPERLINK("http://www.worldcat.org/oclc/36977258","WorldCat Record")</f>
        <v>WorldCat Record</v>
      </c>
      <c r="AU1554" s="3" t="s">
        <v>19831</v>
      </c>
      <c r="AV1554" s="3" t="s">
        <v>19832</v>
      </c>
      <c r="AW1554" s="3" t="s">
        <v>19833</v>
      </c>
      <c r="AX1554" s="3" t="s">
        <v>19833</v>
      </c>
      <c r="AY1554" s="3" t="s">
        <v>19834</v>
      </c>
      <c r="AZ1554" s="3" t="s">
        <v>74</v>
      </c>
      <c r="BB1554" s="3" t="s">
        <v>19835</v>
      </c>
      <c r="BC1554" s="3" t="s">
        <v>19836</v>
      </c>
      <c r="BD1554" s="3" t="s">
        <v>19837</v>
      </c>
    </row>
    <row r="1555" spans="1:56" ht="42.75" customHeight="1" x14ac:dyDescent="0.25">
      <c r="A1555" s="7" t="s">
        <v>58</v>
      </c>
      <c r="B1555" s="2" t="s">
        <v>19838</v>
      </c>
      <c r="C1555" s="2" t="s">
        <v>19839</v>
      </c>
      <c r="D1555" s="2" t="s">
        <v>19840</v>
      </c>
      <c r="F1555" s="3" t="s">
        <v>58</v>
      </c>
      <c r="G1555" s="3" t="s">
        <v>59</v>
      </c>
      <c r="H1555" s="3" t="s">
        <v>86</v>
      </c>
      <c r="I1555" s="3" t="s">
        <v>58</v>
      </c>
      <c r="J1555" s="3" t="s">
        <v>60</v>
      </c>
      <c r="K1555" s="2" t="s">
        <v>19841</v>
      </c>
      <c r="L1555" s="2" t="s">
        <v>19842</v>
      </c>
      <c r="M1555" s="3" t="s">
        <v>765</v>
      </c>
      <c r="O1555" s="3" t="s">
        <v>64</v>
      </c>
      <c r="P1555" s="3" t="s">
        <v>316</v>
      </c>
      <c r="Q1555" s="2" t="s">
        <v>19843</v>
      </c>
      <c r="R1555" s="3" t="s">
        <v>67</v>
      </c>
      <c r="S1555" s="4">
        <v>0</v>
      </c>
      <c r="T1555" s="4">
        <v>7</v>
      </c>
      <c r="U1555" s="5" t="s">
        <v>15895</v>
      </c>
      <c r="V1555" s="5" t="s">
        <v>19844</v>
      </c>
      <c r="W1555" s="5" t="s">
        <v>19845</v>
      </c>
      <c r="X1555" s="5" t="s">
        <v>19846</v>
      </c>
      <c r="Y1555" s="4">
        <v>214</v>
      </c>
      <c r="Z1555" s="4">
        <v>164</v>
      </c>
      <c r="AA1555" s="4">
        <v>646</v>
      </c>
      <c r="AB1555" s="4">
        <v>2</v>
      </c>
      <c r="AC1555" s="4">
        <v>6</v>
      </c>
      <c r="AD1555" s="4">
        <v>11</v>
      </c>
      <c r="AE1555" s="4">
        <v>36</v>
      </c>
      <c r="AF1555" s="4">
        <v>5</v>
      </c>
      <c r="AG1555" s="4">
        <v>16</v>
      </c>
      <c r="AH1555" s="4">
        <v>1</v>
      </c>
      <c r="AI1555" s="4">
        <v>8</v>
      </c>
      <c r="AJ1555" s="4">
        <v>7</v>
      </c>
      <c r="AK1555" s="4">
        <v>16</v>
      </c>
      <c r="AL1555" s="4">
        <v>0</v>
      </c>
      <c r="AM1555" s="4">
        <v>4</v>
      </c>
      <c r="AN1555" s="4">
        <v>0</v>
      </c>
      <c r="AO1555" s="4">
        <v>0</v>
      </c>
      <c r="AP1555" s="3" t="s">
        <v>58</v>
      </c>
      <c r="AQ1555" s="3" t="s">
        <v>58</v>
      </c>
      <c r="AS1555" s="6" t="str">
        <f>HYPERLINK("https://creighton-primo.hosted.exlibrisgroup.com/primo-explore/search?tab=default_tab&amp;search_scope=EVERYTHING&amp;vid=01CRU&amp;lang=en_US&amp;offset=0&amp;query=any,contains,991001790209702656","Catalog Record")</f>
        <v>Catalog Record</v>
      </c>
      <c r="AT1555" s="6" t="str">
        <f>HYPERLINK("http://www.worldcat.org/oclc/30399807","WorldCat Record")</f>
        <v>WorldCat Record</v>
      </c>
      <c r="AU1555" s="3" t="s">
        <v>19847</v>
      </c>
      <c r="AV1555" s="3" t="s">
        <v>19848</v>
      </c>
      <c r="AW1555" s="3" t="s">
        <v>19849</v>
      </c>
      <c r="AX1555" s="3" t="s">
        <v>19849</v>
      </c>
      <c r="AY1555" s="3" t="s">
        <v>19850</v>
      </c>
      <c r="AZ1555" s="3" t="s">
        <v>74</v>
      </c>
      <c r="BB1555" s="3" t="s">
        <v>19851</v>
      </c>
      <c r="BC1555" s="3" t="s">
        <v>19852</v>
      </c>
      <c r="BD1555" s="3" t="s">
        <v>19853</v>
      </c>
    </row>
    <row r="1556" spans="1:56" ht="42.75" customHeight="1" x14ac:dyDescent="0.25">
      <c r="A1556" s="7" t="s">
        <v>58</v>
      </c>
      <c r="B1556" s="2" t="s">
        <v>19854</v>
      </c>
      <c r="C1556" s="2" t="s">
        <v>19855</v>
      </c>
      <c r="D1556" s="2" t="s">
        <v>19856</v>
      </c>
      <c r="F1556" s="3" t="s">
        <v>58</v>
      </c>
      <c r="G1556" s="3" t="s">
        <v>59</v>
      </c>
      <c r="H1556" s="3" t="s">
        <v>58</v>
      </c>
      <c r="I1556" s="3" t="s">
        <v>58</v>
      </c>
      <c r="J1556" s="3" t="s">
        <v>60</v>
      </c>
      <c r="K1556" s="2" t="s">
        <v>19857</v>
      </c>
      <c r="L1556" s="2" t="s">
        <v>19858</v>
      </c>
      <c r="M1556" s="3" t="s">
        <v>144</v>
      </c>
      <c r="O1556" s="3" t="s">
        <v>64</v>
      </c>
      <c r="P1556" s="3" t="s">
        <v>65</v>
      </c>
      <c r="R1556" s="3" t="s">
        <v>67</v>
      </c>
      <c r="S1556" s="4">
        <v>3</v>
      </c>
      <c r="T1556" s="4">
        <v>3</v>
      </c>
      <c r="U1556" s="5" t="s">
        <v>12247</v>
      </c>
      <c r="V1556" s="5" t="s">
        <v>12247</v>
      </c>
      <c r="W1556" s="5" t="s">
        <v>19859</v>
      </c>
      <c r="X1556" s="5" t="s">
        <v>19859</v>
      </c>
      <c r="Y1556" s="4">
        <v>242</v>
      </c>
      <c r="Z1556" s="4">
        <v>184</v>
      </c>
      <c r="AA1556" s="4">
        <v>237</v>
      </c>
      <c r="AB1556" s="4">
        <v>1</v>
      </c>
      <c r="AC1556" s="4">
        <v>1</v>
      </c>
      <c r="AD1556" s="4">
        <v>10</v>
      </c>
      <c r="AE1556" s="4">
        <v>10</v>
      </c>
      <c r="AF1556" s="4">
        <v>3</v>
      </c>
      <c r="AG1556" s="4">
        <v>3</v>
      </c>
      <c r="AH1556" s="4">
        <v>4</v>
      </c>
      <c r="AI1556" s="4">
        <v>4</v>
      </c>
      <c r="AJ1556" s="4">
        <v>6</v>
      </c>
      <c r="AK1556" s="4">
        <v>6</v>
      </c>
      <c r="AL1556" s="4">
        <v>0</v>
      </c>
      <c r="AM1556" s="4">
        <v>0</v>
      </c>
      <c r="AN1556" s="4">
        <v>0</v>
      </c>
      <c r="AO1556" s="4">
        <v>0</v>
      </c>
      <c r="AP1556" s="3" t="s">
        <v>58</v>
      </c>
      <c r="AQ1556" s="3" t="s">
        <v>58</v>
      </c>
      <c r="AS1556" s="6" t="str">
        <f>HYPERLINK("https://creighton-primo.hosted.exlibrisgroup.com/primo-explore/search?tab=default_tab&amp;search_scope=EVERYTHING&amp;vid=01CRU&amp;lang=en_US&amp;offset=0&amp;query=any,contains,991002718879702656","Catalog Record")</f>
        <v>Catalog Record</v>
      </c>
      <c r="AT1556" s="6" t="str">
        <f>HYPERLINK("http://www.worldcat.org/oclc/35650895","WorldCat Record")</f>
        <v>WorldCat Record</v>
      </c>
      <c r="AU1556" s="3" t="s">
        <v>19860</v>
      </c>
      <c r="AV1556" s="3" t="s">
        <v>19861</v>
      </c>
      <c r="AW1556" s="3" t="s">
        <v>19862</v>
      </c>
      <c r="AX1556" s="3" t="s">
        <v>19862</v>
      </c>
      <c r="AY1556" s="3" t="s">
        <v>19863</v>
      </c>
      <c r="AZ1556" s="3" t="s">
        <v>74</v>
      </c>
      <c r="BB1556" s="3" t="s">
        <v>19864</v>
      </c>
      <c r="BC1556" s="3" t="s">
        <v>19865</v>
      </c>
      <c r="BD1556" s="3" t="s">
        <v>19866</v>
      </c>
    </row>
    <row r="1557" spans="1:56" ht="42.75" customHeight="1" x14ac:dyDescent="0.25">
      <c r="A1557" s="7" t="s">
        <v>58</v>
      </c>
      <c r="B1557" s="2" t="s">
        <v>19867</v>
      </c>
      <c r="C1557" s="2" t="s">
        <v>19868</v>
      </c>
      <c r="D1557" s="2" t="s">
        <v>19869</v>
      </c>
      <c r="F1557" s="3" t="s">
        <v>58</v>
      </c>
      <c r="G1557" s="3" t="s">
        <v>59</v>
      </c>
      <c r="H1557" s="3" t="s">
        <v>58</v>
      </c>
      <c r="I1557" s="3" t="s">
        <v>58</v>
      </c>
      <c r="J1557" s="3" t="s">
        <v>60</v>
      </c>
      <c r="K1557" s="2" t="s">
        <v>19870</v>
      </c>
      <c r="L1557" s="2" t="s">
        <v>19871</v>
      </c>
      <c r="M1557" s="3" t="s">
        <v>534</v>
      </c>
      <c r="O1557" s="3" t="s">
        <v>64</v>
      </c>
      <c r="P1557" s="3" t="s">
        <v>65</v>
      </c>
      <c r="R1557" s="3" t="s">
        <v>67</v>
      </c>
      <c r="S1557" s="4">
        <v>5</v>
      </c>
      <c r="T1557" s="4">
        <v>5</v>
      </c>
      <c r="U1557" s="5" t="s">
        <v>19872</v>
      </c>
      <c r="V1557" s="5" t="s">
        <v>19872</v>
      </c>
      <c r="W1557" s="5" t="s">
        <v>19539</v>
      </c>
      <c r="X1557" s="5" t="s">
        <v>19539</v>
      </c>
      <c r="Y1557" s="4">
        <v>154</v>
      </c>
      <c r="Z1557" s="4">
        <v>98</v>
      </c>
      <c r="AA1557" s="4">
        <v>98</v>
      </c>
      <c r="AB1557" s="4">
        <v>1</v>
      </c>
      <c r="AC1557" s="4">
        <v>1</v>
      </c>
      <c r="AD1557" s="4">
        <v>4</v>
      </c>
      <c r="AE1557" s="4">
        <v>4</v>
      </c>
      <c r="AF1557" s="4">
        <v>1</v>
      </c>
      <c r="AG1557" s="4">
        <v>1</v>
      </c>
      <c r="AH1557" s="4">
        <v>1</v>
      </c>
      <c r="AI1557" s="4">
        <v>1</v>
      </c>
      <c r="AJ1557" s="4">
        <v>3</v>
      </c>
      <c r="AK1557" s="4">
        <v>3</v>
      </c>
      <c r="AL1557" s="4">
        <v>0</v>
      </c>
      <c r="AM1557" s="4">
        <v>0</v>
      </c>
      <c r="AN1557" s="4">
        <v>0</v>
      </c>
      <c r="AO1557" s="4">
        <v>0</v>
      </c>
      <c r="AP1557" s="3" t="s">
        <v>58</v>
      </c>
      <c r="AQ1557" s="3" t="s">
        <v>58</v>
      </c>
      <c r="AS1557" s="6" t="str">
        <f>HYPERLINK("https://creighton-primo.hosted.exlibrisgroup.com/primo-explore/search?tab=default_tab&amp;search_scope=EVERYTHING&amp;vid=01CRU&amp;lang=en_US&amp;offset=0&amp;query=any,contains,991001613319702656","Catalog Record")</f>
        <v>Catalog Record</v>
      </c>
      <c r="AT1557" s="6" t="str">
        <f>HYPERLINK("http://www.worldcat.org/oclc/20755879","WorldCat Record")</f>
        <v>WorldCat Record</v>
      </c>
      <c r="AU1557" s="3" t="s">
        <v>19873</v>
      </c>
      <c r="AV1557" s="3" t="s">
        <v>19874</v>
      </c>
      <c r="AW1557" s="3" t="s">
        <v>19875</v>
      </c>
      <c r="AX1557" s="3" t="s">
        <v>19875</v>
      </c>
      <c r="AY1557" s="3" t="s">
        <v>19876</v>
      </c>
      <c r="AZ1557" s="3" t="s">
        <v>74</v>
      </c>
      <c r="BB1557" s="3" t="s">
        <v>19877</v>
      </c>
      <c r="BC1557" s="3" t="s">
        <v>19878</v>
      </c>
      <c r="BD1557" s="3" t="s">
        <v>19879</v>
      </c>
    </row>
    <row r="1558" spans="1:56" ht="42.75" customHeight="1" x14ac:dyDescent="0.25">
      <c r="A1558" s="7" t="s">
        <v>58</v>
      </c>
      <c r="B1558" s="2" t="s">
        <v>19880</v>
      </c>
      <c r="C1558" s="2" t="s">
        <v>19881</v>
      </c>
      <c r="D1558" s="2" t="s">
        <v>19882</v>
      </c>
      <c r="F1558" s="3" t="s">
        <v>58</v>
      </c>
      <c r="G1558" s="3" t="s">
        <v>59</v>
      </c>
      <c r="H1558" s="3" t="s">
        <v>58</v>
      </c>
      <c r="I1558" s="3" t="s">
        <v>58</v>
      </c>
      <c r="J1558" s="3" t="s">
        <v>60</v>
      </c>
      <c r="K1558" s="2" t="s">
        <v>19883</v>
      </c>
      <c r="L1558" s="2" t="s">
        <v>19884</v>
      </c>
      <c r="M1558" s="3" t="s">
        <v>19802</v>
      </c>
      <c r="O1558" s="3" t="s">
        <v>64</v>
      </c>
      <c r="P1558" s="3" t="s">
        <v>316</v>
      </c>
      <c r="Q1558" s="2" t="s">
        <v>19803</v>
      </c>
      <c r="R1558" s="3" t="s">
        <v>67</v>
      </c>
      <c r="S1558" s="4">
        <v>2</v>
      </c>
      <c r="T1558" s="4">
        <v>2</v>
      </c>
      <c r="U1558" s="5" t="s">
        <v>19885</v>
      </c>
      <c r="V1558" s="5" t="s">
        <v>19885</v>
      </c>
      <c r="W1558" s="5" t="s">
        <v>85</v>
      </c>
      <c r="X1558" s="5" t="s">
        <v>85</v>
      </c>
      <c r="Y1558" s="4">
        <v>38</v>
      </c>
      <c r="Z1558" s="4">
        <v>23</v>
      </c>
      <c r="AA1558" s="4">
        <v>24</v>
      </c>
      <c r="AB1558" s="4">
        <v>1</v>
      </c>
      <c r="AC1558" s="4">
        <v>1</v>
      </c>
      <c r="AD1558" s="4">
        <v>0</v>
      </c>
      <c r="AE1558" s="4">
        <v>0</v>
      </c>
      <c r="AF1558" s="4">
        <v>0</v>
      </c>
      <c r="AG1558" s="4">
        <v>0</v>
      </c>
      <c r="AH1558" s="4">
        <v>0</v>
      </c>
      <c r="AI1558" s="4">
        <v>0</v>
      </c>
      <c r="AJ1558" s="4">
        <v>0</v>
      </c>
      <c r="AK1558" s="4">
        <v>0</v>
      </c>
      <c r="AL1558" s="4">
        <v>0</v>
      </c>
      <c r="AM1558" s="4">
        <v>0</v>
      </c>
      <c r="AN1558" s="4">
        <v>0</v>
      </c>
      <c r="AO1558" s="4">
        <v>0</v>
      </c>
      <c r="AP1558" s="3" t="s">
        <v>58</v>
      </c>
      <c r="AQ1558" s="3" t="s">
        <v>58</v>
      </c>
      <c r="AS1558" s="6" t="str">
        <f>HYPERLINK("https://creighton-primo.hosted.exlibrisgroup.com/primo-explore/search?tab=default_tab&amp;search_scope=EVERYTHING&amp;vid=01CRU&amp;lang=en_US&amp;offset=0&amp;query=any,contains,991003868439702656","Catalog Record")</f>
        <v>Catalog Record</v>
      </c>
      <c r="AT1558" s="6" t="str">
        <f>HYPERLINK("http://www.worldcat.org/oclc/1684889","WorldCat Record")</f>
        <v>WorldCat Record</v>
      </c>
      <c r="AU1558" s="3" t="s">
        <v>19886</v>
      </c>
      <c r="AV1558" s="3" t="s">
        <v>19887</v>
      </c>
      <c r="AW1558" s="3" t="s">
        <v>19888</v>
      </c>
      <c r="AX1558" s="3" t="s">
        <v>19888</v>
      </c>
      <c r="AY1558" s="3" t="s">
        <v>19889</v>
      </c>
      <c r="AZ1558" s="3" t="s">
        <v>74</v>
      </c>
      <c r="BC1558" s="3" t="s">
        <v>19890</v>
      </c>
      <c r="BD1558" s="3" t="s">
        <v>19891</v>
      </c>
    </row>
    <row r="1559" spans="1:56" ht="42.75" customHeight="1" x14ac:dyDescent="0.25">
      <c r="A1559" s="7" t="s">
        <v>58</v>
      </c>
      <c r="B1559" s="2" t="s">
        <v>19892</v>
      </c>
      <c r="C1559" s="2" t="s">
        <v>19893</v>
      </c>
      <c r="D1559" s="2" t="s">
        <v>19894</v>
      </c>
      <c r="F1559" s="3" t="s">
        <v>58</v>
      </c>
      <c r="G1559" s="3" t="s">
        <v>59</v>
      </c>
      <c r="H1559" s="3" t="s">
        <v>86</v>
      </c>
      <c r="I1559" s="3" t="s">
        <v>58</v>
      </c>
      <c r="J1559" s="3" t="s">
        <v>60</v>
      </c>
      <c r="L1559" s="2" t="s">
        <v>6056</v>
      </c>
      <c r="M1559" s="3" t="s">
        <v>344</v>
      </c>
      <c r="O1559" s="3" t="s">
        <v>64</v>
      </c>
      <c r="P1559" s="3" t="s">
        <v>115</v>
      </c>
      <c r="R1559" s="3" t="s">
        <v>67</v>
      </c>
      <c r="S1559" s="4">
        <v>3</v>
      </c>
      <c r="T1559" s="4">
        <v>3</v>
      </c>
      <c r="U1559" s="5" t="s">
        <v>19885</v>
      </c>
      <c r="V1559" s="5" t="s">
        <v>19885</v>
      </c>
      <c r="W1559" s="5" t="s">
        <v>549</v>
      </c>
      <c r="X1559" s="5" t="s">
        <v>549</v>
      </c>
      <c r="Y1559" s="4">
        <v>124</v>
      </c>
      <c r="Z1559" s="4">
        <v>84</v>
      </c>
      <c r="AA1559" s="4">
        <v>86</v>
      </c>
      <c r="AB1559" s="4">
        <v>2</v>
      </c>
      <c r="AC1559" s="4">
        <v>2</v>
      </c>
      <c r="AD1559" s="4">
        <v>1</v>
      </c>
      <c r="AE1559" s="4">
        <v>1</v>
      </c>
      <c r="AF1559" s="4">
        <v>0</v>
      </c>
      <c r="AG1559" s="4">
        <v>0</v>
      </c>
      <c r="AH1559" s="4">
        <v>1</v>
      </c>
      <c r="AI1559" s="4">
        <v>1</v>
      </c>
      <c r="AJ1559" s="4">
        <v>0</v>
      </c>
      <c r="AK1559" s="4">
        <v>0</v>
      </c>
      <c r="AL1559" s="4">
        <v>0</v>
      </c>
      <c r="AM1559" s="4">
        <v>0</v>
      </c>
      <c r="AN1559" s="4">
        <v>0</v>
      </c>
      <c r="AO1559" s="4">
        <v>0</v>
      </c>
      <c r="AP1559" s="3" t="s">
        <v>58</v>
      </c>
      <c r="AQ1559" s="3" t="s">
        <v>86</v>
      </c>
      <c r="AR1559" s="6" t="str">
        <f>HYPERLINK("http://catalog.hathitrust.org/Record/000141112","HathiTrust Record")</f>
        <v>HathiTrust Record</v>
      </c>
      <c r="AS1559" s="6" t="str">
        <f>HYPERLINK("https://creighton-primo.hosted.exlibrisgroup.com/primo-explore/search?tab=default_tab&amp;search_scope=EVERYTHING&amp;vid=01CRU&amp;lang=en_US&amp;offset=0&amp;query=any,contains,991005057819702656","Catalog Record")</f>
        <v>Catalog Record</v>
      </c>
      <c r="AT1559" s="6" t="str">
        <f>HYPERLINK("http://www.worldcat.org/oclc/6914637","WorldCat Record")</f>
        <v>WorldCat Record</v>
      </c>
      <c r="AU1559" s="3" t="s">
        <v>19895</v>
      </c>
      <c r="AV1559" s="3" t="s">
        <v>19896</v>
      </c>
      <c r="AW1559" s="3" t="s">
        <v>19897</v>
      </c>
      <c r="AX1559" s="3" t="s">
        <v>19897</v>
      </c>
      <c r="AY1559" s="3" t="s">
        <v>19898</v>
      </c>
      <c r="AZ1559" s="3" t="s">
        <v>74</v>
      </c>
      <c r="BB1559" s="3" t="s">
        <v>19899</v>
      </c>
      <c r="BC1559" s="3" t="s">
        <v>19900</v>
      </c>
      <c r="BD1559" s="3" t="s">
        <v>19901</v>
      </c>
    </row>
    <row r="1560" spans="1:56" ht="42.75" customHeight="1" x14ac:dyDescent="0.25">
      <c r="A1560" s="7" t="s">
        <v>58</v>
      </c>
      <c r="B1560" s="2" t="s">
        <v>19902</v>
      </c>
      <c r="C1560" s="2" t="s">
        <v>19903</v>
      </c>
      <c r="D1560" s="2" t="s">
        <v>19904</v>
      </c>
      <c r="F1560" s="3" t="s">
        <v>58</v>
      </c>
      <c r="G1560" s="3" t="s">
        <v>59</v>
      </c>
      <c r="H1560" s="3" t="s">
        <v>58</v>
      </c>
      <c r="I1560" s="3" t="s">
        <v>58</v>
      </c>
      <c r="J1560" s="3" t="s">
        <v>60</v>
      </c>
      <c r="L1560" s="2" t="s">
        <v>19905</v>
      </c>
      <c r="M1560" s="3" t="s">
        <v>1574</v>
      </c>
      <c r="N1560" s="2" t="s">
        <v>1736</v>
      </c>
      <c r="O1560" s="3" t="s">
        <v>64</v>
      </c>
      <c r="P1560" s="3" t="s">
        <v>115</v>
      </c>
      <c r="Q1560" s="2" t="s">
        <v>19906</v>
      </c>
      <c r="R1560" s="3" t="s">
        <v>67</v>
      </c>
      <c r="S1560" s="4">
        <v>1</v>
      </c>
      <c r="T1560" s="4">
        <v>1</v>
      </c>
      <c r="U1560" s="5" t="s">
        <v>14473</v>
      </c>
      <c r="V1560" s="5" t="s">
        <v>14473</v>
      </c>
      <c r="W1560" s="5" t="s">
        <v>19907</v>
      </c>
      <c r="X1560" s="5" t="s">
        <v>19907</v>
      </c>
      <c r="Y1560" s="4">
        <v>842</v>
      </c>
      <c r="Z1560" s="4">
        <v>811</v>
      </c>
      <c r="AA1560" s="4">
        <v>2581</v>
      </c>
      <c r="AB1560" s="4">
        <v>5</v>
      </c>
      <c r="AC1560" s="4">
        <v>28</v>
      </c>
      <c r="AD1560" s="4">
        <v>5</v>
      </c>
      <c r="AE1560" s="4">
        <v>33</v>
      </c>
      <c r="AF1560" s="4">
        <v>2</v>
      </c>
      <c r="AG1560" s="4">
        <v>10</v>
      </c>
      <c r="AH1560" s="4">
        <v>1</v>
      </c>
      <c r="AI1560" s="4">
        <v>5</v>
      </c>
      <c r="AJ1560" s="4">
        <v>2</v>
      </c>
      <c r="AK1560" s="4">
        <v>10</v>
      </c>
      <c r="AL1560" s="4">
        <v>1</v>
      </c>
      <c r="AM1560" s="4">
        <v>10</v>
      </c>
      <c r="AN1560" s="4">
        <v>0</v>
      </c>
      <c r="AO1560" s="4">
        <v>1</v>
      </c>
      <c r="AP1560" s="3" t="s">
        <v>58</v>
      </c>
      <c r="AQ1560" s="3" t="s">
        <v>86</v>
      </c>
      <c r="AR1560" s="6" t="str">
        <f>HYPERLINK("http://catalog.hathitrust.org/Record/000268912","HathiTrust Record")</f>
        <v>HathiTrust Record</v>
      </c>
      <c r="AS1560" s="6" t="str">
        <f>HYPERLINK("https://creighton-primo.hosted.exlibrisgroup.com/primo-explore/search?tab=default_tab&amp;search_scope=EVERYTHING&amp;vid=01CRU&amp;lang=en_US&amp;offset=0&amp;query=any,contains,991005228879702656","Catalog Record")</f>
        <v>Catalog Record</v>
      </c>
      <c r="AT1560" s="6" t="str">
        <f>HYPERLINK("http://www.worldcat.org/oclc/8305799","WorldCat Record")</f>
        <v>WorldCat Record</v>
      </c>
      <c r="AU1560" s="3" t="s">
        <v>19908</v>
      </c>
      <c r="AV1560" s="3" t="s">
        <v>19909</v>
      </c>
      <c r="AW1560" s="3" t="s">
        <v>19910</v>
      </c>
      <c r="AX1560" s="3" t="s">
        <v>19910</v>
      </c>
      <c r="AY1560" s="3" t="s">
        <v>19911</v>
      </c>
      <c r="AZ1560" s="3" t="s">
        <v>74</v>
      </c>
      <c r="BB1560" s="3" t="s">
        <v>19912</v>
      </c>
      <c r="BC1560" s="3" t="s">
        <v>19913</v>
      </c>
      <c r="BD1560" s="3" t="s">
        <v>19914</v>
      </c>
    </row>
    <row r="1561" spans="1:56" ht="42.75" customHeight="1" x14ac:dyDescent="0.25">
      <c r="A1561" s="7" t="s">
        <v>58</v>
      </c>
      <c r="B1561" s="2" t="s">
        <v>19915</v>
      </c>
      <c r="C1561" s="2" t="s">
        <v>19916</v>
      </c>
      <c r="D1561" s="2" t="s">
        <v>19917</v>
      </c>
      <c r="F1561" s="3" t="s">
        <v>58</v>
      </c>
      <c r="G1561" s="3" t="s">
        <v>59</v>
      </c>
      <c r="H1561" s="3" t="s">
        <v>58</v>
      </c>
      <c r="I1561" s="3" t="s">
        <v>58</v>
      </c>
      <c r="J1561" s="3" t="s">
        <v>60</v>
      </c>
      <c r="L1561" s="2" t="s">
        <v>19918</v>
      </c>
      <c r="M1561" s="3" t="s">
        <v>480</v>
      </c>
      <c r="N1561" s="2" t="s">
        <v>9332</v>
      </c>
      <c r="O1561" s="3" t="s">
        <v>64</v>
      </c>
      <c r="P1561" s="3" t="s">
        <v>115</v>
      </c>
      <c r="R1561" s="3" t="s">
        <v>67</v>
      </c>
      <c r="S1561" s="4">
        <v>8</v>
      </c>
      <c r="T1561" s="4">
        <v>8</v>
      </c>
      <c r="U1561" s="5" t="s">
        <v>19919</v>
      </c>
      <c r="V1561" s="5" t="s">
        <v>19919</v>
      </c>
      <c r="W1561" s="5" t="s">
        <v>3416</v>
      </c>
      <c r="X1561" s="5" t="s">
        <v>3416</v>
      </c>
      <c r="Y1561" s="4">
        <v>407</v>
      </c>
      <c r="Z1561" s="4">
        <v>401</v>
      </c>
      <c r="AA1561" s="4">
        <v>747</v>
      </c>
      <c r="AB1561" s="4">
        <v>5</v>
      </c>
      <c r="AC1561" s="4">
        <v>5</v>
      </c>
      <c r="AD1561" s="4">
        <v>1</v>
      </c>
      <c r="AE1561" s="4">
        <v>7</v>
      </c>
      <c r="AF1561" s="4">
        <v>0</v>
      </c>
      <c r="AG1561" s="4">
        <v>2</v>
      </c>
      <c r="AH1561" s="4">
        <v>0</v>
      </c>
      <c r="AI1561" s="4">
        <v>2</v>
      </c>
      <c r="AJ1561" s="4">
        <v>1</v>
      </c>
      <c r="AK1561" s="4">
        <v>5</v>
      </c>
      <c r="AL1561" s="4">
        <v>0</v>
      </c>
      <c r="AM1561" s="4">
        <v>0</v>
      </c>
      <c r="AN1561" s="4">
        <v>0</v>
      </c>
      <c r="AO1561" s="4">
        <v>0</v>
      </c>
      <c r="AP1561" s="3" t="s">
        <v>58</v>
      </c>
      <c r="AQ1561" s="3" t="s">
        <v>86</v>
      </c>
      <c r="AR1561" s="6" t="str">
        <f>HYPERLINK("http://catalog.hathitrust.org/Record/002053642","HathiTrust Record")</f>
        <v>HathiTrust Record</v>
      </c>
      <c r="AS1561" s="6" t="str">
        <f>HYPERLINK("https://creighton-primo.hosted.exlibrisgroup.com/primo-explore/search?tab=default_tab&amp;search_scope=EVERYTHING&amp;vid=01CRU&amp;lang=en_US&amp;offset=0&amp;query=any,contains,991001490239702656","Catalog Record")</f>
        <v>Catalog Record</v>
      </c>
      <c r="AT1561" s="6" t="str">
        <f>HYPERLINK("http://www.worldcat.org/oclc/19722276","WorldCat Record")</f>
        <v>WorldCat Record</v>
      </c>
      <c r="AU1561" s="3" t="s">
        <v>19920</v>
      </c>
      <c r="AV1561" s="3" t="s">
        <v>19921</v>
      </c>
      <c r="AW1561" s="3" t="s">
        <v>19922</v>
      </c>
      <c r="AX1561" s="3" t="s">
        <v>19922</v>
      </c>
      <c r="AY1561" s="3" t="s">
        <v>19923</v>
      </c>
      <c r="AZ1561" s="3" t="s">
        <v>74</v>
      </c>
      <c r="BB1561" s="3" t="s">
        <v>19924</v>
      </c>
      <c r="BC1561" s="3" t="s">
        <v>19925</v>
      </c>
      <c r="BD1561" s="3" t="s">
        <v>19926</v>
      </c>
    </row>
    <row r="1562" spans="1:56" ht="42.75" customHeight="1" x14ac:dyDescent="0.25">
      <c r="A1562" s="7" t="s">
        <v>58</v>
      </c>
      <c r="B1562" s="2" t="s">
        <v>19927</v>
      </c>
      <c r="C1562" s="2" t="s">
        <v>19928</v>
      </c>
      <c r="D1562" s="2" t="s">
        <v>19929</v>
      </c>
      <c r="F1562" s="3" t="s">
        <v>58</v>
      </c>
      <c r="G1562" s="3" t="s">
        <v>59</v>
      </c>
      <c r="H1562" s="3" t="s">
        <v>58</v>
      </c>
      <c r="I1562" s="3" t="s">
        <v>58</v>
      </c>
      <c r="J1562" s="3" t="s">
        <v>60</v>
      </c>
      <c r="L1562" s="2" t="s">
        <v>19930</v>
      </c>
      <c r="M1562" s="3" t="s">
        <v>3914</v>
      </c>
      <c r="N1562" s="2" t="s">
        <v>19931</v>
      </c>
      <c r="O1562" s="3" t="s">
        <v>64</v>
      </c>
      <c r="P1562" s="3" t="s">
        <v>316</v>
      </c>
      <c r="R1562" s="3" t="s">
        <v>67</v>
      </c>
      <c r="S1562" s="4">
        <v>5</v>
      </c>
      <c r="T1562" s="4">
        <v>5</v>
      </c>
      <c r="U1562" s="5" t="s">
        <v>209</v>
      </c>
      <c r="V1562" s="5" t="s">
        <v>209</v>
      </c>
      <c r="W1562" s="5" t="s">
        <v>9871</v>
      </c>
      <c r="X1562" s="5" t="s">
        <v>9871</v>
      </c>
      <c r="Y1562" s="4">
        <v>505</v>
      </c>
      <c r="Z1562" s="4">
        <v>473</v>
      </c>
      <c r="AA1562" s="4">
        <v>485</v>
      </c>
      <c r="AB1562" s="4">
        <v>4</v>
      </c>
      <c r="AC1562" s="4">
        <v>4</v>
      </c>
      <c r="AD1562" s="4">
        <v>7</v>
      </c>
      <c r="AE1562" s="4">
        <v>7</v>
      </c>
      <c r="AF1562" s="4">
        <v>3</v>
      </c>
      <c r="AG1562" s="4">
        <v>3</v>
      </c>
      <c r="AH1562" s="4">
        <v>0</v>
      </c>
      <c r="AI1562" s="4">
        <v>0</v>
      </c>
      <c r="AJ1562" s="4">
        <v>2</v>
      </c>
      <c r="AK1562" s="4">
        <v>2</v>
      </c>
      <c r="AL1562" s="4">
        <v>3</v>
      </c>
      <c r="AM1562" s="4">
        <v>3</v>
      </c>
      <c r="AN1562" s="4">
        <v>0</v>
      </c>
      <c r="AO1562" s="4">
        <v>0</v>
      </c>
      <c r="AP1562" s="3" t="s">
        <v>58</v>
      </c>
      <c r="AQ1562" s="3" t="s">
        <v>58</v>
      </c>
      <c r="AS1562" s="6" t="str">
        <f>HYPERLINK("https://creighton-primo.hosted.exlibrisgroup.com/primo-explore/search?tab=default_tab&amp;search_scope=EVERYTHING&amp;vid=01CRU&amp;lang=en_US&amp;offset=0&amp;query=any,contains,991003909949702656","Catalog Record")</f>
        <v>Catalog Record</v>
      </c>
      <c r="AT1562" s="6" t="str">
        <f>HYPERLINK("http://www.worldcat.org/oclc/1849167","WorldCat Record")</f>
        <v>WorldCat Record</v>
      </c>
      <c r="AU1562" s="3" t="s">
        <v>19932</v>
      </c>
      <c r="AV1562" s="3" t="s">
        <v>19933</v>
      </c>
      <c r="AW1562" s="3" t="s">
        <v>19934</v>
      </c>
      <c r="AX1562" s="3" t="s">
        <v>19934</v>
      </c>
      <c r="AY1562" s="3" t="s">
        <v>19935</v>
      </c>
      <c r="AZ1562" s="3" t="s">
        <v>74</v>
      </c>
      <c r="BB1562" s="3" t="s">
        <v>19936</v>
      </c>
      <c r="BC1562" s="3" t="s">
        <v>19937</v>
      </c>
      <c r="BD1562" s="3" t="s">
        <v>19938</v>
      </c>
    </row>
    <row r="1563" spans="1:56" ht="42.75" customHeight="1" x14ac:dyDescent="0.25">
      <c r="A1563" s="7" t="s">
        <v>58</v>
      </c>
      <c r="B1563" s="2" t="s">
        <v>19939</v>
      </c>
      <c r="C1563" s="2" t="s">
        <v>19940</v>
      </c>
      <c r="D1563" s="2" t="s">
        <v>19941</v>
      </c>
      <c r="F1563" s="3" t="s">
        <v>58</v>
      </c>
      <c r="G1563" s="3" t="s">
        <v>59</v>
      </c>
      <c r="H1563" s="3" t="s">
        <v>58</v>
      </c>
      <c r="I1563" s="3" t="s">
        <v>58</v>
      </c>
      <c r="J1563" s="3" t="s">
        <v>60</v>
      </c>
      <c r="L1563" s="2" t="s">
        <v>19942</v>
      </c>
      <c r="M1563" s="3" t="s">
        <v>534</v>
      </c>
      <c r="N1563" s="2" t="s">
        <v>1736</v>
      </c>
      <c r="O1563" s="3" t="s">
        <v>64</v>
      </c>
      <c r="P1563" s="3" t="s">
        <v>115</v>
      </c>
      <c r="R1563" s="3" t="s">
        <v>67</v>
      </c>
      <c r="S1563" s="4">
        <v>8</v>
      </c>
      <c r="T1563" s="4">
        <v>8</v>
      </c>
      <c r="U1563" s="5" t="s">
        <v>19919</v>
      </c>
      <c r="V1563" s="5" t="s">
        <v>19919</v>
      </c>
      <c r="W1563" s="5" t="s">
        <v>19943</v>
      </c>
      <c r="X1563" s="5" t="s">
        <v>19943</v>
      </c>
      <c r="Y1563" s="4">
        <v>1204</v>
      </c>
      <c r="Z1563" s="4">
        <v>1141</v>
      </c>
      <c r="AA1563" s="4">
        <v>1705</v>
      </c>
      <c r="AB1563" s="4">
        <v>12</v>
      </c>
      <c r="AC1563" s="4">
        <v>15</v>
      </c>
      <c r="AD1563" s="4">
        <v>6</v>
      </c>
      <c r="AE1563" s="4">
        <v>12</v>
      </c>
      <c r="AF1563" s="4">
        <v>3</v>
      </c>
      <c r="AG1563" s="4">
        <v>6</v>
      </c>
      <c r="AH1563" s="4">
        <v>1</v>
      </c>
      <c r="AI1563" s="4">
        <v>1</v>
      </c>
      <c r="AJ1563" s="4">
        <v>3</v>
      </c>
      <c r="AK1563" s="4">
        <v>7</v>
      </c>
      <c r="AL1563" s="4">
        <v>0</v>
      </c>
      <c r="AM1563" s="4">
        <v>1</v>
      </c>
      <c r="AN1563" s="4">
        <v>0</v>
      </c>
      <c r="AO1563" s="4">
        <v>0</v>
      </c>
      <c r="AP1563" s="3" t="s">
        <v>58</v>
      </c>
      <c r="AQ1563" s="3" t="s">
        <v>58</v>
      </c>
      <c r="AS1563" s="6" t="str">
        <f>HYPERLINK("https://creighton-primo.hosted.exlibrisgroup.com/primo-explore/search?tab=default_tab&amp;search_scope=EVERYTHING&amp;vid=01CRU&amp;lang=en_US&amp;offset=0&amp;query=any,contains,991001696139702656","Catalog Record")</f>
        <v>Catalog Record</v>
      </c>
      <c r="AT1563" s="6" t="str">
        <f>HYPERLINK("http://www.worldcat.org/oclc/21483659","WorldCat Record")</f>
        <v>WorldCat Record</v>
      </c>
      <c r="AU1563" s="3" t="s">
        <v>19944</v>
      </c>
      <c r="AV1563" s="3" t="s">
        <v>19945</v>
      </c>
      <c r="AW1563" s="3" t="s">
        <v>19946</v>
      </c>
      <c r="AX1563" s="3" t="s">
        <v>19946</v>
      </c>
      <c r="AY1563" s="3" t="s">
        <v>19947</v>
      </c>
      <c r="AZ1563" s="3" t="s">
        <v>74</v>
      </c>
      <c r="BB1563" s="3" t="s">
        <v>19948</v>
      </c>
      <c r="BC1563" s="3" t="s">
        <v>19949</v>
      </c>
      <c r="BD1563" s="3" t="s">
        <v>19950</v>
      </c>
    </row>
    <row r="1564" spans="1:56" ht="42.75" customHeight="1" x14ac:dyDescent="0.25">
      <c r="A1564" s="7" t="s">
        <v>58</v>
      </c>
      <c r="B1564" s="2" t="s">
        <v>19951</v>
      </c>
      <c r="C1564" s="2" t="s">
        <v>19952</v>
      </c>
      <c r="D1564" s="2" t="s">
        <v>19953</v>
      </c>
      <c r="F1564" s="3" t="s">
        <v>58</v>
      </c>
      <c r="G1564" s="3" t="s">
        <v>59</v>
      </c>
      <c r="H1564" s="3" t="s">
        <v>58</v>
      </c>
      <c r="I1564" s="3" t="s">
        <v>58</v>
      </c>
      <c r="J1564" s="3" t="s">
        <v>60</v>
      </c>
      <c r="K1564" s="2" t="s">
        <v>19954</v>
      </c>
      <c r="L1564" s="2" t="s">
        <v>19955</v>
      </c>
      <c r="M1564" s="3" t="s">
        <v>192</v>
      </c>
      <c r="O1564" s="3" t="s">
        <v>64</v>
      </c>
      <c r="P1564" s="3" t="s">
        <v>178</v>
      </c>
      <c r="R1564" s="3" t="s">
        <v>67</v>
      </c>
      <c r="S1564" s="4">
        <v>2</v>
      </c>
      <c r="T1564" s="4">
        <v>2</v>
      </c>
      <c r="U1564" s="5" t="s">
        <v>19956</v>
      </c>
      <c r="V1564" s="5" t="s">
        <v>19956</v>
      </c>
      <c r="W1564" s="5" t="s">
        <v>19956</v>
      </c>
      <c r="X1564" s="5" t="s">
        <v>19956</v>
      </c>
      <c r="Y1564" s="4">
        <v>68</v>
      </c>
      <c r="Z1564" s="4">
        <v>68</v>
      </c>
      <c r="AA1564" s="4">
        <v>74</v>
      </c>
      <c r="AB1564" s="4">
        <v>2</v>
      </c>
      <c r="AC1564" s="4">
        <v>2</v>
      </c>
      <c r="AD1564" s="4">
        <v>1</v>
      </c>
      <c r="AE1564" s="4">
        <v>1</v>
      </c>
      <c r="AF1564" s="4">
        <v>0</v>
      </c>
      <c r="AG1564" s="4">
        <v>0</v>
      </c>
      <c r="AH1564" s="4">
        <v>0</v>
      </c>
      <c r="AI1564" s="4">
        <v>0</v>
      </c>
      <c r="AJ1564" s="4">
        <v>0</v>
      </c>
      <c r="AK1564" s="4">
        <v>0</v>
      </c>
      <c r="AL1564" s="4">
        <v>1</v>
      </c>
      <c r="AM1564" s="4">
        <v>1</v>
      </c>
      <c r="AN1564" s="4">
        <v>0</v>
      </c>
      <c r="AO1564" s="4">
        <v>0</v>
      </c>
      <c r="AP1564" s="3" t="s">
        <v>58</v>
      </c>
      <c r="AQ1564" s="3" t="s">
        <v>58</v>
      </c>
      <c r="AS1564" s="6" t="str">
        <f>HYPERLINK("https://creighton-primo.hosted.exlibrisgroup.com/primo-explore/search?tab=default_tab&amp;search_scope=EVERYTHING&amp;vid=01CRU&amp;lang=en_US&amp;offset=0&amp;query=any,contains,991000393749702656","Catalog Record")</f>
        <v>Catalog Record</v>
      </c>
      <c r="AT1564" s="6" t="str">
        <f>HYPERLINK("http://www.worldcat.org/oclc/70044552","WorldCat Record")</f>
        <v>WorldCat Record</v>
      </c>
      <c r="AU1564" s="3" t="s">
        <v>19957</v>
      </c>
      <c r="AV1564" s="3" t="s">
        <v>19958</v>
      </c>
      <c r="AW1564" s="3" t="s">
        <v>19959</v>
      </c>
      <c r="AX1564" s="3" t="s">
        <v>19959</v>
      </c>
      <c r="AY1564" s="3" t="s">
        <v>19960</v>
      </c>
      <c r="AZ1564" s="3" t="s">
        <v>74</v>
      </c>
      <c r="BB1564" s="3" t="s">
        <v>19961</v>
      </c>
      <c r="BC1564" s="3" t="s">
        <v>19962</v>
      </c>
      <c r="BD1564" s="3" t="s">
        <v>19963</v>
      </c>
    </row>
    <row r="1565" spans="1:56" ht="42.75" customHeight="1" x14ac:dyDescent="0.25">
      <c r="A1565" s="7" t="s">
        <v>58</v>
      </c>
      <c r="B1565" s="2" t="s">
        <v>19964</v>
      </c>
      <c r="C1565" s="2" t="s">
        <v>19965</v>
      </c>
      <c r="D1565" s="2" t="s">
        <v>19966</v>
      </c>
      <c r="F1565" s="3" t="s">
        <v>58</v>
      </c>
      <c r="G1565" s="3" t="s">
        <v>59</v>
      </c>
      <c r="H1565" s="3" t="s">
        <v>58</v>
      </c>
      <c r="I1565" s="3" t="s">
        <v>86</v>
      </c>
      <c r="J1565" s="3" t="s">
        <v>60</v>
      </c>
      <c r="K1565" s="2" t="s">
        <v>19967</v>
      </c>
      <c r="L1565" s="2" t="s">
        <v>19968</v>
      </c>
      <c r="M1565" s="3" t="s">
        <v>1035</v>
      </c>
      <c r="O1565" s="3" t="s">
        <v>64</v>
      </c>
      <c r="P1565" s="3" t="s">
        <v>115</v>
      </c>
      <c r="R1565" s="3" t="s">
        <v>67</v>
      </c>
      <c r="S1565" s="4">
        <v>2</v>
      </c>
      <c r="T1565" s="4">
        <v>2</v>
      </c>
      <c r="U1565" s="5" t="s">
        <v>19969</v>
      </c>
      <c r="V1565" s="5" t="s">
        <v>19969</v>
      </c>
      <c r="W1565" s="5" t="s">
        <v>19970</v>
      </c>
      <c r="X1565" s="5" t="s">
        <v>19970</v>
      </c>
      <c r="Y1565" s="4">
        <v>89</v>
      </c>
      <c r="Z1565" s="4">
        <v>83</v>
      </c>
      <c r="AA1565" s="4">
        <v>644</v>
      </c>
      <c r="AB1565" s="4">
        <v>1</v>
      </c>
      <c r="AC1565" s="4">
        <v>4</v>
      </c>
      <c r="AD1565" s="4">
        <v>0</v>
      </c>
      <c r="AE1565" s="4">
        <v>9</v>
      </c>
      <c r="AF1565" s="4">
        <v>0</v>
      </c>
      <c r="AG1565" s="4">
        <v>3</v>
      </c>
      <c r="AH1565" s="4">
        <v>0</v>
      </c>
      <c r="AI1565" s="4">
        <v>3</v>
      </c>
      <c r="AJ1565" s="4">
        <v>0</v>
      </c>
      <c r="AK1565" s="4">
        <v>5</v>
      </c>
      <c r="AL1565" s="4">
        <v>0</v>
      </c>
      <c r="AM1565" s="4">
        <v>1</v>
      </c>
      <c r="AN1565" s="4">
        <v>0</v>
      </c>
      <c r="AO1565" s="4">
        <v>0</v>
      </c>
      <c r="AP1565" s="3" t="s">
        <v>58</v>
      </c>
      <c r="AQ1565" s="3" t="s">
        <v>58</v>
      </c>
      <c r="AS1565" s="6" t="str">
        <f>HYPERLINK("https://creighton-primo.hosted.exlibrisgroup.com/primo-explore/search?tab=default_tab&amp;search_scope=EVERYTHING&amp;vid=01CRU&amp;lang=en_US&amp;offset=0&amp;query=any,contains,991003899689702656","Catalog Record")</f>
        <v>Catalog Record</v>
      </c>
      <c r="AT1565" s="6" t="str">
        <f>HYPERLINK("http://www.worldcat.org/oclc/46593749","WorldCat Record")</f>
        <v>WorldCat Record</v>
      </c>
      <c r="AU1565" s="3" t="s">
        <v>19971</v>
      </c>
      <c r="AV1565" s="3" t="s">
        <v>19972</v>
      </c>
      <c r="AW1565" s="3" t="s">
        <v>19973</v>
      </c>
      <c r="AX1565" s="3" t="s">
        <v>19973</v>
      </c>
      <c r="AY1565" s="3" t="s">
        <v>19974</v>
      </c>
      <c r="AZ1565" s="3" t="s">
        <v>74</v>
      </c>
      <c r="BB1565" s="3" t="s">
        <v>19975</v>
      </c>
      <c r="BC1565" s="3" t="s">
        <v>19976</v>
      </c>
      <c r="BD1565" s="3" t="s">
        <v>19977</v>
      </c>
    </row>
    <row r="1566" spans="1:56" ht="42.75" customHeight="1" x14ac:dyDescent="0.25">
      <c r="A1566" s="7" t="s">
        <v>58</v>
      </c>
      <c r="B1566" s="2" t="s">
        <v>19978</v>
      </c>
      <c r="C1566" s="2" t="s">
        <v>19979</v>
      </c>
      <c r="D1566" s="2" t="s">
        <v>19980</v>
      </c>
      <c r="F1566" s="3" t="s">
        <v>58</v>
      </c>
      <c r="G1566" s="3" t="s">
        <v>59</v>
      </c>
      <c r="H1566" s="3" t="s">
        <v>58</v>
      </c>
      <c r="I1566" s="3" t="s">
        <v>58</v>
      </c>
      <c r="J1566" s="3" t="s">
        <v>60</v>
      </c>
      <c r="K1566" s="2" t="s">
        <v>19981</v>
      </c>
      <c r="L1566" s="2" t="s">
        <v>19982</v>
      </c>
      <c r="M1566" s="3" t="s">
        <v>2386</v>
      </c>
      <c r="O1566" s="3" t="s">
        <v>64</v>
      </c>
      <c r="P1566" s="3" t="s">
        <v>115</v>
      </c>
      <c r="R1566" s="3" t="s">
        <v>67</v>
      </c>
      <c r="S1566" s="4">
        <v>4</v>
      </c>
      <c r="T1566" s="4">
        <v>4</v>
      </c>
      <c r="U1566" s="5" t="s">
        <v>10086</v>
      </c>
      <c r="V1566" s="5" t="s">
        <v>10086</v>
      </c>
      <c r="W1566" s="5" t="s">
        <v>272</v>
      </c>
      <c r="X1566" s="5" t="s">
        <v>272</v>
      </c>
      <c r="Y1566" s="4">
        <v>211</v>
      </c>
      <c r="Z1566" s="4">
        <v>204</v>
      </c>
      <c r="AA1566" s="4">
        <v>630</v>
      </c>
      <c r="AB1566" s="4">
        <v>3</v>
      </c>
      <c r="AC1566" s="4">
        <v>5</v>
      </c>
      <c r="AD1566" s="4">
        <v>6</v>
      </c>
      <c r="AE1566" s="4">
        <v>13</v>
      </c>
      <c r="AF1566" s="4">
        <v>2</v>
      </c>
      <c r="AG1566" s="4">
        <v>6</v>
      </c>
      <c r="AH1566" s="4">
        <v>1</v>
      </c>
      <c r="AI1566" s="4">
        <v>3</v>
      </c>
      <c r="AJ1566" s="4">
        <v>4</v>
      </c>
      <c r="AK1566" s="4">
        <v>5</v>
      </c>
      <c r="AL1566" s="4">
        <v>2</v>
      </c>
      <c r="AM1566" s="4">
        <v>4</v>
      </c>
      <c r="AN1566" s="4">
        <v>0</v>
      </c>
      <c r="AO1566" s="4">
        <v>0</v>
      </c>
      <c r="AP1566" s="3" t="s">
        <v>58</v>
      </c>
      <c r="AQ1566" s="3" t="s">
        <v>86</v>
      </c>
      <c r="AR1566" s="6" t="str">
        <f>HYPERLINK("http://catalog.hathitrust.org/Record/000028563","HathiTrust Record")</f>
        <v>HathiTrust Record</v>
      </c>
      <c r="AS1566" s="6" t="str">
        <f>HYPERLINK("https://creighton-primo.hosted.exlibrisgroup.com/primo-explore/search?tab=default_tab&amp;search_scope=EVERYTHING&amp;vid=01CRU&amp;lang=en_US&amp;offset=0&amp;query=any,contains,991003527549702656","Catalog Record")</f>
        <v>Catalog Record</v>
      </c>
      <c r="AT1566" s="6" t="str">
        <f>HYPERLINK("http://www.worldcat.org/oclc/1091546","WorldCat Record")</f>
        <v>WorldCat Record</v>
      </c>
      <c r="AU1566" s="3" t="s">
        <v>19983</v>
      </c>
      <c r="AV1566" s="3" t="s">
        <v>19984</v>
      </c>
      <c r="AW1566" s="3" t="s">
        <v>19985</v>
      </c>
      <c r="AX1566" s="3" t="s">
        <v>19985</v>
      </c>
      <c r="AY1566" s="3" t="s">
        <v>19986</v>
      </c>
      <c r="AZ1566" s="3" t="s">
        <v>74</v>
      </c>
      <c r="BB1566" s="3" t="s">
        <v>19987</v>
      </c>
      <c r="BC1566" s="3" t="s">
        <v>19988</v>
      </c>
      <c r="BD1566" s="3" t="s">
        <v>19989</v>
      </c>
    </row>
    <row r="1567" spans="1:56" ht="42.75" customHeight="1" x14ac:dyDescent="0.25">
      <c r="A1567" s="7" t="s">
        <v>58</v>
      </c>
      <c r="B1567" s="2" t="s">
        <v>19990</v>
      </c>
      <c r="C1567" s="2" t="s">
        <v>19991</v>
      </c>
      <c r="D1567" s="2" t="s">
        <v>19992</v>
      </c>
      <c r="F1567" s="3" t="s">
        <v>58</v>
      </c>
      <c r="G1567" s="3" t="s">
        <v>59</v>
      </c>
      <c r="H1567" s="3" t="s">
        <v>58</v>
      </c>
      <c r="I1567" s="3" t="s">
        <v>58</v>
      </c>
      <c r="J1567" s="3" t="s">
        <v>60</v>
      </c>
      <c r="K1567" s="2" t="s">
        <v>19993</v>
      </c>
      <c r="L1567" s="2" t="s">
        <v>19994</v>
      </c>
      <c r="M1567" s="3" t="s">
        <v>2770</v>
      </c>
      <c r="N1567" s="2" t="s">
        <v>1736</v>
      </c>
      <c r="O1567" s="3" t="s">
        <v>64</v>
      </c>
      <c r="P1567" s="3" t="s">
        <v>19995</v>
      </c>
      <c r="R1567" s="3" t="s">
        <v>67</v>
      </c>
      <c r="S1567" s="4">
        <v>6</v>
      </c>
      <c r="T1567" s="4">
        <v>6</v>
      </c>
      <c r="U1567" s="5" t="s">
        <v>10086</v>
      </c>
      <c r="V1567" s="5" t="s">
        <v>10086</v>
      </c>
      <c r="W1567" s="5" t="s">
        <v>272</v>
      </c>
      <c r="X1567" s="5" t="s">
        <v>272</v>
      </c>
      <c r="Y1567" s="4">
        <v>189</v>
      </c>
      <c r="Z1567" s="4">
        <v>150</v>
      </c>
      <c r="AA1567" s="4">
        <v>152</v>
      </c>
      <c r="AB1567" s="4">
        <v>2</v>
      </c>
      <c r="AC1567" s="4">
        <v>2</v>
      </c>
      <c r="AD1567" s="4">
        <v>5</v>
      </c>
      <c r="AE1567" s="4">
        <v>5</v>
      </c>
      <c r="AF1567" s="4">
        <v>2</v>
      </c>
      <c r="AG1567" s="4">
        <v>2</v>
      </c>
      <c r="AH1567" s="4">
        <v>2</v>
      </c>
      <c r="AI1567" s="4">
        <v>2</v>
      </c>
      <c r="AJ1567" s="4">
        <v>0</v>
      </c>
      <c r="AK1567" s="4">
        <v>0</v>
      </c>
      <c r="AL1567" s="4">
        <v>1</v>
      </c>
      <c r="AM1567" s="4">
        <v>1</v>
      </c>
      <c r="AN1567" s="4">
        <v>0</v>
      </c>
      <c r="AO1567" s="4">
        <v>0</v>
      </c>
      <c r="AP1567" s="3" t="s">
        <v>58</v>
      </c>
      <c r="AQ1567" s="3" t="s">
        <v>86</v>
      </c>
      <c r="AR1567" s="6" t="str">
        <f>HYPERLINK("http://catalog.hathitrust.org/Record/000753119","HathiTrust Record")</f>
        <v>HathiTrust Record</v>
      </c>
      <c r="AS1567" s="6" t="str">
        <f>HYPERLINK("https://creighton-primo.hosted.exlibrisgroup.com/primo-explore/search?tab=default_tab&amp;search_scope=EVERYTHING&amp;vid=01CRU&amp;lang=en_US&amp;offset=0&amp;query=any,contains,991004494769702656","Catalog Record")</f>
        <v>Catalog Record</v>
      </c>
      <c r="AT1567" s="6" t="str">
        <f>HYPERLINK("http://www.worldcat.org/oclc/3688096","WorldCat Record")</f>
        <v>WorldCat Record</v>
      </c>
      <c r="AU1567" s="3" t="s">
        <v>19996</v>
      </c>
      <c r="AV1567" s="3" t="s">
        <v>19997</v>
      </c>
      <c r="AW1567" s="3" t="s">
        <v>19998</v>
      </c>
      <c r="AX1567" s="3" t="s">
        <v>19998</v>
      </c>
      <c r="AY1567" s="3" t="s">
        <v>19999</v>
      </c>
      <c r="AZ1567" s="3" t="s">
        <v>74</v>
      </c>
      <c r="BC1567" s="3" t="s">
        <v>20000</v>
      </c>
      <c r="BD1567" s="3" t="s">
        <v>20001</v>
      </c>
    </row>
    <row r="1568" spans="1:56" ht="42.75" customHeight="1" x14ac:dyDescent="0.25">
      <c r="A1568" s="7" t="s">
        <v>58</v>
      </c>
      <c r="B1568" s="2" t="s">
        <v>20002</v>
      </c>
      <c r="C1568" s="2" t="s">
        <v>20003</v>
      </c>
      <c r="D1568" s="2" t="s">
        <v>20004</v>
      </c>
      <c r="F1568" s="3" t="s">
        <v>58</v>
      </c>
      <c r="G1568" s="3" t="s">
        <v>59</v>
      </c>
      <c r="H1568" s="3" t="s">
        <v>58</v>
      </c>
      <c r="I1568" s="3" t="s">
        <v>86</v>
      </c>
      <c r="J1568" s="3" t="s">
        <v>60</v>
      </c>
      <c r="K1568" s="2" t="s">
        <v>20005</v>
      </c>
      <c r="L1568" s="2" t="s">
        <v>20006</v>
      </c>
      <c r="M1568" s="3" t="s">
        <v>82</v>
      </c>
      <c r="N1568" s="2" t="s">
        <v>2517</v>
      </c>
      <c r="O1568" s="3" t="s">
        <v>64</v>
      </c>
      <c r="P1568" s="3" t="s">
        <v>83</v>
      </c>
      <c r="R1568" s="3" t="s">
        <v>67</v>
      </c>
      <c r="S1568" s="4">
        <v>3</v>
      </c>
      <c r="T1568" s="4">
        <v>3</v>
      </c>
      <c r="U1568" s="5" t="s">
        <v>20007</v>
      </c>
      <c r="V1568" s="5" t="s">
        <v>20007</v>
      </c>
      <c r="W1568" s="5" t="s">
        <v>401</v>
      </c>
      <c r="X1568" s="5" t="s">
        <v>401</v>
      </c>
      <c r="Y1568" s="4">
        <v>138</v>
      </c>
      <c r="Z1568" s="4">
        <v>123</v>
      </c>
      <c r="AA1568" s="4">
        <v>417</v>
      </c>
      <c r="AB1568" s="4">
        <v>2</v>
      </c>
      <c r="AC1568" s="4">
        <v>4</v>
      </c>
      <c r="AD1568" s="4">
        <v>2</v>
      </c>
      <c r="AE1568" s="4">
        <v>11</v>
      </c>
      <c r="AF1568" s="4">
        <v>1</v>
      </c>
      <c r="AG1568" s="4">
        <v>4</v>
      </c>
      <c r="AH1568" s="4">
        <v>0</v>
      </c>
      <c r="AI1568" s="4">
        <v>4</v>
      </c>
      <c r="AJ1568" s="4">
        <v>0</v>
      </c>
      <c r="AK1568" s="4">
        <v>3</v>
      </c>
      <c r="AL1568" s="4">
        <v>0</v>
      </c>
      <c r="AM1568" s="4">
        <v>1</v>
      </c>
      <c r="AN1568" s="4">
        <v>1</v>
      </c>
      <c r="AO1568" s="4">
        <v>1</v>
      </c>
      <c r="AP1568" s="3" t="s">
        <v>58</v>
      </c>
      <c r="AQ1568" s="3" t="s">
        <v>86</v>
      </c>
      <c r="AR1568" s="6" t="str">
        <f>HYPERLINK("http://catalog.hathitrust.org/Record/000945141","HathiTrust Record")</f>
        <v>HathiTrust Record</v>
      </c>
      <c r="AS1568" s="6" t="str">
        <f>HYPERLINK("https://creighton-primo.hosted.exlibrisgroup.com/primo-explore/search?tab=default_tab&amp;search_scope=EVERYTHING&amp;vid=01CRU&amp;lang=en_US&amp;offset=0&amp;query=any,contains,991000958949702656","Catalog Record")</f>
        <v>Catalog Record</v>
      </c>
      <c r="AT1568" s="6" t="str">
        <f>HYPERLINK("http://www.worldcat.org/oclc/17919755","WorldCat Record")</f>
        <v>WorldCat Record</v>
      </c>
      <c r="AU1568" s="3" t="s">
        <v>20008</v>
      </c>
      <c r="AV1568" s="3" t="s">
        <v>20009</v>
      </c>
      <c r="AW1568" s="3" t="s">
        <v>20010</v>
      </c>
      <c r="AX1568" s="3" t="s">
        <v>20010</v>
      </c>
      <c r="AY1568" s="3" t="s">
        <v>20011</v>
      </c>
      <c r="AZ1568" s="3" t="s">
        <v>74</v>
      </c>
      <c r="BB1568" s="3" t="s">
        <v>20012</v>
      </c>
      <c r="BC1568" s="3" t="s">
        <v>20013</v>
      </c>
      <c r="BD1568" s="3" t="s">
        <v>20014</v>
      </c>
    </row>
    <row r="1569" spans="1:56" ht="42.75" customHeight="1" x14ac:dyDescent="0.25">
      <c r="A1569" s="7" t="s">
        <v>58</v>
      </c>
      <c r="B1569" s="2" t="s">
        <v>20015</v>
      </c>
      <c r="C1569" s="2" t="s">
        <v>20016</v>
      </c>
      <c r="D1569" s="2" t="s">
        <v>20017</v>
      </c>
      <c r="F1569" s="3" t="s">
        <v>58</v>
      </c>
      <c r="G1569" s="3" t="s">
        <v>59</v>
      </c>
      <c r="H1569" s="3" t="s">
        <v>58</v>
      </c>
      <c r="I1569" s="3" t="s">
        <v>58</v>
      </c>
      <c r="J1569" s="3" t="s">
        <v>60</v>
      </c>
      <c r="K1569" s="2" t="s">
        <v>20018</v>
      </c>
      <c r="L1569" s="2" t="s">
        <v>20019</v>
      </c>
      <c r="M1569" s="3" t="s">
        <v>207</v>
      </c>
      <c r="O1569" s="3" t="s">
        <v>64</v>
      </c>
      <c r="P1569" s="3" t="s">
        <v>145</v>
      </c>
      <c r="Q1569" s="2" t="s">
        <v>20020</v>
      </c>
      <c r="R1569" s="3" t="s">
        <v>67</v>
      </c>
      <c r="S1569" s="4">
        <v>4</v>
      </c>
      <c r="T1569" s="4">
        <v>4</v>
      </c>
      <c r="U1569" s="5" t="s">
        <v>20021</v>
      </c>
      <c r="V1569" s="5" t="s">
        <v>20021</v>
      </c>
      <c r="W1569" s="5" t="s">
        <v>20022</v>
      </c>
      <c r="X1569" s="5" t="s">
        <v>20022</v>
      </c>
      <c r="Y1569" s="4">
        <v>7</v>
      </c>
      <c r="Z1569" s="4">
        <v>7</v>
      </c>
      <c r="AA1569" s="4">
        <v>7</v>
      </c>
      <c r="AB1569" s="4">
        <v>1</v>
      </c>
      <c r="AC1569" s="4">
        <v>1</v>
      </c>
      <c r="AD1569" s="4">
        <v>0</v>
      </c>
      <c r="AE1569" s="4">
        <v>0</v>
      </c>
      <c r="AF1569" s="4">
        <v>0</v>
      </c>
      <c r="AG1569" s="4">
        <v>0</v>
      </c>
      <c r="AH1569" s="4">
        <v>0</v>
      </c>
      <c r="AI1569" s="4">
        <v>0</v>
      </c>
      <c r="AJ1569" s="4">
        <v>0</v>
      </c>
      <c r="AK1569" s="4">
        <v>0</v>
      </c>
      <c r="AL1569" s="4">
        <v>0</v>
      </c>
      <c r="AM1569" s="4">
        <v>0</v>
      </c>
      <c r="AN1569" s="4">
        <v>0</v>
      </c>
      <c r="AO1569" s="4">
        <v>0</v>
      </c>
      <c r="AP1569" s="3" t="s">
        <v>58</v>
      </c>
      <c r="AQ1569" s="3" t="s">
        <v>58</v>
      </c>
      <c r="AS1569" s="6" t="str">
        <f>HYPERLINK("https://creighton-primo.hosted.exlibrisgroup.com/primo-explore/search?tab=default_tab&amp;search_scope=EVERYTHING&amp;vid=01CRU&amp;lang=en_US&amp;offset=0&amp;query=any,contains,991000520349702656","Catalog Record")</f>
        <v>Catalog Record</v>
      </c>
      <c r="AT1569" s="6" t="str">
        <f>HYPERLINK("http://www.worldcat.org/oclc/11320197","WorldCat Record")</f>
        <v>WorldCat Record</v>
      </c>
      <c r="AU1569" s="3" t="s">
        <v>20023</v>
      </c>
      <c r="AV1569" s="3" t="s">
        <v>20024</v>
      </c>
      <c r="AW1569" s="3" t="s">
        <v>20025</v>
      </c>
      <c r="AX1569" s="3" t="s">
        <v>20025</v>
      </c>
      <c r="AY1569" s="3" t="s">
        <v>20026</v>
      </c>
      <c r="AZ1569" s="3" t="s">
        <v>74</v>
      </c>
      <c r="BB1569" s="3" t="s">
        <v>20027</v>
      </c>
      <c r="BC1569" s="3" t="s">
        <v>20028</v>
      </c>
      <c r="BD1569" s="3" t="s">
        <v>20029</v>
      </c>
    </row>
    <row r="1570" spans="1:56" ht="42.75" customHeight="1" x14ac:dyDescent="0.25">
      <c r="A1570" s="7" t="s">
        <v>58</v>
      </c>
      <c r="B1570" s="2" t="s">
        <v>20030</v>
      </c>
      <c r="C1570" s="2" t="s">
        <v>20031</v>
      </c>
      <c r="D1570" s="2" t="s">
        <v>20032</v>
      </c>
      <c r="F1570" s="3" t="s">
        <v>58</v>
      </c>
      <c r="G1570" s="3" t="s">
        <v>59</v>
      </c>
      <c r="H1570" s="3" t="s">
        <v>86</v>
      </c>
      <c r="I1570" s="3" t="s">
        <v>58</v>
      </c>
      <c r="J1570" s="3" t="s">
        <v>60</v>
      </c>
      <c r="K1570" s="2" t="s">
        <v>20033</v>
      </c>
      <c r="L1570" s="2" t="s">
        <v>20034</v>
      </c>
      <c r="M1570" s="3" t="s">
        <v>1574</v>
      </c>
      <c r="N1570" s="2" t="s">
        <v>1613</v>
      </c>
      <c r="O1570" s="3" t="s">
        <v>64</v>
      </c>
      <c r="P1570" s="3" t="s">
        <v>359</v>
      </c>
      <c r="R1570" s="3" t="s">
        <v>67</v>
      </c>
      <c r="S1570" s="4">
        <v>9</v>
      </c>
      <c r="T1570" s="4">
        <v>9</v>
      </c>
      <c r="U1570" s="5" t="s">
        <v>11756</v>
      </c>
      <c r="V1570" s="5" t="s">
        <v>11756</v>
      </c>
      <c r="W1570" s="5" t="s">
        <v>10583</v>
      </c>
      <c r="X1570" s="5" t="s">
        <v>10583</v>
      </c>
      <c r="Y1570" s="4">
        <v>154</v>
      </c>
      <c r="Z1570" s="4">
        <v>128</v>
      </c>
      <c r="AA1570" s="4">
        <v>364</v>
      </c>
      <c r="AB1570" s="4">
        <v>3</v>
      </c>
      <c r="AC1570" s="4">
        <v>5</v>
      </c>
      <c r="AD1570" s="4">
        <v>0</v>
      </c>
      <c r="AE1570" s="4">
        <v>0</v>
      </c>
      <c r="AF1570" s="4">
        <v>0</v>
      </c>
      <c r="AG1570" s="4">
        <v>0</v>
      </c>
      <c r="AH1570" s="4">
        <v>0</v>
      </c>
      <c r="AI1570" s="4">
        <v>0</v>
      </c>
      <c r="AJ1570" s="4">
        <v>0</v>
      </c>
      <c r="AK1570" s="4">
        <v>0</v>
      </c>
      <c r="AL1570" s="4">
        <v>0</v>
      </c>
      <c r="AM1570" s="4">
        <v>0</v>
      </c>
      <c r="AN1570" s="4">
        <v>0</v>
      </c>
      <c r="AO1570" s="4">
        <v>0</v>
      </c>
      <c r="AP1570" s="3" t="s">
        <v>58</v>
      </c>
      <c r="AQ1570" s="3" t="s">
        <v>58</v>
      </c>
      <c r="AS1570" s="6" t="str">
        <f>HYPERLINK("https://creighton-primo.hosted.exlibrisgroup.com/primo-explore/search?tab=default_tab&amp;search_scope=EVERYTHING&amp;vid=01CRU&amp;lang=en_US&amp;offset=0&amp;query=any,contains,991005242369702656","Catalog Record")</f>
        <v>Catalog Record</v>
      </c>
      <c r="AT1570" s="6" t="str">
        <f>HYPERLINK("http://www.worldcat.org/oclc/8430644","WorldCat Record")</f>
        <v>WorldCat Record</v>
      </c>
      <c r="AU1570" s="3" t="s">
        <v>20035</v>
      </c>
      <c r="AV1570" s="3" t="s">
        <v>20036</v>
      </c>
      <c r="AW1570" s="3" t="s">
        <v>20037</v>
      </c>
      <c r="AX1570" s="3" t="s">
        <v>20037</v>
      </c>
      <c r="AY1570" s="3" t="s">
        <v>20038</v>
      </c>
      <c r="AZ1570" s="3" t="s">
        <v>74</v>
      </c>
      <c r="BB1570" s="3" t="s">
        <v>20039</v>
      </c>
      <c r="BC1570" s="3" t="s">
        <v>20040</v>
      </c>
      <c r="BD1570" s="3" t="s">
        <v>20041</v>
      </c>
    </row>
    <row r="1571" spans="1:56" ht="42.75" customHeight="1" x14ac:dyDescent="0.25">
      <c r="A1571" s="7" t="s">
        <v>58</v>
      </c>
      <c r="B1571" s="2" t="s">
        <v>20042</v>
      </c>
      <c r="C1571" s="2" t="s">
        <v>20043</v>
      </c>
      <c r="D1571" s="2" t="s">
        <v>20044</v>
      </c>
      <c r="F1571" s="3" t="s">
        <v>58</v>
      </c>
      <c r="G1571" s="3" t="s">
        <v>59</v>
      </c>
      <c r="H1571" s="3" t="s">
        <v>58</v>
      </c>
      <c r="I1571" s="3" t="s">
        <v>58</v>
      </c>
      <c r="J1571" s="3" t="s">
        <v>60</v>
      </c>
      <c r="K1571" s="2" t="s">
        <v>20018</v>
      </c>
      <c r="L1571" s="2" t="s">
        <v>20045</v>
      </c>
      <c r="M1571" s="3" t="s">
        <v>238</v>
      </c>
      <c r="N1571" s="2" t="s">
        <v>4027</v>
      </c>
      <c r="O1571" s="3" t="s">
        <v>64</v>
      </c>
      <c r="P1571" s="3" t="s">
        <v>115</v>
      </c>
      <c r="R1571" s="3" t="s">
        <v>67</v>
      </c>
      <c r="S1571" s="4">
        <v>12</v>
      </c>
      <c r="T1571" s="4">
        <v>12</v>
      </c>
      <c r="U1571" s="5" t="s">
        <v>11756</v>
      </c>
      <c r="V1571" s="5" t="s">
        <v>11756</v>
      </c>
      <c r="W1571" s="5" t="s">
        <v>20046</v>
      </c>
      <c r="X1571" s="5" t="s">
        <v>20046</v>
      </c>
      <c r="Y1571" s="4">
        <v>283</v>
      </c>
      <c r="Z1571" s="4">
        <v>273</v>
      </c>
      <c r="AA1571" s="4">
        <v>662</v>
      </c>
      <c r="AB1571" s="4">
        <v>4</v>
      </c>
      <c r="AC1571" s="4">
        <v>10</v>
      </c>
      <c r="AD1571" s="4">
        <v>3</v>
      </c>
      <c r="AE1571" s="4">
        <v>7</v>
      </c>
      <c r="AF1571" s="4">
        <v>0</v>
      </c>
      <c r="AG1571" s="4">
        <v>1</v>
      </c>
      <c r="AH1571" s="4">
        <v>1</v>
      </c>
      <c r="AI1571" s="4">
        <v>2</v>
      </c>
      <c r="AJ1571" s="4">
        <v>1</v>
      </c>
      <c r="AK1571" s="4">
        <v>1</v>
      </c>
      <c r="AL1571" s="4">
        <v>2</v>
      </c>
      <c r="AM1571" s="4">
        <v>4</v>
      </c>
      <c r="AN1571" s="4">
        <v>0</v>
      </c>
      <c r="AO1571" s="4">
        <v>0</v>
      </c>
      <c r="AP1571" s="3" t="s">
        <v>58</v>
      </c>
      <c r="AQ1571" s="3" t="s">
        <v>86</v>
      </c>
      <c r="AR1571" s="6" t="str">
        <f>HYPERLINK("http://catalog.hathitrust.org/Record/009144172","HathiTrust Record")</f>
        <v>HathiTrust Record</v>
      </c>
      <c r="AS1571" s="6" t="str">
        <f>HYPERLINK("https://creighton-primo.hosted.exlibrisgroup.com/primo-explore/search?tab=default_tab&amp;search_scope=EVERYTHING&amp;vid=01CRU&amp;lang=en_US&amp;offset=0&amp;query=any,contains,991004897389702656","Catalog Record")</f>
        <v>Catalog Record</v>
      </c>
      <c r="AT1571" s="6" t="str">
        <f>HYPERLINK("http://www.worldcat.org/oclc/5896310","WorldCat Record")</f>
        <v>WorldCat Record</v>
      </c>
      <c r="AU1571" s="3" t="s">
        <v>20047</v>
      </c>
      <c r="AV1571" s="3" t="s">
        <v>20048</v>
      </c>
      <c r="AW1571" s="3" t="s">
        <v>20049</v>
      </c>
      <c r="AX1571" s="3" t="s">
        <v>20049</v>
      </c>
      <c r="AY1571" s="3" t="s">
        <v>20050</v>
      </c>
      <c r="AZ1571" s="3" t="s">
        <v>74</v>
      </c>
      <c r="BB1571" s="3" t="s">
        <v>20051</v>
      </c>
      <c r="BC1571" s="3" t="s">
        <v>20052</v>
      </c>
      <c r="BD1571" s="3" t="s">
        <v>20053</v>
      </c>
    </row>
    <row r="1572" spans="1:56" ht="42.75" customHeight="1" x14ac:dyDescent="0.25">
      <c r="A1572" s="7" t="s">
        <v>58</v>
      </c>
      <c r="B1572" s="2" t="s">
        <v>20054</v>
      </c>
      <c r="C1572" s="2" t="s">
        <v>20055</v>
      </c>
      <c r="D1572" s="2" t="s">
        <v>20056</v>
      </c>
      <c r="F1572" s="3" t="s">
        <v>58</v>
      </c>
      <c r="G1572" s="3" t="s">
        <v>59</v>
      </c>
      <c r="H1572" s="3" t="s">
        <v>58</v>
      </c>
      <c r="I1572" s="3" t="s">
        <v>58</v>
      </c>
      <c r="J1572" s="3" t="s">
        <v>60</v>
      </c>
      <c r="L1572" s="2" t="s">
        <v>20057</v>
      </c>
      <c r="M1572" s="3" t="s">
        <v>765</v>
      </c>
      <c r="O1572" s="3" t="s">
        <v>64</v>
      </c>
      <c r="P1572" s="3" t="s">
        <v>239</v>
      </c>
      <c r="Q1572" s="2" t="s">
        <v>20058</v>
      </c>
      <c r="R1572" s="3" t="s">
        <v>67</v>
      </c>
      <c r="S1572" s="4">
        <v>10</v>
      </c>
      <c r="T1572" s="4">
        <v>10</v>
      </c>
      <c r="U1572" s="5" t="s">
        <v>20007</v>
      </c>
      <c r="V1572" s="5" t="s">
        <v>20007</v>
      </c>
      <c r="W1572" s="5" t="s">
        <v>20059</v>
      </c>
      <c r="X1572" s="5" t="s">
        <v>20059</v>
      </c>
      <c r="Y1572" s="4">
        <v>206</v>
      </c>
      <c r="Z1572" s="4">
        <v>154</v>
      </c>
      <c r="AA1572" s="4">
        <v>167</v>
      </c>
      <c r="AB1572" s="4">
        <v>1</v>
      </c>
      <c r="AC1572" s="4">
        <v>1</v>
      </c>
      <c r="AD1572" s="4">
        <v>17</v>
      </c>
      <c r="AE1572" s="4">
        <v>18</v>
      </c>
      <c r="AF1572" s="4">
        <v>6</v>
      </c>
      <c r="AG1572" s="4">
        <v>7</v>
      </c>
      <c r="AH1572" s="4">
        <v>6</v>
      </c>
      <c r="AI1572" s="4">
        <v>6</v>
      </c>
      <c r="AJ1572" s="4">
        <v>13</v>
      </c>
      <c r="AK1572" s="4">
        <v>14</v>
      </c>
      <c r="AL1572" s="4">
        <v>0</v>
      </c>
      <c r="AM1572" s="4">
        <v>0</v>
      </c>
      <c r="AN1572" s="4">
        <v>0</v>
      </c>
      <c r="AO1572" s="4">
        <v>0</v>
      </c>
      <c r="AP1572" s="3" t="s">
        <v>58</v>
      </c>
      <c r="AQ1572" s="3" t="s">
        <v>58</v>
      </c>
      <c r="AS1572" s="6" t="str">
        <f>HYPERLINK("https://creighton-primo.hosted.exlibrisgroup.com/primo-explore/search?tab=default_tab&amp;search_scope=EVERYTHING&amp;vid=01CRU&amp;lang=en_US&amp;offset=0&amp;query=any,contains,991002445439702656","Catalog Record")</f>
        <v>Catalog Record</v>
      </c>
      <c r="AT1572" s="6" t="str">
        <f>HYPERLINK("http://www.worldcat.org/oclc/31900226","WorldCat Record")</f>
        <v>WorldCat Record</v>
      </c>
      <c r="AU1572" s="3" t="s">
        <v>20060</v>
      </c>
      <c r="AV1572" s="3" t="s">
        <v>20061</v>
      </c>
      <c r="AW1572" s="3" t="s">
        <v>20062</v>
      </c>
      <c r="AX1572" s="3" t="s">
        <v>20062</v>
      </c>
      <c r="AY1572" s="3" t="s">
        <v>20063</v>
      </c>
      <c r="AZ1572" s="3" t="s">
        <v>74</v>
      </c>
      <c r="BB1572" s="3" t="s">
        <v>20064</v>
      </c>
      <c r="BC1572" s="3" t="s">
        <v>20065</v>
      </c>
      <c r="BD1572" s="3" t="s">
        <v>20066</v>
      </c>
    </row>
    <row r="1573" spans="1:56" ht="42.75" customHeight="1" x14ac:dyDescent="0.25">
      <c r="A1573" s="7" t="s">
        <v>58</v>
      </c>
      <c r="B1573" s="2" t="s">
        <v>20067</v>
      </c>
      <c r="C1573" s="2" t="s">
        <v>20068</v>
      </c>
      <c r="D1573" s="2" t="s">
        <v>20069</v>
      </c>
      <c r="F1573" s="3" t="s">
        <v>58</v>
      </c>
      <c r="G1573" s="3" t="s">
        <v>59</v>
      </c>
      <c r="H1573" s="3" t="s">
        <v>58</v>
      </c>
      <c r="I1573" s="3" t="s">
        <v>58</v>
      </c>
      <c r="J1573" s="3" t="s">
        <v>60</v>
      </c>
      <c r="K1573" s="2" t="s">
        <v>20070</v>
      </c>
      <c r="L1573" s="2" t="s">
        <v>20071</v>
      </c>
      <c r="M1573" s="3" t="s">
        <v>207</v>
      </c>
      <c r="N1573" s="2" t="s">
        <v>2517</v>
      </c>
      <c r="O1573" s="3" t="s">
        <v>64</v>
      </c>
      <c r="P1573" s="3" t="s">
        <v>1763</v>
      </c>
      <c r="R1573" s="3" t="s">
        <v>67</v>
      </c>
      <c r="S1573" s="4">
        <v>7</v>
      </c>
      <c r="T1573" s="4">
        <v>7</v>
      </c>
      <c r="U1573" s="5" t="s">
        <v>11756</v>
      </c>
      <c r="V1573" s="5" t="s">
        <v>11756</v>
      </c>
      <c r="W1573" s="5" t="s">
        <v>1641</v>
      </c>
      <c r="X1573" s="5" t="s">
        <v>1641</v>
      </c>
      <c r="Y1573" s="4">
        <v>35</v>
      </c>
      <c r="Z1573" s="4">
        <v>31</v>
      </c>
      <c r="AA1573" s="4">
        <v>90</v>
      </c>
      <c r="AB1573" s="4">
        <v>1</v>
      </c>
      <c r="AC1573" s="4">
        <v>3</v>
      </c>
      <c r="AD1573" s="4">
        <v>1</v>
      </c>
      <c r="AE1573" s="4">
        <v>3</v>
      </c>
      <c r="AF1573" s="4">
        <v>1</v>
      </c>
      <c r="AG1573" s="4">
        <v>1</v>
      </c>
      <c r="AH1573" s="4">
        <v>0</v>
      </c>
      <c r="AI1573" s="4">
        <v>0</v>
      </c>
      <c r="AJ1573" s="4">
        <v>0</v>
      </c>
      <c r="AK1573" s="4">
        <v>0</v>
      </c>
      <c r="AL1573" s="4">
        <v>0</v>
      </c>
      <c r="AM1573" s="4">
        <v>2</v>
      </c>
      <c r="AN1573" s="4">
        <v>0</v>
      </c>
      <c r="AO1573" s="4">
        <v>0</v>
      </c>
      <c r="AP1573" s="3" t="s">
        <v>58</v>
      </c>
      <c r="AQ1573" s="3" t="s">
        <v>58</v>
      </c>
      <c r="AS1573" s="6" t="str">
        <f>HYPERLINK("https://creighton-primo.hosted.exlibrisgroup.com/primo-explore/search?tab=default_tab&amp;search_scope=EVERYTHING&amp;vid=01CRU&amp;lang=en_US&amp;offset=0&amp;query=any,contains,991005103869702656","Catalog Record")</f>
        <v>Catalog Record</v>
      </c>
      <c r="AT1573" s="6" t="str">
        <f>HYPERLINK("http://www.worldcat.org/oclc/8573464","WorldCat Record")</f>
        <v>WorldCat Record</v>
      </c>
      <c r="AU1573" s="3" t="s">
        <v>20072</v>
      </c>
      <c r="AV1573" s="3" t="s">
        <v>20073</v>
      </c>
      <c r="AW1573" s="3" t="s">
        <v>20074</v>
      </c>
      <c r="AX1573" s="3" t="s">
        <v>20074</v>
      </c>
      <c r="AY1573" s="3" t="s">
        <v>20075</v>
      </c>
      <c r="AZ1573" s="3" t="s">
        <v>74</v>
      </c>
      <c r="BB1573" s="3" t="s">
        <v>20076</v>
      </c>
      <c r="BC1573" s="3" t="s">
        <v>20077</v>
      </c>
      <c r="BD1573" s="3" t="s">
        <v>20078</v>
      </c>
    </row>
    <row r="1574" spans="1:56" ht="42.75" customHeight="1" x14ac:dyDescent="0.25">
      <c r="A1574" s="7" t="s">
        <v>58</v>
      </c>
      <c r="B1574" s="2" t="s">
        <v>20079</v>
      </c>
      <c r="C1574" s="2" t="s">
        <v>20080</v>
      </c>
      <c r="D1574" s="2" t="s">
        <v>20081</v>
      </c>
      <c r="F1574" s="3" t="s">
        <v>58</v>
      </c>
      <c r="G1574" s="3" t="s">
        <v>59</v>
      </c>
      <c r="H1574" s="3" t="s">
        <v>58</v>
      </c>
      <c r="I1574" s="3" t="s">
        <v>58</v>
      </c>
      <c r="J1574" s="3" t="s">
        <v>60</v>
      </c>
      <c r="K1574" s="2" t="s">
        <v>20082</v>
      </c>
      <c r="L1574" s="2" t="s">
        <v>20083</v>
      </c>
      <c r="M1574" s="3" t="s">
        <v>5200</v>
      </c>
      <c r="O1574" s="3" t="s">
        <v>64</v>
      </c>
      <c r="P1574" s="3" t="s">
        <v>224</v>
      </c>
      <c r="R1574" s="3" t="s">
        <v>67</v>
      </c>
      <c r="S1574" s="4">
        <v>1</v>
      </c>
      <c r="T1574" s="4">
        <v>1</v>
      </c>
      <c r="U1574" s="5" t="s">
        <v>20007</v>
      </c>
      <c r="V1574" s="5" t="s">
        <v>20007</v>
      </c>
      <c r="W1574" s="5" t="s">
        <v>272</v>
      </c>
      <c r="X1574" s="5" t="s">
        <v>272</v>
      </c>
      <c r="Y1574" s="4">
        <v>138</v>
      </c>
      <c r="Z1574" s="4">
        <v>126</v>
      </c>
      <c r="AA1574" s="4">
        <v>127</v>
      </c>
      <c r="AB1574" s="4">
        <v>3</v>
      </c>
      <c r="AC1574" s="4">
        <v>3</v>
      </c>
      <c r="AD1574" s="4">
        <v>4</v>
      </c>
      <c r="AE1574" s="4">
        <v>4</v>
      </c>
      <c r="AF1574" s="4">
        <v>1</v>
      </c>
      <c r="AG1574" s="4">
        <v>1</v>
      </c>
      <c r="AH1574" s="4">
        <v>0</v>
      </c>
      <c r="AI1574" s="4">
        <v>0</v>
      </c>
      <c r="AJ1574" s="4">
        <v>2</v>
      </c>
      <c r="AK1574" s="4">
        <v>2</v>
      </c>
      <c r="AL1574" s="4">
        <v>2</v>
      </c>
      <c r="AM1574" s="4">
        <v>2</v>
      </c>
      <c r="AN1574" s="4">
        <v>0</v>
      </c>
      <c r="AO1574" s="4">
        <v>0</v>
      </c>
      <c r="AP1574" s="3" t="s">
        <v>58</v>
      </c>
      <c r="AQ1574" s="3" t="s">
        <v>58</v>
      </c>
      <c r="AS1574" s="6" t="str">
        <f>HYPERLINK("https://creighton-primo.hosted.exlibrisgroup.com/primo-explore/search?tab=default_tab&amp;search_scope=EVERYTHING&amp;vid=01CRU&amp;lang=en_US&amp;offset=0&amp;query=any,contains,991002842169702656","Catalog Record")</f>
        <v>Catalog Record</v>
      </c>
      <c r="AT1574" s="6" t="str">
        <f>HYPERLINK("http://www.worldcat.org/oclc/482683","WorldCat Record")</f>
        <v>WorldCat Record</v>
      </c>
      <c r="AU1574" s="3" t="s">
        <v>20084</v>
      </c>
      <c r="AV1574" s="3" t="s">
        <v>20085</v>
      </c>
      <c r="AW1574" s="3" t="s">
        <v>20086</v>
      </c>
      <c r="AX1574" s="3" t="s">
        <v>20086</v>
      </c>
      <c r="AY1574" s="3" t="s">
        <v>20087</v>
      </c>
      <c r="AZ1574" s="3" t="s">
        <v>74</v>
      </c>
      <c r="BB1574" s="3" t="s">
        <v>20088</v>
      </c>
      <c r="BC1574" s="3" t="s">
        <v>20089</v>
      </c>
      <c r="BD1574" s="3" t="s">
        <v>20090</v>
      </c>
    </row>
    <row r="1575" spans="1:56" ht="42.75" customHeight="1" x14ac:dyDescent="0.25">
      <c r="A1575" s="7" t="s">
        <v>58</v>
      </c>
      <c r="B1575" s="2" t="s">
        <v>20091</v>
      </c>
      <c r="C1575" s="2" t="s">
        <v>20092</v>
      </c>
      <c r="D1575" s="2" t="s">
        <v>20093</v>
      </c>
      <c r="F1575" s="3" t="s">
        <v>58</v>
      </c>
      <c r="G1575" s="3" t="s">
        <v>59</v>
      </c>
      <c r="H1575" s="3" t="s">
        <v>58</v>
      </c>
      <c r="I1575" s="3" t="s">
        <v>58</v>
      </c>
      <c r="J1575" s="3" t="s">
        <v>60</v>
      </c>
      <c r="K1575" s="2" t="s">
        <v>20094</v>
      </c>
      <c r="L1575" s="2" t="s">
        <v>20095</v>
      </c>
      <c r="M1575" s="3" t="s">
        <v>2853</v>
      </c>
      <c r="O1575" s="3" t="s">
        <v>64</v>
      </c>
      <c r="P1575" s="3" t="s">
        <v>115</v>
      </c>
      <c r="Q1575" s="2" t="s">
        <v>20096</v>
      </c>
      <c r="R1575" s="3" t="s">
        <v>67</v>
      </c>
      <c r="S1575" s="4">
        <v>5</v>
      </c>
      <c r="T1575" s="4">
        <v>5</v>
      </c>
      <c r="U1575" s="5" t="s">
        <v>10713</v>
      </c>
      <c r="V1575" s="5" t="s">
        <v>10713</v>
      </c>
      <c r="W1575" s="5" t="s">
        <v>301</v>
      </c>
      <c r="X1575" s="5" t="s">
        <v>301</v>
      </c>
      <c r="Y1575" s="4">
        <v>71</v>
      </c>
      <c r="Z1575" s="4">
        <v>69</v>
      </c>
      <c r="AA1575" s="4">
        <v>623</v>
      </c>
      <c r="AB1575" s="4">
        <v>1</v>
      </c>
      <c r="AC1575" s="4">
        <v>5</v>
      </c>
      <c r="AD1575" s="4">
        <v>1</v>
      </c>
      <c r="AE1575" s="4">
        <v>9</v>
      </c>
      <c r="AF1575" s="4">
        <v>0</v>
      </c>
      <c r="AG1575" s="4">
        <v>2</v>
      </c>
      <c r="AH1575" s="4">
        <v>0</v>
      </c>
      <c r="AI1575" s="4">
        <v>1</v>
      </c>
      <c r="AJ1575" s="4">
        <v>1</v>
      </c>
      <c r="AK1575" s="4">
        <v>4</v>
      </c>
      <c r="AL1575" s="4">
        <v>0</v>
      </c>
      <c r="AM1575" s="4">
        <v>3</v>
      </c>
      <c r="AN1575" s="4">
        <v>0</v>
      </c>
      <c r="AO1575" s="4">
        <v>0</v>
      </c>
      <c r="AP1575" s="3" t="s">
        <v>58</v>
      </c>
      <c r="AQ1575" s="3" t="s">
        <v>58</v>
      </c>
      <c r="AS1575" s="6" t="str">
        <f>HYPERLINK("https://creighton-primo.hosted.exlibrisgroup.com/primo-explore/search?tab=default_tab&amp;search_scope=EVERYTHING&amp;vid=01CRU&amp;lang=en_US&amp;offset=0&amp;query=any,contains,991003835749702656","Catalog Record")</f>
        <v>Catalog Record</v>
      </c>
      <c r="AT1575" s="6" t="str">
        <f>HYPERLINK("http://www.worldcat.org/oclc/1601519","WorldCat Record")</f>
        <v>WorldCat Record</v>
      </c>
      <c r="AU1575" s="3" t="s">
        <v>20097</v>
      </c>
      <c r="AV1575" s="3" t="s">
        <v>20098</v>
      </c>
      <c r="AW1575" s="3" t="s">
        <v>20099</v>
      </c>
      <c r="AX1575" s="3" t="s">
        <v>20099</v>
      </c>
      <c r="AY1575" s="3" t="s">
        <v>20100</v>
      </c>
      <c r="AZ1575" s="3" t="s">
        <v>74</v>
      </c>
      <c r="BC1575" s="3" t="s">
        <v>20101</v>
      </c>
      <c r="BD1575" s="3" t="s">
        <v>20102</v>
      </c>
    </row>
    <row r="1576" spans="1:56" ht="42.75" customHeight="1" x14ac:dyDescent="0.25">
      <c r="A1576" s="7" t="s">
        <v>58</v>
      </c>
      <c r="B1576" s="2" t="s">
        <v>20103</v>
      </c>
      <c r="C1576" s="2" t="s">
        <v>20104</v>
      </c>
      <c r="D1576" s="2" t="s">
        <v>20105</v>
      </c>
      <c r="F1576" s="3" t="s">
        <v>58</v>
      </c>
      <c r="G1576" s="3" t="s">
        <v>59</v>
      </c>
      <c r="H1576" s="3" t="s">
        <v>58</v>
      </c>
      <c r="I1576" s="3" t="s">
        <v>58</v>
      </c>
      <c r="J1576" s="3" t="s">
        <v>60</v>
      </c>
      <c r="L1576" s="2" t="s">
        <v>20106</v>
      </c>
      <c r="M1576" s="3" t="s">
        <v>20107</v>
      </c>
      <c r="N1576" s="2" t="s">
        <v>20108</v>
      </c>
      <c r="O1576" s="3" t="s">
        <v>64</v>
      </c>
      <c r="P1576" s="3" t="s">
        <v>1898</v>
      </c>
      <c r="R1576" s="3" t="s">
        <v>67</v>
      </c>
      <c r="S1576" s="4">
        <v>8</v>
      </c>
      <c r="T1576" s="4">
        <v>8</v>
      </c>
      <c r="U1576" s="5" t="s">
        <v>20007</v>
      </c>
      <c r="V1576" s="5" t="s">
        <v>20007</v>
      </c>
      <c r="W1576" s="5" t="s">
        <v>272</v>
      </c>
      <c r="X1576" s="5" t="s">
        <v>272</v>
      </c>
      <c r="Y1576" s="4">
        <v>13</v>
      </c>
      <c r="Z1576" s="4">
        <v>12</v>
      </c>
      <c r="AA1576" s="4">
        <v>45</v>
      </c>
      <c r="AB1576" s="4">
        <v>1</v>
      </c>
      <c r="AC1576" s="4">
        <v>1</v>
      </c>
      <c r="AD1576" s="4">
        <v>0</v>
      </c>
      <c r="AE1576" s="4">
        <v>0</v>
      </c>
      <c r="AF1576" s="4">
        <v>0</v>
      </c>
      <c r="AG1576" s="4">
        <v>0</v>
      </c>
      <c r="AH1576" s="4">
        <v>0</v>
      </c>
      <c r="AI1576" s="4">
        <v>0</v>
      </c>
      <c r="AJ1576" s="4">
        <v>0</v>
      </c>
      <c r="AK1576" s="4">
        <v>0</v>
      </c>
      <c r="AL1576" s="4">
        <v>0</v>
      </c>
      <c r="AM1576" s="4">
        <v>0</v>
      </c>
      <c r="AN1576" s="4">
        <v>0</v>
      </c>
      <c r="AO1576" s="4">
        <v>0</v>
      </c>
      <c r="AP1576" s="3" t="s">
        <v>58</v>
      </c>
      <c r="AQ1576" s="3" t="s">
        <v>86</v>
      </c>
      <c r="AR1576" s="6" t="str">
        <f>HYPERLINK("http://catalog.hathitrust.org/Record/012287717","HathiTrust Record")</f>
        <v>HathiTrust Record</v>
      </c>
      <c r="AS1576" s="6" t="str">
        <f>HYPERLINK("https://creighton-primo.hosted.exlibrisgroup.com/primo-explore/search?tab=default_tab&amp;search_scope=EVERYTHING&amp;vid=01CRU&amp;lang=en_US&amp;offset=0&amp;query=any,contains,991000483139702656","Catalog Record")</f>
        <v>Catalog Record</v>
      </c>
      <c r="AT1576" s="6" t="str">
        <f>HYPERLINK("http://www.worldcat.org/oclc/11066702","WorldCat Record")</f>
        <v>WorldCat Record</v>
      </c>
      <c r="AU1576" s="3" t="s">
        <v>20109</v>
      </c>
      <c r="AV1576" s="3" t="s">
        <v>20110</v>
      </c>
      <c r="AW1576" s="3" t="s">
        <v>20111</v>
      </c>
      <c r="AX1576" s="3" t="s">
        <v>20111</v>
      </c>
      <c r="AY1576" s="3" t="s">
        <v>20112</v>
      </c>
      <c r="AZ1576" s="3" t="s">
        <v>74</v>
      </c>
      <c r="BC1576" s="3" t="s">
        <v>20113</v>
      </c>
      <c r="BD1576" s="3" t="s">
        <v>20114</v>
      </c>
    </row>
    <row r="1577" spans="1:56" ht="42.75" customHeight="1" x14ac:dyDescent="0.25">
      <c r="A1577" s="7" t="s">
        <v>58</v>
      </c>
      <c r="B1577" s="2" t="s">
        <v>20115</v>
      </c>
      <c r="C1577" s="2" t="s">
        <v>20116</v>
      </c>
      <c r="D1577" s="2" t="s">
        <v>20117</v>
      </c>
      <c r="F1577" s="3" t="s">
        <v>58</v>
      </c>
      <c r="G1577" s="3" t="s">
        <v>59</v>
      </c>
      <c r="H1577" s="3" t="s">
        <v>58</v>
      </c>
      <c r="I1577" s="3" t="s">
        <v>58</v>
      </c>
      <c r="J1577" s="3" t="s">
        <v>60</v>
      </c>
      <c r="L1577" s="2" t="s">
        <v>20118</v>
      </c>
      <c r="M1577" s="3" t="s">
        <v>63</v>
      </c>
      <c r="O1577" s="3" t="s">
        <v>64</v>
      </c>
      <c r="P1577" s="3" t="s">
        <v>8171</v>
      </c>
      <c r="R1577" s="3" t="s">
        <v>67</v>
      </c>
      <c r="S1577" s="4">
        <v>5</v>
      </c>
      <c r="T1577" s="4">
        <v>5</v>
      </c>
      <c r="U1577" s="5" t="s">
        <v>20119</v>
      </c>
      <c r="V1577" s="5" t="s">
        <v>20119</v>
      </c>
      <c r="W1577" s="5" t="s">
        <v>210</v>
      </c>
      <c r="X1577" s="5" t="s">
        <v>210</v>
      </c>
      <c r="Y1577" s="4">
        <v>144</v>
      </c>
      <c r="Z1577" s="4">
        <v>103</v>
      </c>
      <c r="AA1577" s="4">
        <v>105</v>
      </c>
      <c r="AB1577" s="4">
        <v>1</v>
      </c>
      <c r="AC1577" s="4">
        <v>1</v>
      </c>
      <c r="AD1577" s="4">
        <v>0</v>
      </c>
      <c r="AE1577" s="4">
        <v>0</v>
      </c>
      <c r="AF1577" s="4">
        <v>0</v>
      </c>
      <c r="AG1577" s="4">
        <v>0</v>
      </c>
      <c r="AH1577" s="4">
        <v>0</v>
      </c>
      <c r="AI1577" s="4">
        <v>0</v>
      </c>
      <c r="AJ1577" s="4">
        <v>0</v>
      </c>
      <c r="AK1577" s="4">
        <v>0</v>
      </c>
      <c r="AL1577" s="4">
        <v>0</v>
      </c>
      <c r="AM1577" s="4">
        <v>0</v>
      </c>
      <c r="AN1577" s="4">
        <v>0</v>
      </c>
      <c r="AO1577" s="4">
        <v>0</v>
      </c>
      <c r="AP1577" s="3" t="s">
        <v>58</v>
      </c>
      <c r="AQ1577" s="3" t="s">
        <v>86</v>
      </c>
      <c r="AR1577" s="6" t="str">
        <f>HYPERLINK("http://catalog.hathitrust.org/Record/000323904","HathiTrust Record")</f>
        <v>HathiTrust Record</v>
      </c>
      <c r="AS1577" s="6" t="str">
        <f>HYPERLINK("https://creighton-primo.hosted.exlibrisgroup.com/primo-explore/search?tab=default_tab&amp;search_scope=EVERYTHING&amp;vid=01CRU&amp;lang=en_US&amp;offset=0&amp;query=any,contains,991000405759702656","Catalog Record")</f>
        <v>Catalog Record</v>
      </c>
      <c r="AT1577" s="6" t="str">
        <f>HYPERLINK("http://www.worldcat.org/oclc/13123261","WorldCat Record")</f>
        <v>WorldCat Record</v>
      </c>
      <c r="AU1577" s="3" t="s">
        <v>20120</v>
      </c>
      <c r="AV1577" s="3" t="s">
        <v>20121</v>
      </c>
      <c r="AW1577" s="3" t="s">
        <v>20122</v>
      </c>
      <c r="AX1577" s="3" t="s">
        <v>20122</v>
      </c>
      <c r="AY1577" s="3" t="s">
        <v>20123</v>
      </c>
      <c r="AZ1577" s="3" t="s">
        <v>74</v>
      </c>
      <c r="BB1577" s="3" t="s">
        <v>20124</v>
      </c>
      <c r="BC1577" s="3" t="s">
        <v>20125</v>
      </c>
      <c r="BD1577" s="3" t="s">
        <v>20126</v>
      </c>
    </row>
    <row r="1578" spans="1:56" ht="42.75" customHeight="1" x14ac:dyDescent="0.25">
      <c r="A1578" s="7" t="s">
        <v>58</v>
      </c>
      <c r="B1578" s="2" t="s">
        <v>20127</v>
      </c>
      <c r="C1578" s="2" t="s">
        <v>20128</v>
      </c>
      <c r="D1578" s="2" t="s">
        <v>20129</v>
      </c>
      <c r="F1578" s="3" t="s">
        <v>58</v>
      </c>
      <c r="G1578" s="3" t="s">
        <v>59</v>
      </c>
      <c r="H1578" s="3" t="s">
        <v>58</v>
      </c>
      <c r="I1578" s="3" t="s">
        <v>58</v>
      </c>
      <c r="J1578" s="3" t="s">
        <v>60</v>
      </c>
      <c r="K1578" s="2" t="s">
        <v>20130</v>
      </c>
      <c r="L1578" s="2" t="s">
        <v>20131</v>
      </c>
      <c r="M1578" s="3" t="s">
        <v>82</v>
      </c>
      <c r="O1578" s="3" t="s">
        <v>64</v>
      </c>
      <c r="P1578" s="3" t="s">
        <v>239</v>
      </c>
      <c r="Q1578" s="2" t="s">
        <v>20132</v>
      </c>
      <c r="R1578" s="3" t="s">
        <v>67</v>
      </c>
      <c r="S1578" s="4">
        <v>3</v>
      </c>
      <c r="T1578" s="4">
        <v>3</v>
      </c>
      <c r="U1578" s="5" t="s">
        <v>209</v>
      </c>
      <c r="V1578" s="5" t="s">
        <v>209</v>
      </c>
      <c r="W1578" s="5" t="s">
        <v>210</v>
      </c>
      <c r="X1578" s="5" t="s">
        <v>210</v>
      </c>
      <c r="Y1578" s="4">
        <v>105</v>
      </c>
      <c r="Z1578" s="4">
        <v>69</v>
      </c>
      <c r="AA1578" s="4">
        <v>71</v>
      </c>
      <c r="AB1578" s="4">
        <v>1</v>
      </c>
      <c r="AC1578" s="4">
        <v>1</v>
      </c>
      <c r="AD1578" s="4">
        <v>1</v>
      </c>
      <c r="AE1578" s="4">
        <v>1</v>
      </c>
      <c r="AF1578" s="4">
        <v>0</v>
      </c>
      <c r="AG1578" s="4">
        <v>0</v>
      </c>
      <c r="AH1578" s="4">
        <v>0</v>
      </c>
      <c r="AI1578" s="4">
        <v>0</v>
      </c>
      <c r="AJ1578" s="4">
        <v>1</v>
      </c>
      <c r="AK1578" s="4">
        <v>1</v>
      </c>
      <c r="AL1578" s="4">
        <v>0</v>
      </c>
      <c r="AM1578" s="4">
        <v>0</v>
      </c>
      <c r="AN1578" s="4">
        <v>0</v>
      </c>
      <c r="AO1578" s="4">
        <v>0</v>
      </c>
      <c r="AP1578" s="3" t="s">
        <v>58</v>
      </c>
      <c r="AQ1578" s="3" t="s">
        <v>86</v>
      </c>
      <c r="AR1578" s="6" t="str">
        <f>HYPERLINK("http://catalog.hathitrust.org/Record/000842935","HathiTrust Record")</f>
        <v>HathiTrust Record</v>
      </c>
      <c r="AS1578" s="6" t="str">
        <f>HYPERLINK("https://creighton-primo.hosted.exlibrisgroup.com/primo-explore/search?tab=default_tab&amp;search_scope=EVERYTHING&amp;vid=01CRU&amp;lang=en_US&amp;offset=0&amp;query=any,contains,991001136809702656","Catalog Record")</f>
        <v>Catalog Record</v>
      </c>
      <c r="AT1578" s="6" t="str">
        <f>HYPERLINK("http://www.worldcat.org/oclc/16716257","WorldCat Record")</f>
        <v>WorldCat Record</v>
      </c>
      <c r="AU1578" s="3" t="s">
        <v>20133</v>
      </c>
      <c r="AV1578" s="3" t="s">
        <v>20134</v>
      </c>
      <c r="AW1578" s="3" t="s">
        <v>20135</v>
      </c>
      <c r="AX1578" s="3" t="s">
        <v>20135</v>
      </c>
      <c r="AY1578" s="3" t="s">
        <v>20136</v>
      </c>
      <c r="AZ1578" s="3" t="s">
        <v>74</v>
      </c>
      <c r="BB1578" s="3" t="s">
        <v>20137</v>
      </c>
      <c r="BC1578" s="3" t="s">
        <v>20138</v>
      </c>
      <c r="BD1578" s="3" t="s">
        <v>20139</v>
      </c>
    </row>
    <row r="1579" spans="1:56" ht="42.75" customHeight="1" x14ac:dyDescent="0.25">
      <c r="A1579" s="7" t="s">
        <v>58</v>
      </c>
      <c r="B1579" s="2" t="s">
        <v>20140</v>
      </c>
      <c r="C1579" s="2" t="s">
        <v>20141</v>
      </c>
      <c r="D1579" s="2" t="s">
        <v>20142</v>
      </c>
      <c r="F1579" s="3" t="s">
        <v>58</v>
      </c>
      <c r="G1579" s="3" t="s">
        <v>59</v>
      </c>
      <c r="H1579" s="3" t="s">
        <v>58</v>
      </c>
      <c r="I1579" s="3" t="s">
        <v>58</v>
      </c>
      <c r="J1579" s="3" t="s">
        <v>60</v>
      </c>
      <c r="L1579" s="2" t="s">
        <v>20143</v>
      </c>
      <c r="M1579" s="3" t="s">
        <v>98</v>
      </c>
      <c r="O1579" s="3" t="s">
        <v>64</v>
      </c>
      <c r="P1579" s="3" t="s">
        <v>145</v>
      </c>
      <c r="R1579" s="3" t="s">
        <v>67</v>
      </c>
      <c r="S1579" s="4">
        <v>2</v>
      </c>
      <c r="T1579" s="4">
        <v>2</v>
      </c>
      <c r="U1579" s="5" t="s">
        <v>20144</v>
      </c>
      <c r="V1579" s="5" t="s">
        <v>20144</v>
      </c>
      <c r="W1579" s="5" t="s">
        <v>20145</v>
      </c>
      <c r="X1579" s="5" t="s">
        <v>20145</v>
      </c>
      <c r="Y1579" s="4">
        <v>148</v>
      </c>
      <c r="Z1579" s="4">
        <v>144</v>
      </c>
      <c r="AA1579" s="4">
        <v>161</v>
      </c>
      <c r="AB1579" s="4">
        <v>2</v>
      </c>
      <c r="AC1579" s="4">
        <v>2</v>
      </c>
      <c r="AD1579" s="4">
        <v>1</v>
      </c>
      <c r="AE1579" s="4">
        <v>1</v>
      </c>
      <c r="AF1579" s="4">
        <v>0</v>
      </c>
      <c r="AG1579" s="4">
        <v>0</v>
      </c>
      <c r="AH1579" s="4">
        <v>1</v>
      </c>
      <c r="AI1579" s="4">
        <v>1</v>
      </c>
      <c r="AJ1579" s="4">
        <v>1</v>
      </c>
      <c r="AK1579" s="4">
        <v>1</v>
      </c>
      <c r="AL1579" s="4">
        <v>0</v>
      </c>
      <c r="AM1579" s="4">
        <v>0</v>
      </c>
      <c r="AN1579" s="4">
        <v>0</v>
      </c>
      <c r="AO1579" s="4">
        <v>0</v>
      </c>
      <c r="AP1579" s="3" t="s">
        <v>58</v>
      </c>
      <c r="AQ1579" s="3" t="s">
        <v>58</v>
      </c>
      <c r="AS1579" s="6" t="str">
        <f>HYPERLINK("https://creighton-primo.hosted.exlibrisgroup.com/primo-explore/search?tab=default_tab&amp;search_scope=EVERYTHING&amp;vid=01CRU&amp;lang=en_US&amp;offset=0&amp;query=any,contains,991001358209702656","Catalog Record")</f>
        <v>Catalog Record</v>
      </c>
      <c r="AT1579" s="6" t="str">
        <f>HYPERLINK("http://www.worldcat.org/oclc/18497852","WorldCat Record")</f>
        <v>WorldCat Record</v>
      </c>
      <c r="AU1579" s="3" t="s">
        <v>20146</v>
      </c>
      <c r="AV1579" s="3" t="s">
        <v>20147</v>
      </c>
      <c r="AW1579" s="3" t="s">
        <v>20148</v>
      </c>
      <c r="AX1579" s="3" t="s">
        <v>20148</v>
      </c>
      <c r="AY1579" s="3" t="s">
        <v>20149</v>
      </c>
      <c r="AZ1579" s="3" t="s">
        <v>74</v>
      </c>
      <c r="BB1579" s="3" t="s">
        <v>20150</v>
      </c>
      <c r="BC1579" s="3" t="s">
        <v>20151</v>
      </c>
      <c r="BD1579" s="3" t="s">
        <v>20152</v>
      </c>
    </row>
    <row r="1580" spans="1:56" ht="42.75" customHeight="1" x14ac:dyDescent="0.25">
      <c r="A1580" s="7" t="s">
        <v>58</v>
      </c>
      <c r="B1580" s="2" t="s">
        <v>20153</v>
      </c>
      <c r="C1580" s="2" t="s">
        <v>20154</v>
      </c>
      <c r="D1580" s="2" t="s">
        <v>20155</v>
      </c>
      <c r="F1580" s="3" t="s">
        <v>58</v>
      </c>
      <c r="G1580" s="3" t="s">
        <v>59</v>
      </c>
      <c r="H1580" s="3" t="s">
        <v>58</v>
      </c>
      <c r="I1580" s="3" t="s">
        <v>58</v>
      </c>
      <c r="J1580" s="3" t="s">
        <v>60</v>
      </c>
      <c r="K1580" s="2" t="s">
        <v>20156</v>
      </c>
      <c r="L1580" s="2" t="s">
        <v>20157</v>
      </c>
      <c r="M1580" s="3" t="s">
        <v>1101</v>
      </c>
      <c r="O1580" s="3" t="s">
        <v>64</v>
      </c>
      <c r="P1580" s="3" t="s">
        <v>359</v>
      </c>
      <c r="R1580" s="3" t="s">
        <v>67</v>
      </c>
      <c r="S1580" s="4">
        <v>4</v>
      </c>
      <c r="T1580" s="4">
        <v>4</v>
      </c>
      <c r="U1580" s="5" t="s">
        <v>20158</v>
      </c>
      <c r="V1580" s="5" t="s">
        <v>20158</v>
      </c>
      <c r="W1580" s="5" t="s">
        <v>6084</v>
      </c>
      <c r="X1580" s="5" t="s">
        <v>6084</v>
      </c>
      <c r="Y1580" s="4">
        <v>855</v>
      </c>
      <c r="Z1580" s="4">
        <v>836</v>
      </c>
      <c r="AA1580" s="4">
        <v>841</v>
      </c>
      <c r="AB1580" s="4">
        <v>3</v>
      </c>
      <c r="AC1580" s="4">
        <v>3</v>
      </c>
      <c r="AD1580" s="4">
        <v>10</v>
      </c>
      <c r="AE1580" s="4">
        <v>10</v>
      </c>
      <c r="AF1580" s="4">
        <v>4</v>
      </c>
      <c r="AG1580" s="4">
        <v>4</v>
      </c>
      <c r="AH1580" s="4">
        <v>2</v>
      </c>
      <c r="AI1580" s="4">
        <v>2</v>
      </c>
      <c r="AJ1580" s="4">
        <v>4</v>
      </c>
      <c r="AK1580" s="4">
        <v>4</v>
      </c>
      <c r="AL1580" s="4">
        <v>1</v>
      </c>
      <c r="AM1580" s="4">
        <v>1</v>
      </c>
      <c r="AN1580" s="4">
        <v>1</v>
      </c>
      <c r="AO1580" s="4">
        <v>1</v>
      </c>
      <c r="AP1580" s="3" t="s">
        <v>58</v>
      </c>
      <c r="AQ1580" s="3" t="s">
        <v>58</v>
      </c>
      <c r="AS1580" s="6" t="str">
        <f>HYPERLINK("https://creighton-primo.hosted.exlibrisgroup.com/primo-explore/search?tab=default_tab&amp;search_scope=EVERYTHING&amp;vid=01CRU&amp;lang=en_US&amp;offset=0&amp;query=any,contains,991003769499702656","Catalog Record")</f>
        <v>Catalog Record</v>
      </c>
      <c r="AT1580" s="6" t="str">
        <f>HYPERLINK("http://www.worldcat.org/oclc/48767654","WorldCat Record")</f>
        <v>WorldCat Record</v>
      </c>
      <c r="AU1580" s="3" t="s">
        <v>20159</v>
      </c>
      <c r="AV1580" s="3" t="s">
        <v>20160</v>
      </c>
      <c r="AW1580" s="3" t="s">
        <v>20161</v>
      </c>
      <c r="AX1580" s="3" t="s">
        <v>20161</v>
      </c>
      <c r="AY1580" s="3" t="s">
        <v>20162</v>
      </c>
      <c r="AZ1580" s="3" t="s">
        <v>74</v>
      </c>
      <c r="BB1580" s="3" t="s">
        <v>20163</v>
      </c>
      <c r="BC1580" s="3" t="s">
        <v>20164</v>
      </c>
      <c r="BD1580" s="3" t="s">
        <v>20165</v>
      </c>
    </row>
    <row r="1581" spans="1:56" ht="42.75" customHeight="1" x14ac:dyDescent="0.25">
      <c r="A1581" s="7" t="s">
        <v>58</v>
      </c>
      <c r="B1581" s="2" t="s">
        <v>20166</v>
      </c>
      <c r="C1581" s="2" t="s">
        <v>20167</v>
      </c>
      <c r="D1581" s="2" t="s">
        <v>20168</v>
      </c>
      <c r="F1581" s="3" t="s">
        <v>58</v>
      </c>
      <c r="G1581" s="3" t="s">
        <v>59</v>
      </c>
      <c r="H1581" s="3" t="s">
        <v>58</v>
      </c>
      <c r="I1581" s="3" t="s">
        <v>58</v>
      </c>
      <c r="J1581" s="3" t="s">
        <v>60</v>
      </c>
      <c r="L1581" s="2" t="s">
        <v>20169</v>
      </c>
      <c r="M1581" s="3" t="s">
        <v>114</v>
      </c>
      <c r="O1581" s="3" t="s">
        <v>64</v>
      </c>
      <c r="P1581" s="3" t="s">
        <v>115</v>
      </c>
      <c r="R1581" s="3" t="s">
        <v>67</v>
      </c>
      <c r="S1581" s="4">
        <v>9</v>
      </c>
      <c r="T1581" s="4">
        <v>9</v>
      </c>
      <c r="U1581" s="5" t="s">
        <v>20170</v>
      </c>
      <c r="V1581" s="5" t="s">
        <v>20170</v>
      </c>
      <c r="W1581" s="5" t="s">
        <v>5930</v>
      </c>
      <c r="X1581" s="5" t="s">
        <v>5930</v>
      </c>
      <c r="Y1581" s="4">
        <v>215</v>
      </c>
      <c r="Z1581" s="4">
        <v>174</v>
      </c>
      <c r="AA1581" s="4">
        <v>182</v>
      </c>
      <c r="AB1581" s="4">
        <v>1</v>
      </c>
      <c r="AC1581" s="4">
        <v>1</v>
      </c>
      <c r="AD1581" s="4">
        <v>1</v>
      </c>
      <c r="AE1581" s="4">
        <v>1</v>
      </c>
      <c r="AF1581" s="4">
        <v>0</v>
      </c>
      <c r="AG1581" s="4">
        <v>0</v>
      </c>
      <c r="AH1581" s="4">
        <v>0</v>
      </c>
      <c r="AI1581" s="4">
        <v>0</v>
      </c>
      <c r="AJ1581" s="4">
        <v>1</v>
      </c>
      <c r="AK1581" s="4">
        <v>1</v>
      </c>
      <c r="AL1581" s="4">
        <v>0</v>
      </c>
      <c r="AM1581" s="4">
        <v>0</v>
      </c>
      <c r="AN1581" s="4">
        <v>0</v>
      </c>
      <c r="AO1581" s="4">
        <v>0</v>
      </c>
      <c r="AP1581" s="3" t="s">
        <v>58</v>
      </c>
      <c r="AQ1581" s="3" t="s">
        <v>86</v>
      </c>
      <c r="AR1581" s="6" t="str">
        <f>HYPERLINK("http://catalog.hathitrust.org/Record/000560156","HathiTrust Record")</f>
        <v>HathiTrust Record</v>
      </c>
      <c r="AS1581" s="6" t="str">
        <f>HYPERLINK("https://creighton-primo.hosted.exlibrisgroup.com/primo-explore/search?tab=default_tab&amp;search_scope=EVERYTHING&amp;vid=01CRU&amp;lang=en_US&amp;offset=0&amp;query=any,contains,991000247869702656","Catalog Record")</f>
        <v>Catalog Record</v>
      </c>
      <c r="AT1581" s="6" t="str">
        <f>HYPERLINK("http://www.worldcat.org/oclc/9731525","WorldCat Record")</f>
        <v>WorldCat Record</v>
      </c>
      <c r="AU1581" s="3" t="s">
        <v>20171</v>
      </c>
      <c r="AV1581" s="3" t="s">
        <v>20172</v>
      </c>
      <c r="AW1581" s="3" t="s">
        <v>20173</v>
      </c>
      <c r="AX1581" s="3" t="s">
        <v>20173</v>
      </c>
      <c r="AY1581" s="3" t="s">
        <v>20174</v>
      </c>
      <c r="AZ1581" s="3" t="s">
        <v>74</v>
      </c>
      <c r="BB1581" s="3" t="s">
        <v>20175</v>
      </c>
      <c r="BC1581" s="3" t="s">
        <v>20176</v>
      </c>
      <c r="BD1581" s="3" t="s">
        <v>20177</v>
      </c>
    </row>
    <row r="1582" spans="1:56" ht="42.75" customHeight="1" x14ac:dyDescent="0.25">
      <c r="A1582" s="7" t="s">
        <v>58</v>
      </c>
      <c r="B1582" s="2" t="s">
        <v>20178</v>
      </c>
      <c r="C1582" s="2" t="s">
        <v>20179</v>
      </c>
      <c r="D1582" s="2" t="s">
        <v>20180</v>
      </c>
      <c r="F1582" s="3" t="s">
        <v>58</v>
      </c>
      <c r="G1582" s="3" t="s">
        <v>59</v>
      </c>
      <c r="H1582" s="3" t="s">
        <v>58</v>
      </c>
      <c r="I1582" s="3" t="s">
        <v>58</v>
      </c>
      <c r="J1582" s="3" t="s">
        <v>60</v>
      </c>
      <c r="K1582" s="2" t="s">
        <v>20181</v>
      </c>
      <c r="L1582" s="2" t="s">
        <v>20182</v>
      </c>
      <c r="M1582" s="3" t="s">
        <v>82</v>
      </c>
      <c r="N1582" s="2" t="s">
        <v>1736</v>
      </c>
      <c r="O1582" s="3" t="s">
        <v>64</v>
      </c>
      <c r="P1582" s="3" t="s">
        <v>115</v>
      </c>
      <c r="R1582" s="3" t="s">
        <v>67</v>
      </c>
      <c r="S1582" s="4">
        <v>15</v>
      </c>
      <c r="T1582" s="4">
        <v>15</v>
      </c>
      <c r="U1582" s="5" t="s">
        <v>16767</v>
      </c>
      <c r="V1582" s="5" t="s">
        <v>16767</v>
      </c>
      <c r="W1582" s="5" t="s">
        <v>2623</v>
      </c>
      <c r="X1582" s="5" t="s">
        <v>2623</v>
      </c>
      <c r="Y1582" s="4">
        <v>164</v>
      </c>
      <c r="Z1582" s="4">
        <v>159</v>
      </c>
      <c r="AA1582" s="4">
        <v>163</v>
      </c>
      <c r="AB1582" s="4">
        <v>1</v>
      </c>
      <c r="AC1582" s="4">
        <v>1</v>
      </c>
      <c r="AD1582" s="4">
        <v>3</v>
      </c>
      <c r="AE1582" s="4">
        <v>3</v>
      </c>
      <c r="AF1582" s="4">
        <v>3</v>
      </c>
      <c r="AG1582" s="4">
        <v>3</v>
      </c>
      <c r="AH1582" s="4">
        <v>0</v>
      </c>
      <c r="AI1582" s="4">
        <v>0</v>
      </c>
      <c r="AJ1582" s="4">
        <v>2</v>
      </c>
      <c r="AK1582" s="4">
        <v>2</v>
      </c>
      <c r="AL1582" s="4">
        <v>0</v>
      </c>
      <c r="AM1582" s="4">
        <v>0</v>
      </c>
      <c r="AN1582" s="4">
        <v>0</v>
      </c>
      <c r="AO1582" s="4">
        <v>0</v>
      </c>
      <c r="AP1582" s="3" t="s">
        <v>58</v>
      </c>
      <c r="AQ1582" s="3" t="s">
        <v>58</v>
      </c>
      <c r="AS1582" s="6" t="str">
        <f>HYPERLINK("https://creighton-primo.hosted.exlibrisgroup.com/primo-explore/search?tab=default_tab&amp;search_scope=EVERYTHING&amp;vid=01CRU&amp;lang=en_US&amp;offset=0&amp;query=any,contains,991000964069702656","Catalog Record")</f>
        <v>Catalog Record</v>
      </c>
      <c r="AT1582" s="6" t="str">
        <f>HYPERLINK("http://www.worldcat.org/oclc/14904199","WorldCat Record")</f>
        <v>WorldCat Record</v>
      </c>
      <c r="AU1582" s="3" t="s">
        <v>20183</v>
      </c>
      <c r="AV1582" s="3" t="s">
        <v>20184</v>
      </c>
      <c r="AW1582" s="3" t="s">
        <v>20185</v>
      </c>
      <c r="AX1582" s="3" t="s">
        <v>20185</v>
      </c>
      <c r="AY1582" s="3" t="s">
        <v>20186</v>
      </c>
      <c r="AZ1582" s="3" t="s">
        <v>74</v>
      </c>
      <c r="BB1582" s="3" t="s">
        <v>20187</v>
      </c>
      <c r="BC1582" s="3" t="s">
        <v>20188</v>
      </c>
      <c r="BD1582" s="3" t="s">
        <v>20189</v>
      </c>
    </row>
    <row r="1583" spans="1:56" ht="42.75" customHeight="1" x14ac:dyDescent="0.25">
      <c r="A1583" s="7" t="s">
        <v>58</v>
      </c>
      <c r="B1583" s="2" t="s">
        <v>20190</v>
      </c>
      <c r="C1583" s="2" t="s">
        <v>20191</v>
      </c>
      <c r="D1583" s="2" t="s">
        <v>20192</v>
      </c>
      <c r="F1583" s="3" t="s">
        <v>58</v>
      </c>
      <c r="G1583" s="3" t="s">
        <v>59</v>
      </c>
      <c r="H1583" s="3" t="s">
        <v>58</v>
      </c>
      <c r="I1583" s="3" t="s">
        <v>58</v>
      </c>
      <c r="J1583" s="3" t="s">
        <v>60</v>
      </c>
      <c r="K1583" s="2" t="s">
        <v>20193</v>
      </c>
      <c r="L1583" s="2" t="s">
        <v>20194</v>
      </c>
      <c r="M1583" s="3" t="s">
        <v>1361</v>
      </c>
      <c r="O1583" s="3" t="s">
        <v>64</v>
      </c>
      <c r="P1583" s="3" t="s">
        <v>83</v>
      </c>
      <c r="R1583" s="3" t="s">
        <v>67</v>
      </c>
      <c r="S1583" s="4">
        <v>1</v>
      </c>
      <c r="T1583" s="4">
        <v>1</v>
      </c>
      <c r="U1583" s="5" t="s">
        <v>13076</v>
      </c>
      <c r="V1583" s="5" t="s">
        <v>13076</v>
      </c>
      <c r="W1583" s="5" t="s">
        <v>7403</v>
      </c>
      <c r="X1583" s="5" t="s">
        <v>7403</v>
      </c>
      <c r="Y1583" s="4">
        <v>718</v>
      </c>
      <c r="Z1583" s="4">
        <v>601</v>
      </c>
      <c r="AA1583" s="4">
        <v>1419</v>
      </c>
      <c r="AB1583" s="4">
        <v>3</v>
      </c>
      <c r="AC1583" s="4">
        <v>26</v>
      </c>
      <c r="AD1583" s="4">
        <v>27</v>
      </c>
      <c r="AE1583" s="4">
        <v>49</v>
      </c>
      <c r="AF1583" s="4">
        <v>12</v>
      </c>
      <c r="AG1583" s="4">
        <v>16</v>
      </c>
      <c r="AH1583" s="4">
        <v>7</v>
      </c>
      <c r="AI1583" s="4">
        <v>9</v>
      </c>
      <c r="AJ1583" s="4">
        <v>13</v>
      </c>
      <c r="AK1583" s="4">
        <v>17</v>
      </c>
      <c r="AL1583" s="4">
        <v>2</v>
      </c>
      <c r="AM1583" s="4">
        <v>14</v>
      </c>
      <c r="AN1583" s="4">
        <v>0</v>
      </c>
      <c r="AO1583" s="4">
        <v>1</v>
      </c>
      <c r="AP1583" s="3" t="s">
        <v>58</v>
      </c>
      <c r="AQ1583" s="3" t="s">
        <v>58</v>
      </c>
      <c r="AS1583" s="6" t="str">
        <f>HYPERLINK("https://creighton-primo.hosted.exlibrisgroup.com/primo-explore/search?tab=default_tab&amp;search_scope=EVERYTHING&amp;vid=01CRU&amp;lang=en_US&amp;offset=0&amp;query=any,contains,991005220199702656","Catalog Record")</f>
        <v>Catalog Record</v>
      </c>
      <c r="AT1583" s="6" t="str">
        <f>HYPERLINK("http://www.worldcat.org/oclc/70218064","WorldCat Record")</f>
        <v>WorldCat Record</v>
      </c>
      <c r="AU1583" s="3" t="s">
        <v>20195</v>
      </c>
      <c r="AV1583" s="3" t="s">
        <v>20196</v>
      </c>
      <c r="AW1583" s="3" t="s">
        <v>20197</v>
      </c>
      <c r="AX1583" s="3" t="s">
        <v>20197</v>
      </c>
      <c r="AY1583" s="3" t="s">
        <v>20198</v>
      </c>
      <c r="AZ1583" s="3" t="s">
        <v>74</v>
      </c>
      <c r="BB1583" s="3" t="s">
        <v>20199</v>
      </c>
      <c r="BC1583" s="3" t="s">
        <v>20200</v>
      </c>
      <c r="BD1583" s="3" t="s">
        <v>20201</v>
      </c>
    </row>
    <row r="1584" spans="1:56" ht="42.75" customHeight="1" x14ac:dyDescent="0.25">
      <c r="A1584" s="7" t="s">
        <v>58</v>
      </c>
      <c r="B1584" s="2" t="s">
        <v>20202</v>
      </c>
      <c r="C1584" s="2" t="s">
        <v>20203</v>
      </c>
      <c r="D1584" s="2" t="s">
        <v>20204</v>
      </c>
      <c r="F1584" s="3" t="s">
        <v>58</v>
      </c>
      <c r="G1584" s="3" t="s">
        <v>59</v>
      </c>
      <c r="H1584" s="3" t="s">
        <v>58</v>
      </c>
      <c r="I1584" s="3" t="s">
        <v>58</v>
      </c>
      <c r="J1584" s="3" t="s">
        <v>60</v>
      </c>
      <c r="K1584" s="2" t="s">
        <v>20205</v>
      </c>
      <c r="L1584" s="2" t="s">
        <v>20206</v>
      </c>
      <c r="M1584" s="3" t="s">
        <v>371</v>
      </c>
      <c r="O1584" s="3" t="s">
        <v>64</v>
      </c>
      <c r="P1584" s="3" t="s">
        <v>208</v>
      </c>
      <c r="R1584" s="3" t="s">
        <v>67</v>
      </c>
      <c r="S1584" s="4">
        <v>15</v>
      </c>
      <c r="T1584" s="4">
        <v>15</v>
      </c>
      <c r="U1584" s="5" t="s">
        <v>16767</v>
      </c>
      <c r="V1584" s="5" t="s">
        <v>16767</v>
      </c>
      <c r="W1584" s="5" t="s">
        <v>69</v>
      </c>
      <c r="X1584" s="5" t="s">
        <v>69</v>
      </c>
      <c r="Y1584" s="4">
        <v>267</v>
      </c>
      <c r="Z1584" s="4">
        <v>258</v>
      </c>
      <c r="AA1584" s="4">
        <v>263</v>
      </c>
      <c r="AB1584" s="4">
        <v>3</v>
      </c>
      <c r="AC1584" s="4">
        <v>3</v>
      </c>
      <c r="AD1584" s="4">
        <v>1</v>
      </c>
      <c r="AE1584" s="4">
        <v>1</v>
      </c>
      <c r="AF1584" s="4">
        <v>0</v>
      </c>
      <c r="AG1584" s="4">
        <v>0</v>
      </c>
      <c r="AH1584" s="4">
        <v>0</v>
      </c>
      <c r="AI1584" s="4">
        <v>0</v>
      </c>
      <c r="AJ1584" s="4">
        <v>0</v>
      </c>
      <c r="AK1584" s="4">
        <v>0</v>
      </c>
      <c r="AL1584" s="4">
        <v>1</v>
      </c>
      <c r="AM1584" s="4">
        <v>1</v>
      </c>
      <c r="AN1584" s="4">
        <v>0</v>
      </c>
      <c r="AO1584" s="4">
        <v>0</v>
      </c>
      <c r="AP1584" s="3" t="s">
        <v>58</v>
      </c>
      <c r="AQ1584" s="3" t="s">
        <v>58</v>
      </c>
      <c r="AS1584" s="6" t="str">
        <f>HYPERLINK("https://creighton-primo.hosted.exlibrisgroup.com/primo-explore/search?tab=default_tab&amp;search_scope=EVERYTHING&amp;vid=01CRU&amp;lang=en_US&amp;offset=0&amp;query=any,contains,991000764419702656","Catalog Record")</f>
        <v>Catalog Record</v>
      </c>
      <c r="AT1584" s="6" t="str">
        <f>HYPERLINK("http://www.worldcat.org/oclc/12978570","WorldCat Record")</f>
        <v>WorldCat Record</v>
      </c>
      <c r="AU1584" s="3" t="s">
        <v>20207</v>
      </c>
      <c r="AV1584" s="3" t="s">
        <v>20208</v>
      </c>
      <c r="AW1584" s="3" t="s">
        <v>20209</v>
      </c>
      <c r="AX1584" s="3" t="s">
        <v>20209</v>
      </c>
      <c r="AY1584" s="3" t="s">
        <v>20210</v>
      </c>
      <c r="AZ1584" s="3" t="s">
        <v>74</v>
      </c>
      <c r="BB1584" s="3" t="s">
        <v>20211</v>
      </c>
      <c r="BC1584" s="3" t="s">
        <v>20212</v>
      </c>
      <c r="BD1584" s="3" t="s">
        <v>20213</v>
      </c>
    </row>
    <row r="1585" spans="1:56" ht="42.75" customHeight="1" x14ac:dyDescent="0.25">
      <c r="A1585" s="7" t="s">
        <v>58</v>
      </c>
      <c r="B1585" s="2" t="s">
        <v>20214</v>
      </c>
      <c r="C1585" s="2" t="s">
        <v>20215</v>
      </c>
      <c r="D1585" s="2" t="s">
        <v>20216</v>
      </c>
      <c r="F1585" s="3" t="s">
        <v>58</v>
      </c>
      <c r="G1585" s="3" t="s">
        <v>59</v>
      </c>
      <c r="H1585" s="3" t="s">
        <v>58</v>
      </c>
      <c r="I1585" s="3" t="s">
        <v>58</v>
      </c>
      <c r="J1585" s="3" t="s">
        <v>60</v>
      </c>
      <c r="K1585" s="2" t="s">
        <v>20217</v>
      </c>
      <c r="L1585" s="2" t="s">
        <v>20218</v>
      </c>
      <c r="M1585" s="3" t="s">
        <v>82</v>
      </c>
      <c r="N1585" s="2" t="s">
        <v>1736</v>
      </c>
      <c r="O1585" s="3" t="s">
        <v>64</v>
      </c>
      <c r="P1585" s="3" t="s">
        <v>99</v>
      </c>
      <c r="R1585" s="3" t="s">
        <v>67</v>
      </c>
      <c r="S1585" s="4">
        <v>13</v>
      </c>
      <c r="T1585" s="4">
        <v>13</v>
      </c>
      <c r="U1585" s="5" t="s">
        <v>16767</v>
      </c>
      <c r="V1585" s="5" t="s">
        <v>16767</v>
      </c>
      <c r="W1585" s="5" t="s">
        <v>69</v>
      </c>
      <c r="X1585" s="5" t="s">
        <v>69</v>
      </c>
      <c r="Y1585" s="4">
        <v>234</v>
      </c>
      <c r="Z1585" s="4">
        <v>225</v>
      </c>
      <c r="AA1585" s="4">
        <v>245</v>
      </c>
      <c r="AB1585" s="4">
        <v>2</v>
      </c>
      <c r="AC1585" s="4">
        <v>2</v>
      </c>
      <c r="AD1585" s="4">
        <v>3</v>
      </c>
      <c r="AE1585" s="4">
        <v>5</v>
      </c>
      <c r="AF1585" s="4">
        <v>1</v>
      </c>
      <c r="AG1585" s="4">
        <v>2</v>
      </c>
      <c r="AH1585" s="4">
        <v>0</v>
      </c>
      <c r="AI1585" s="4">
        <v>0</v>
      </c>
      <c r="AJ1585" s="4">
        <v>1</v>
      </c>
      <c r="AK1585" s="4">
        <v>2</v>
      </c>
      <c r="AL1585" s="4">
        <v>1</v>
      </c>
      <c r="AM1585" s="4">
        <v>1</v>
      </c>
      <c r="AN1585" s="4">
        <v>0</v>
      </c>
      <c r="AO1585" s="4">
        <v>0</v>
      </c>
      <c r="AP1585" s="3" t="s">
        <v>58</v>
      </c>
      <c r="AQ1585" s="3" t="s">
        <v>58</v>
      </c>
      <c r="AS1585" s="6" t="str">
        <f>HYPERLINK("https://creighton-primo.hosted.exlibrisgroup.com/primo-explore/search?tab=default_tab&amp;search_scope=EVERYTHING&amp;vid=01CRU&amp;lang=en_US&amp;offset=0&amp;query=any,contains,991000955619702656","Catalog Record")</f>
        <v>Catalog Record</v>
      </c>
      <c r="AT1585" s="6" t="str">
        <f>HYPERLINK("http://www.worldcat.org/oclc/14717593","WorldCat Record")</f>
        <v>WorldCat Record</v>
      </c>
      <c r="AU1585" s="3" t="s">
        <v>20219</v>
      </c>
      <c r="AV1585" s="3" t="s">
        <v>20220</v>
      </c>
      <c r="AW1585" s="3" t="s">
        <v>20221</v>
      </c>
      <c r="AX1585" s="3" t="s">
        <v>20221</v>
      </c>
      <c r="AY1585" s="3" t="s">
        <v>20222</v>
      </c>
      <c r="AZ1585" s="3" t="s">
        <v>74</v>
      </c>
      <c r="BB1585" s="3" t="s">
        <v>20223</v>
      </c>
      <c r="BC1585" s="3" t="s">
        <v>20224</v>
      </c>
      <c r="BD1585" s="3" t="s">
        <v>20225</v>
      </c>
    </row>
    <row r="1586" spans="1:56" ht="42.75" customHeight="1" x14ac:dyDescent="0.25">
      <c r="A1586" s="7" t="s">
        <v>58</v>
      </c>
      <c r="B1586" s="2" t="s">
        <v>20226</v>
      </c>
      <c r="C1586" s="2" t="s">
        <v>20227</v>
      </c>
      <c r="D1586" s="2" t="s">
        <v>20228</v>
      </c>
      <c r="F1586" s="3" t="s">
        <v>58</v>
      </c>
      <c r="G1586" s="3" t="s">
        <v>59</v>
      </c>
      <c r="H1586" s="3" t="s">
        <v>58</v>
      </c>
      <c r="I1586" s="3" t="s">
        <v>58</v>
      </c>
      <c r="J1586" s="3" t="s">
        <v>60</v>
      </c>
      <c r="K1586" s="2" t="s">
        <v>20229</v>
      </c>
      <c r="L1586" s="2" t="s">
        <v>20230</v>
      </c>
      <c r="M1586" s="3" t="s">
        <v>695</v>
      </c>
      <c r="O1586" s="3" t="s">
        <v>64</v>
      </c>
      <c r="P1586" s="3" t="s">
        <v>115</v>
      </c>
      <c r="R1586" s="3" t="s">
        <v>67</v>
      </c>
      <c r="S1586" s="4">
        <v>9</v>
      </c>
      <c r="T1586" s="4">
        <v>9</v>
      </c>
      <c r="U1586" s="5" t="s">
        <v>20231</v>
      </c>
      <c r="V1586" s="5" t="s">
        <v>20231</v>
      </c>
      <c r="W1586" s="5" t="s">
        <v>12498</v>
      </c>
      <c r="X1586" s="5" t="s">
        <v>12498</v>
      </c>
      <c r="Y1586" s="4">
        <v>131</v>
      </c>
      <c r="Z1586" s="4">
        <v>119</v>
      </c>
      <c r="AA1586" s="4">
        <v>121</v>
      </c>
      <c r="AB1586" s="4">
        <v>1</v>
      </c>
      <c r="AC1586" s="4">
        <v>1</v>
      </c>
      <c r="AD1586" s="4">
        <v>5</v>
      </c>
      <c r="AE1586" s="4">
        <v>5</v>
      </c>
      <c r="AF1586" s="4">
        <v>2</v>
      </c>
      <c r="AG1586" s="4">
        <v>2</v>
      </c>
      <c r="AH1586" s="4">
        <v>2</v>
      </c>
      <c r="AI1586" s="4">
        <v>2</v>
      </c>
      <c r="AJ1586" s="4">
        <v>3</v>
      </c>
      <c r="AK1586" s="4">
        <v>3</v>
      </c>
      <c r="AL1586" s="4">
        <v>0</v>
      </c>
      <c r="AM1586" s="4">
        <v>0</v>
      </c>
      <c r="AN1586" s="4">
        <v>0</v>
      </c>
      <c r="AO1586" s="4">
        <v>0</v>
      </c>
      <c r="AP1586" s="3" t="s">
        <v>58</v>
      </c>
      <c r="AQ1586" s="3" t="s">
        <v>86</v>
      </c>
      <c r="AR1586" s="6" t="str">
        <f>HYPERLINK("http://catalog.hathitrust.org/Record/002613962","HathiTrust Record")</f>
        <v>HathiTrust Record</v>
      </c>
      <c r="AS1586" s="6" t="str">
        <f>HYPERLINK("https://creighton-primo.hosted.exlibrisgroup.com/primo-explore/search?tab=default_tab&amp;search_scope=EVERYTHING&amp;vid=01CRU&amp;lang=en_US&amp;offset=0&amp;query=any,contains,991002068149702656","Catalog Record")</f>
        <v>Catalog Record</v>
      </c>
      <c r="AT1586" s="6" t="str">
        <f>HYPERLINK("http://www.worldcat.org/oclc/26502499","WorldCat Record")</f>
        <v>WorldCat Record</v>
      </c>
      <c r="AU1586" s="3" t="s">
        <v>20232</v>
      </c>
      <c r="AV1586" s="3" t="s">
        <v>20233</v>
      </c>
      <c r="AW1586" s="3" t="s">
        <v>20234</v>
      </c>
      <c r="AX1586" s="3" t="s">
        <v>20234</v>
      </c>
      <c r="AY1586" s="3" t="s">
        <v>20235</v>
      </c>
      <c r="AZ1586" s="3" t="s">
        <v>74</v>
      </c>
      <c r="BB1586" s="3" t="s">
        <v>20236</v>
      </c>
      <c r="BC1586" s="3" t="s">
        <v>20237</v>
      </c>
      <c r="BD1586" s="3" t="s">
        <v>20238</v>
      </c>
    </row>
    <row r="1587" spans="1:56" ht="42.75" customHeight="1" x14ac:dyDescent="0.25">
      <c r="A1587" s="7" t="s">
        <v>58</v>
      </c>
      <c r="B1587" s="2" t="s">
        <v>20239</v>
      </c>
      <c r="C1587" s="2" t="s">
        <v>20240</v>
      </c>
      <c r="D1587" s="2" t="s">
        <v>20241</v>
      </c>
      <c r="F1587" s="3" t="s">
        <v>58</v>
      </c>
      <c r="G1587" s="3" t="s">
        <v>59</v>
      </c>
      <c r="H1587" s="3" t="s">
        <v>58</v>
      </c>
      <c r="I1587" s="3" t="s">
        <v>58</v>
      </c>
      <c r="J1587" s="3" t="s">
        <v>60</v>
      </c>
      <c r="K1587" s="2" t="s">
        <v>20242</v>
      </c>
      <c r="L1587" s="2" t="s">
        <v>20243</v>
      </c>
      <c r="M1587" s="3" t="s">
        <v>344</v>
      </c>
      <c r="O1587" s="3" t="s">
        <v>64</v>
      </c>
      <c r="P1587" s="3" t="s">
        <v>115</v>
      </c>
      <c r="R1587" s="3" t="s">
        <v>67</v>
      </c>
      <c r="S1587" s="4">
        <v>3</v>
      </c>
      <c r="T1587" s="4">
        <v>3</v>
      </c>
      <c r="U1587" s="5" t="s">
        <v>20244</v>
      </c>
      <c r="V1587" s="5" t="s">
        <v>20244</v>
      </c>
      <c r="W1587" s="5" t="s">
        <v>69</v>
      </c>
      <c r="X1587" s="5" t="s">
        <v>69</v>
      </c>
      <c r="Y1587" s="4">
        <v>134</v>
      </c>
      <c r="Z1587" s="4">
        <v>100</v>
      </c>
      <c r="AA1587" s="4">
        <v>122</v>
      </c>
      <c r="AB1587" s="4">
        <v>2</v>
      </c>
      <c r="AC1587" s="4">
        <v>2</v>
      </c>
      <c r="AD1587" s="4">
        <v>4</v>
      </c>
      <c r="AE1587" s="4">
        <v>4</v>
      </c>
      <c r="AF1587" s="4">
        <v>0</v>
      </c>
      <c r="AG1587" s="4">
        <v>0</v>
      </c>
      <c r="AH1587" s="4">
        <v>0</v>
      </c>
      <c r="AI1587" s="4">
        <v>0</v>
      </c>
      <c r="AJ1587" s="4">
        <v>3</v>
      </c>
      <c r="AK1587" s="4">
        <v>3</v>
      </c>
      <c r="AL1587" s="4">
        <v>1</v>
      </c>
      <c r="AM1587" s="4">
        <v>1</v>
      </c>
      <c r="AN1587" s="4">
        <v>0</v>
      </c>
      <c r="AO1587" s="4">
        <v>0</v>
      </c>
      <c r="AP1587" s="3" t="s">
        <v>58</v>
      </c>
      <c r="AQ1587" s="3" t="s">
        <v>58</v>
      </c>
      <c r="AS1587" s="6" t="str">
        <f>HYPERLINK("https://creighton-primo.hosted.exlibrisgroup.com/primo-explore/search?tab=default_tab&amp;search_scope=EVERYTHING&amp;vid=01CRU&amp;lang=en_US&amp;offset=0&amp;query=any,contains,991005017109702656","Catalog Record")</f>
        <v>Catalog Record</v>
      </c>
      <c r="AT1587" s="6" t="str">
        <f>HYPERLINK("http://www.worldcat.org/oclc/6625696","WorldCat Record")</f>
        <v>WorldCat Record</v>
      </c>
      <c r="AU1587" s="3" t="s">
        <v>20245</v>
      </c>
      <c r="AV1587" s="3" t="s">
        <v>20246</v>
      </c>
      <c r="AW1587" s="3" t="s">
        <v>20247</v>
      </c>
      <c r="AX1587" s="3" t="s">
        <v>20247</v>
      </c>
      <c r="AY1587" s="3" t="s">
        <v>20248</v>
      </c>
      <c r="AZ1587" s="3" t="s">
        <v>74</v>
      </c>
      <c r="BB1587" s="3" t="s">
        <v>20249</v>
      </c>
      <c r="BC1587" s="3" t="s">
        <v>20250</v>
      </c>
      <c r="BD1587" s="3" t="s">
        <v>20251</v>
      </c>
    </row>
    <row r="1588" spans="1:56" ht="42.75" customHeight="1" x14ac:dyDescent="0.25">
      <c r="A1588" s="7" t="s">
        <v>58</v>
      </c>
      <c r="B1588" s="2" t="s">
        <v>20252</v>
      </c>
      <c r="C1588" s="2" t="s">
        <v>20253</v>
      </c>
      <c r="D1588" s="2" t="s">
        <v>20254</v>
      </c>
      <c r="F1588" s="3" t="s">
        <v>58</v>
      </c>
      <c r="G1588" s="3" t="s">
        <v>59</v>
      </c>
      <c r="H1588" s="3" t="s">
        <v>58</v>
      </c>
      <c r="I1588" s="3" t="s">
        <v>58</v>
      </c>
      <c r="J1588" s="3" t="s">
        <v>60</v>
      </c>
      <c r="K1588" s="2" t="s">
        <v>11754</v>
      </c>
      <c r="L1588" s="2" t="s">
        <v>12385</v>
      </c>
      <c r="M1588" s="3" t="s">
        <v>238</v>
      </c>
      <c r="O1588" s="3" t="s">
        <v>64</v>
      </c>
      <c r="P1588" s="3" t="s">
        <v>115</v>
      </c>
      <c r="R1588" s="3" t="s">
        <v>67</v>
      </c>
      <c r="S1588" s="4">
        <v>11</v>
      </c>
      <c r="T1588" s="4">
        <v>11</v>
      </c>
      <c r="U1588" s="5" t="s">
        <v>969</v>
      </c>
      <c r="V1588" s="5" t="s">
        <v>969</v>
      </c>
      <c r="W1588" s="5" t="s">
        <v>20255</v>
      </c>
      <c r="X1588" s="5" t="s">
        <v>20255</v>
      </c>
      <c r="Y1588" s="4">
        <v>2305</v>
      </c>
      <c r="Z1588" s="4">
        <v>2144</v>
      </c>
      <c r="AA1588" s="4">
        <v>2922</v>
      </c>
      <c r="AB1588" s="4">
        <v>18</v>
      </c>
      <c r="AC1588" s="4">
        <v>27</v>
      </c>
      <c r="AD1588" s="4">
        <v>46</v>
      </c>
      <c r="AE1588" s="4">
        <v>60</v>
      </c>
      <c r="AF1588" s="4">
        <v>17</v>
      </c>
      <c r="AG1588" s="4">
        <v>24</v>
      </c>
      <c r="AH1588" s="4">
        <v>7</v>
      </c>
      <c r="AI1588" s="4">
        <v>10</v>
      </c>
      <c r="AJ1588" s="4">
        <v>19</v>
      </c>
      <c r="AK1588" s="4">
        <v>23</v>
      </c>
      <c r="AL1588" s="4">
        <v>11</v>
      </c>
      <c r="AM1588" s="4">
        <v>14</v>
      </c>
      <c r="AN1588" s="4">
        <v>1</v>
      </c>
      <c r="AO1588" s="4">
        <v>1</v>
      </c>
      <c r="AP1588" s="3" t="s">
        <v>58</v>
      </c>
      <c r="AQ1588" s="3" t="s">
        <v>58</v>
      </c>
      <c r="AS1588" s="6" t="str">
        <f>HYPERLINK("https://creighton-primo.hosted.exlibrisgroup.com/primo-explore/search?tab=default_tab&amp;search_scope=EVERYTHING&amp;vid=01CRU&amp;lang=en_US&amp;offset=0&amp;query=any,contains,991004720559702656","Catalog Record")</f>
        <v>Catalog Record</v>
      </c>
      <c r="AT1588" s="6" t="str">
        <f>HYPERLINK("http://www.worldcat.org/oclc/4804279","WorldCat Record")</f>
        <v>WorldCat Record</v>
      </c>
      <c r="AU1588" s="3" t="s">
        <v>20256</v>
      </c>
      <c r="AV1588" s="3" t="s">
        <v>20257</v>
      </c>
      <c r="AW1588" s="3" t="s">
        <v>20258</v>
      </c>
      <c r="AX1588" s="3" t="s">
        <v>20258</v>
      </c>
      <c r="AY1588" s="3" t="s">
        <v>20259</v>
      </c>
      <c r="AZ1588" s="3" t="s">
        <v>74</v>
      </c>
      <c r="BB1588" s="3" t="s">
        <v>20260</v>
      </c>
      <c r="BC1588" s="3" t="s">
        <v>20261</v>
      </c>
      <c r="BD1588" s="3" t="s">
        <v>20262</v>
      </c>
    </row>
    <row r="1589" spans="1:56" ht="42.75" customHeight="1" x14ac:dyDescent="0.25">
      <c r="A1589" s="7" t="s">
        <v>58</v>
      </c>
      <c r="B1589" s="2" t="s">
        <v>20263</v>
      </c>
      <c r="C1589" s="2" t="s">
        <v>20264</v>
      </c>
      <c r="D1589" s="2" t="s">
        <v>20265</v>
      </c>
      <c r="F1589" s="3" t="s">
        <v>58</v>
      </c>
      <c r="G1589" s="3" t="s">
        <v>59</v>
      </c>
      <c r="H1589" s="3" t="s">
        <v>86</v>
      </c>
      <c r="I1589" s="3" t="s">
        <v>58</v>
      </c>
      <c r="J1589" s="3" t="s">
        <v>60</v>
      </c>
      <c r="K1589" s="2" t="s">
        <v>20266</v>
      </c>
      <c r="L1589" s="2" t="s">
        <v>20267</v>
      </c>
      <c r="M1589" s="3" t="s">
        <v>737</v>
      </c>
      <c r="O1589" s="3" t="s">
        <v>64</v>
      </c>
      <c r="P1589" s="3" t="s">
        <v>99</v>
      </c>
      <c r="R1589" s="3" t="s">
        <v>67</v>
      </c>
      <c r="S1589" s="4">
        <v>1</v>
      </c>
      <c r="T1589" s="4">
        <v>25</v>
      </c>
      <c r="U1589" s="5" t="s">
        <v>14473</v>
      </c>
      <c r="V1589" s="5" t="s">
        <v>14473</v>
      </c>
      <c r="W1589" s="5" t="s">
        <v>20268</v>
      </c>
      <c r="X1589" s="5" t="s">
        <v>20268</v>
      </c>
      <c r="Y1589" s="4">
        <v>224</v>
      </c>
      <c r="Z1589" s="4">
        <v>200</v>
      </c>
      <c r="AA1589" s="4">
        <v>214</v>
      </c>
      <c r="AB1589" s="4">
        <v>3</v>
      </c>
      <c r="AC1589" s="4">
        <v>3</v>
      </c>
      <c r="AD1589" s="4">
        <v>6</v>
      </c>
      <c r="AE1589" s="4">
        <v>7</v>
      </c>
      <c r="AF1589" s="4">
        <v>3</v>
      </c>
      <c r="AG1589" s="4">
        <v>4</v>
      </c>
      <c r="AH1589" s="4">
        <v>1</v>
      </c>
      <c r="AI1589" s="4">
        <v>2</v>
      </c>
      <c r="AJ1589" s="4">
        <v>3</v>
      </c>
      <c r="AK1589" s="4">
        <v>3</v>
      </c>
      <c r="AL1589" s="4">
        <v>1</v>
      </c>
      <c r="AM1589" s="4">
        <v>1</v>
      </c>
      <c r="AN1589" s="4">
        <v>0</v>
      </c>
      <c r="AO1589" s="4">
        <v>0</v>
      </c>
      <c r="AP1589" s="3" t="s">
        <v>58</v>
      </c>
      <c r="AQ1589" s="3" t="s">
        <v>86</v>
      </c>
      <c r="AR1589" s="6" t="str">
        <f>HYPERLINK("http://catalog.hathitrust.org/Record/002960553","HathiTrust Record")</f>
        <v>HathiTrust Record</v>
      </c>
      <c r="AS1589" s="6" t="str">
        <f>HYPERLINK("https://creighton-primo.hosted.exlibrisgroup.com/primo-explore/search?tab=default_tab&amp;search_scope=EVERYTHING&amp;vid=01CRU&amp;lang=en_US&amp;offset=0&amp;query=any,contains,991001803669702656","Catalog Record")</f>
        <v>Catalog Record</v>
      </c>
      <c r="AT1589" s="6" t="str">
        <f>HYPERLINK("http://www.worldcat.org/oclc/30914590","WorldCat Record")</f>
        <v>WorldCat Record</v>
      </c>
      <c r="AU1589" s="3" t="s">
        <v>20269</v>
      </c>
      <c r="AV1589" s="3" t="s">
        <v>20270</v>
      </c>
      <c r="AW1589" s="3" t="s">
        <v>20271</v>
      </c>
      <c r="AX1589" s="3" t="s">
        <v>20271</v>
      </c>
      <c r="AY1589" s="3" t="s">
        <v>20272</v>
      </c>
      <c r="AZ1589" s="3" t="s">
        <v>74</v>
      </c>
      <c r="BB1589" s="3" t="s">
        <v>20273</v>
      </c>
      <c r="BC1589" s="3" t="s">
        <v>20274</v>
      </c>
      <c r="BD1589" s="3" t="s">
        <v>20275</v>
      </c>
    </row>
    <row r="1590" spans="1:56" ht="42.75" customHeight="1" x14ac:dyDescent="0.25">
      <c r="A1590" s="7" t="s">
        <v>58</v>
      </c>
      <c r="B1590" s="2" t="s">
        <v>20276</v>
      </c>
      <c r="C1590" s="2" t="s">
        <v>20277</v>
      </c>
      <c r="D1590" s="2" t="s">
        <v>20278</v>
      </c>
      <c r="F1590" s="3" t="s">
        <v>58</v>
      </c>
      <c r="G1590" s="3" t="s">
        <v>59</v>
      </c>
      <c r="H1590" s="3" t="s">
        <v>86</v>
      </c>
      <c r="I1590" s="3" t="s">
        <v>86</v>
      </c>
      <c r="J1590" s="3" t="s">
        <v>60</v>
      </c>
      <c r="K1590" s="2" t="s">
        <v>20279</v>
      </c>
      <c r="L1590" s="2" t="s">
        <v>385</v>
      </c>
      <c r="M1590" s="3" t="s">
        <v>371</v>
      </c>
      <c r="N1590" s="2" t="s">
        <v>4996</v>
      </c>
      <c r="O1590" s="3" t="s">
        <v>64</v>
      </c>
      <c r="P1590" s="3" t="s">
        <v>316</v>
      </c>
      <c r="R1590" s="3" t="s">
        <v>67</v>
      </c>
      <c r="S1590" s="4">
        <v>4</v>
      </c>
      <c r="T1590" s="4">
        <v>4</v>
      </c>
      <c r="U1590" s="5" t="s">
        <v>12473</v>
      </c>
      <c r="V1590" s="5" t="s">
        <v>12473</v>
      </c>
      <c r="W1590" s="5" t="s">
        <v>69</v>
      </c>
      <c r="X1590" s="5" t="s">
        <v>69</v>
      </c>
      <c r="Y1590" s="4">
        <v>304</v>
      </c>
      <c r="Z1590" s="4">
        <v>236</v>
      </c>
      <c r="AA1590" s="4">
        <v>536</v>
      </c>
      <c r="AB1590" s="4">
        <v>3</v>
      </c>
      <c r="AC1590" s="4">
        <v>7</v>
      </c>
      <c r="AD1590" s="4">
        <v>6</v>
      </c>
      <c r="AE1590" s="4">
        <v>18</v>
      </c>
      <c r="AF1590" s="4">
        <v>4</v>
      </c>
      <c r="AG1590" s="4">
        <v>9</v>
      </c>
      <c r="AH1590" s="4">
        <v>1</v>
      </c>
      <c r="AI1590" s="4">
        <v>4</v>
      </c>
      <c r="AJ1590" s="4">
        <v>2</v>
      </c>
      <c r="AK1590" s="4">
        <v>5</v>
      </c>
      <c r="AL1590" s="4">
        <v>1</v>
      </c>
      <c r="AM1590" s="4">
        <v>4</v>
      </c>
      <c r="AN1590" s="4">
        <v>0</v>
      </c>
      <c r="AO1590" s="4">
        <v>0</v>
      </c>
      <c r="AP1590" s="3" t="s">
        <v>58</v>
      </c>
      <c r="AQ1590" s="3" t="s">
        <v>86</v>
      </c>
      <c r="AR1590" s="6" t="str">
        <f>HYPERLINK("http://catalog.hathitrust.org/Record/000830097","HathiTrust Record")</f>
        <v>HathiTrust Record</v>
      </c>
      <c r="AS1590" s="6" t="str">
        <f>HYPERLINK("https://creighton-primo.hosted.exlibrisgroup.com/primo-explore/search?tab=default_tab&amp;search_scope=EVERYTHING&amp;vid=01CRU&amp;lang=en_US&amp;offset=0&amp;query=any,contains,991000710939702656","Catalog Record")</f>
        <v>Catalog Record</v>
      </c>
      <c r="AT1590" s="6" t="str">
        <f>HYPERLINK("http://www.worldcat.org/oclc/12583105","WorldCat Record")</f>
        <v>WorldCat Record</v>
      </c>
      <c r="AU1590" s="3" t="s">
        <v>20280</v>
      </c>
      <c r="AV1590" s="3" t="s">
        <v>20281</v>
      </c>
      <c r="AW1590" s="3" t="s">
        <v>20282</v>
      </c>
      <c r="AX1590" s="3" t="s">
        <v>20282</v>
      </c>
      <c r="AY1590" s="3" t="s">
        <v>20283</v>
      </c>
      <c r="AZ1590" s="3" t="s">
        <v>74</v>
      </c>
      <c r="BB1590" s="3" t="s">
        <v>20284</v>
      </c>
      <c r="BC1590" s="3" t="s">
        <v>20285</v>
      </c>
      <c r="BD1590" s="3" t="s">
        <v>20286</v>
      </c>
    </row>
    <row r="1591" spans="1:56" ht="42.75" customHeight="1" x14ac:dyDescent="0.25">
      <c r="A1591" s="7" t="s">
        <v>58</v>
      </c>
      <c r="B1591" s="2" t="s">
        <v>20287</v>
      </c>
      <c r="C1591" s="2" t="s">
        <v>20288</v>
      </c>
      <c r="D1591" s="2" t="s">
        <v>20289</v>
      </c>
      <c r="F1591" s="3" t="s">
        <v>58</v>
      </c>
      <c r="G1591" s="3" t="s">
        <v>59</v>
      </c>
      <c r="H1591" s="3" t="s">
        <v>58</v>
      </c>
      <c r="I1591" s="3" t="s">
        <v>58</v>
      </c>
      <c r="J1591" s="3" t="s">
        <v>60</v>
      </c>
      <c r="K1591" s="2" t="s">
        <v>20290</v>
      </c>
      <c r="L1591" s="2" t="s">
        <v>20291</v>
      </c>
      <c r="M1591" s="3" t="s">
        <v>223</v>
      </c>
      <c r="N1591" s="2" t="s">
        <v>1736</v>
      </c>
      <c r="O1591" s="3" t="s">
        <v>64</v>
      </c>
      <c r="P1591" s="3" t="s">
        <v>20292</v>
      </c>
      <c r="R1591" s="3" t="s">
        <v>67</v>
      </c>
      <c r="S1591" s="4">
        <v>2</v>
      </c>
      <c r="T1591" s="4">
        <v>2</v>
      </c>
      <c r="U1591" s="5" t="s">
        <v>6084</v>
      </c>
      <c r="V1591" s="5" t="s">
        <v>6084</v>
      </c>
      <c r="W1591" s="5" t="s">
        <v>69</v>
      </c>
      <c r="X1591" s="5" t="s">
        <v>69</v>
      </c>
      <c r="Y1591" s="4">
        <v>161</v>
      </c>
      <c r="Z1591" s="4">
        <v>94</v>
      </c>
      <c r="AA1591" s="4">
        <v>125</v>
      </c>
      <c r="AB1591" s="4">
        <v>1</v>
      </c>
      <c r="AC1591" s="4">
        <v>2</v>
      </c>
      <c r="AD1591" s="4">
        <v>0</v>
      </c>
      <c r="AE1591" s="4">
        <v>1</v>
      </c>
      <c r="AF1591" s="4">
        <v>0</v>
      </c>
      <c r="AG1591" s="4">
        <v>0</v>
      </c>
      <c r="AH1591" s="4">
        <v>0</v>
      </c>
      <c r="AI1591" s="4">
        <v>1</v>
      </c>
      <c r="AJ1591" s="4">
        <v>0</v>
      </c>
      <c r="AK1591" s="4">
        <v>1</v>
      </c>
      <c r="AL1591" s="4">
        <v>0</v>
      </c>
      <c r="AM1591" s="4">
        <v>0</v>
      </c>
      <c r="AN1591" s="4">
        <v>0</v>
      </c>
      <c r="AO1591" s="4">
        <v>0</v>
      </c>
      <c r="AP1591" s="3" t="s">
        <v>58</v>
      </c>
      <c r="AQ1591" s="3" t="s">
        <v>86</v>
      </c>
      <c r="AR1591" s="6" t="str">
        <f>HYPERLINK("http://catalog.hathitrust.org/Record/000752835","HathiTrust Record")</f>
        <v>HathiTrust Record</v>
      </c>
      <c r="AS1591" s="6" t="str">
        <f>HYPERLINK("https://creighton-primo.hosted.exlibrisgroup.com/primo-explore/search?tab=default_tab&amp;search_scope=EVERYTHING&amp;vid=01CRU&amp;lang=en_US&amp;offset=0&amp;query=any,contains,991004437219702656","Catalog Record")</f>
        <v>Catalog Record</v>
      </c>
      <c r="AT1591" s="6" t="str">
        <f>HYPERLINK("http://www.worldcat.org/oclc/3447138","WorldCat Record")</f>
        <v>WorldCat Record</v>
      </c>
      <c r="AU1591" s="3" t="s">
        <v>20293</v>
      </c>
      <c r="AV1591" s="3" t="s">
        <v>20294</v>
      </c>
      <c r="AW1591" s="3" t="s">
        <v>20295</v>
      </c>
      <c r="AX1591" s="3" t="s">
        <v>20295</v>
      </c>
      <c r="AY1591" s="3" t="s">
        <v>20296</v>
      </c>
      <c r="AZ1591" s="3" t="s">
        <v>74</v>
      </c>
      <c r="BB1591" s="3" t="s">
        <v>20297</v>
      </c>
      <c r="BC1591" s="3" t="s">
        <v>20298</v>
      </c>
      <c r="BD1591" s="3" t="s">
        <v>20299</v>
      </c>
    </row>
    <row r="1592" spans="1:56" ht="42.75" customHeight="1" x14ac:dyDescent="0.25">
      <c r="A1592" s="7" t="s">
        <v>58</v>
      </c>
      <c r="B1592" s="2" t="s">
        <v>20300</v>
      </c>
      <c r="C1592" s="2" t="s">
        <v>20301</v>
      </c>
      <c r="D1592" s="2" t="s">
        <v>20302</v>
      </c>
      <c r="F1592" s="3" t="s">
        <v>58</v>
      </c>
      <c r="G1592" s="3" t="s">
        <v>59</v>
      </c>
      <c r="H1592" s="3" t="s">
        <v>58</v>
      </c>
      <c r="I1592" s="3" t="s">
        <v>58</v>
      </c>
      <c r="J1592" s="3" t="s">
        <v>60</v>
      </c>
      <c r="K1592" s="2" t="s">
        <v>20303</v>
      </c>
      <c r="L1592" s="2" t="s">
        <v>20304</v>
      </c>
      <c r="M1592" s="3" t="s">
        <v>480</v>
      </c>
      <c r="O1592" s="3" t="s">
        <v>64</v>
      </c>
      <c r="P1592" s="3" t="s">
        <v>83</v>
      </c>
      <c r="R1592" s="3" t="s">
        <v>67</v>
      </c>
      <c r="S1592" s="4">
        <v>10</v>
      </c>
      <c r="T1592" s="4">
        <v>10</v>
      </c>
      <c r="U1592" s="5" t="s">
        <v>6084</v>
      </c>
      <c r="V1592" s="5" t="s">
        <v>6084</v>
      </c>
      <c r="W1592" s="5" t="s">
        <v>1576</v>
      </c>
      <c r="X1592" s="5" t="s">
        <v>1576</v>
      </c>
      <c r="Y1592" s="4">
        <v>349</v>
      </c>
      <c r="Z1592" s="4">
        <v>270</v>
      </c>
      <c r="AA1592" s="4">
        <v>277</v>
      </c>
      <c r="AB1592" s="4">
        <v>6</v>
      </c>
      <c r="AC1592" s="4">
        <v>6</v>
      </c>
      <c r="AD1592" s="4">
        <v>5</v>
      </c>
      <c r="AE1592" s="4">
        <v>5</v>
      </c>
      <c r="AF1592" s="4">
        <v>1</v>
      </c>
      <c r="AG1592" s="4">
        <v>1</v>
      </c>
      <c r="AH1592" s="4">
        <v>0</v>
      </c>
      <c r="AI1592" s="4">
        <v>0</v>
      </c>
      <c r="AJ1592" s="4">
        <v>0</v>
      </c>
      <c r="AK1592" s="4">
        <v>0</v>
      </c>
      <c r="AL1592" s="4">
        <v>4</v>
      </c>
      <c r="AM1592" s="4">
        <v>4</v>
      </c>
      <c r="AN1592" s="4">
        <v>0</v>
      </c>
      <c r="AO1592" s="4">
        <v>0</v>
      </c>
      <c r="AP1592" s="3" t="s">
        <v>58</v>
      </c>
      <c r="AQ1592" s="3" t="s">
        <v>86</v>
      </c>
      <c r="AR1592" s="6" t="str">
        <f>HYPERLINK("http://catalog.hathitrust.org/Record/004440769","HathiTrust Record")</f>
        <v>HathiTrust Record</v>
      </c>
      <c r="AS1592" s="6" t="str">
        <f>HYPERLINK("https://creighton-primo.hosted.exlibrisgroup.com/primo-explore/search?tab=default_tab&amp;search_scope=EVERYTHING&amp;vid=01CRU&amp;lang=en_US&amp;offset=0&amp;query=any,contains,991001406399702656","Catalog Record")</f>
        <v>Catalog Record</v>
      </c>
      <c r="AT1592" s="6" t="str">
        <f>HYPERLINK("http://www.worldcat.org/oclc/18837342","WorldCat Record")</f>
        <v>WorldCat Record</v>
      </c>
      <c r="AU1592" s="3" t="s">
        <v>20305</v>
      </c>
      <c r="AV1592" s="3" t="s">
        <v>20306</v>
      </c>
      <c r="AW1592" s="3" t="s">
        <v>20307</v>
      </c>
      <c r="AX1592" s="3" t="s">
        <v>20307</v>
      </c>
      <c r="AY1592" s="3" t="s">
        <v>20308</v>
      </c>
      <c r="AZ1592" s="3" t="s">
        <v>74</v>
      </c>
      <c r="BB1592" s="3" t="s">
        <v>20309</v>
      </c>
      <c r="BC1592" s="3" t="s">
        <v>20310</v>
      </c>
      <c r="BD1592" s="3" t="s">
        <v>20311</v>
      </c>
    </row>
    <row r="1593" spans="1:56" ht="42.75" customHeight="1" x14ac:dyDescent="0.25">
      <c r="A1593" s="7" t="s">
        <v>58</v>
      </c>
      <c r="B1593" s="2" t="s">
        <v>20312</v>
      </c>
      <c r="C1593" s="2" t="s">
        <v>20313</v>
      </c>
      <c r="D1593" s="2" t="s">
        <v>20314</v>
      </c>
      <c r="F1593" s="3" t="s">
        <v>58</v>
      </c>
      <c r="G1593" s="3" t="s">
        <v>59</v>
      </c>
      <c r="H1593" s="3" t="s">
        <v>86</v>
      </c>
      <c r="I1593" s="3" t="s">
        <v>58</v>
      </c>
      <c r="J1593" s="3" t="s">
        <v>60</v>
      </c>
      <c r="K1593" s="2" t="s">
        <v>20315</v>
      </c>
      <c r="L1593" s="2" t="s">
        <v>20316</v>
      </c>
      <c r="M1593" s="3" t="s">
        <v>98</v>
      </c>
      <c r="N1593" s="2" t="s">
        <v>1736</v>
      </c>
      <c r="O1593" s="3" t="s">
        <v>64</v>
      </c>
      <c r="P1593" s="3" t="s">
        <v>115</v>
      </c>
      <c r="R1593" s="3" t="s">
        <v>67</v>
      </c>
      <c r="S1593" s="4">
        <v>18</v>
      </c>
      <c r="T1593" s="4">
        <v>44</v>
      </c>
      <c r="U1593" s="5" t="s">
        <v>6084</v>
      </c>
      <c r="V1593" s="5" t="s">
        <v>6084</v>
      </c>
      <c r="W1593" s="5" t="s">
        <v>549</v>
      </c>
      <c r="X1593" s="5" t="s">
        <v>549</v>
      </c>
      <c r="Y1593" s="4">
        <v>392</v>
      </c>
      <c r="Z1593" s="4">
        <v>373</v>
      </c>
      <c r="AA1593" s="4">
        <v>375</v>
      </c>
      <c r="AB1593" s="4">
        <v>4</v>
      </c>
      <c r="AC1593" s="4">
        <v>4</v>
      </c>
      <c r="AD1593" s="4">
        <v>2</v>
      </c>
      <c r="AE1593" s="4">
        <v>2</v>
      </c>
      <c r="AF1593" s="4">
        <v>0</v>
      </c>
      <c r="AG1593" s="4">
        <v>0</v>
      </c>
      <c r="AH1593" s="4">
        <v>0</v>
      </c>
      <c r="AI1593" s="4">
        <v>0</v>
      </c>
      <c r="AJ1593" s="4">
        <v>1</v>
      </c>
      <c r="AK1593" s="4">
        <v>1</v>
      </c>
      <c r="AL1593" s="4">
        <v>1</v>
      </c>
      <c r="AM1593" s="4">
        <v>1</v>
      </c>
      <c r="AN1593" s="4">
        <v>0</v>
      </c>
      <c r="AO1593" s="4">
        <v>0</v>
      </c>
      <c r="AP1593" s="3" t="s">
        <v>58</v>
      </c>
      <c r="AQ1593" s="3" t="s">
        <v>86</v>
      </c>
      <c r="AR1593" s="6" t="str">
        <f>HYPERLINK("http://catalog.hathitrust.org/Record/004486690","HathiTrust Record")</f>
        <v>HathiTrust Record</v>
      </c>
      <c r="AS1593" s="6" t="str">
        <f>HYPERLINK("https://creighton-primo.hosted.exlibrisgroup.com/primo-explore/search?tab=default_tab&amp;search_scope=EVERYTHING&amp;vid=01CRU&amp;lang=en_US&amp;offset=0&amp;query=any,contains,991001789569702656","Catalog Record")</f>
        <v>Catalog Record</v>
      </c>
      <c r="AT1593" s="6" t="str">
        <f>HYPERLINK("http://www.worldcat.org/oclc/16404879","WorldCat Record")</f>
        <v>WorldCat Record</v>
      </c>
      <c r="AU1593" s="3" t="s">
        <v>20317</v>
      </c>
      <c r="AV1593" s="3" t="s">
        <v>20318</v>
      </c>
      <c r="AW1593" s="3" t="s">
        <v>20319</v>
      </c>
      <c r="AX1593" s="3" t="s">
        <v>20319</v>
      </c>
      <c r="AY1593" s="3" t="s">
        <v>20320</v>
      </c>
      <c r="AZ1593" s="3" t="s">
        <v>74</v>
      </c>
      <c r="BB1593" s="3" t="s">
        <v>20321</v>
      </c>
      <c r="BC1593" s="3" t="s">
        <v>20322</v>
      </c>
      <c r="BD1593" s="3" t="s">
        <v>20323</v>
      </c>
    </row>
    <row r="1594" spans="1:56" ht="42.75" customHeight="1" x14ac:dyDescent="0.25">
      <c r="A1594" s="7" t="s">
        <v>58</v>
      </c>
      <c r="B1594" s="2" t="s">
        <v>20324</v>
      </c>
      <c r="C1594" s="2" t="s">
        <v>20325</v>
      </c>
      <c r="D1594" s="2" t="s">
        <v>20326</v>
      </c>
      <c r="F1594" s="3" t="s">
        <v>58</v>
      </c>
      <c r="G1594" s="3" t="s">
        <v>59</v>
      </c>
      <c r="H1594" s="3" t="s">
        <v>86</v>
      </c>
      <c r="I1594" s="3" t="s">
        <v>58</v>
      </c>
      <c r="J1594" s="3" t="s">
        <v>60</v>
      </c>
      <c r="K1594" s="2" t="s">
        <v>20327</v>
      </c>
      <c r="L1594" s="2" t="s">
        <v>20328</v>
      </c>
      <c r="M1594" s="3" t="s">
        <v>207</v>
      </c>
      <c r="N1594" s="2" t="s">
        <v>1844</v>
      </c>
      <c r="O1594" s="3" t="s">
        <v>64</v>
      </c>
      <c r="P1594" s="3" t="s">
        <v>65</v>
      </c>
      <c r="Q1594" s="2" t="s">
        <v>1776</v>
      </c>
      <c r="R1594" s="3" t="s">
        <v>67</v>
      </c>
      <c r="S1594" s="4">
        <v>2</v>
      </c>
      <c r="T1594" s="4">
        <v>2</v>
      </c>
      <c r="U1594" s="5" t="s">
        <v>19491</v>
      </c>
      <c r="V1594" s="5" t="s">
        <v>19491</v>
      </c>
      <c r="W1594" s="5" t="s">
        <v>69</v>
      </c>
      <c r="X1594" s="5" t="s">
        <v>69</v>
      </c>
      <c r="Y1594" s="4">
        <v>143</v>
      </c>
      <c r="Z1594" s="4">
        <v>86</v>
      </c>
      <c r="AA1594" s="4">
        <v>165</v>
      </c>
      <c r="AB1594" s="4">
        <v>3</v>
      </c>
      <c r="AC1594" s="4">
        <v>4</v>
      </c>
      <c r="AD1594" s="4">
        <v>3</v>
      </c>
      <c r="AE1594" s="4">
        <v>9</v>
      </c>
      <c r="AF1594" s="4">
        <v>1</v>
      </c>
      <c r="AG1594" s="4">
        <v>3</v>
      </c>
      <c r="AH1594" s="4">
        <v>0</v>
      </c>
      <c r="AI1594" s="4">
        <v>2</v>
      </c>
      <c r="AJ1594" s="4">
        <v>2</v>
      </c>
      <c r="AK1594" s="4">
        <v>4</v>
      </c>
      <c r="AL1594" s="4">
        <v>1</v>
      </c>
      <c r="AM1594" s="4">
        <v>2</v>
      </c>
      <c r="AN1594" s="4">
        <v>0</v>
      </c>
      <c r="AO1594" s="4">
        <v>0</v>
      </c>
      <c r="AP1594" s="3" t="s">
        <v>58</v>
      </c>
      <c r="AQ1594" s="3" t="s">
        <v>86</v>
      </c>
      <c r="AR1594" s="6" t="str">
        <f>HYPERLINK("http://catalog.hathitrust.org/Record/000126216","HathiTrust Record")</f>
        <v>HathiTrust Record</v>
      </c>
      <c r="AS1594" s="6" t="str">
        <f>HYPERLINK("https://creighton-primo.hosted.exlibrisgroup.com/primo-explore/search?tab=default_tab&amp;search_scope=EVERYTHING&amp;vid=01CRU&amp;lang=en_US&amp;offset=0&amp;query=any,contains,991005218129702656","Catalog Record")</f>
        <v>Catalog Record</v>
      </c>
      <c r="AT1594" s="6" t="str">
        <f>HYPERLINK("http://www.worldcat.org/oclc/8453232","WorldCat Record")</f>
        <v>WorldCat Record</v>
      </c>
      <c r="AU1594" s="3" t="s">
        <v>20329</v>
      </c>
      <c r="AV1594" s="3" t="s">
        <v>20330</v>
      </c>
      <c r="AW1594" s="3" t="s">
        <v>20331</v>
      </c>
      <c r="AX1594" s="3" t="s">
        <v>20331</v>
      </c>
      <c r="AY1594" s="3" t="s">
        <v>20332</v>
      </c>
      <c r="AZ1594" s="3" t="s">
        <v>74</v>
      </c>
      <c r="BB1594" s="3" t="s">
        <v>20333</v>
      </c>
      <c r="BC1594" s="3" t="s">
        <v>20334</v>
      </c>
      <c r="BD1594" s="3" t="s">
        <v>20335</v>
      </c>
    </row>
    <row r="1595" spans="1:56" ht="42.75" customHeight="1" x14ac:dyDescent="0.25">
      <c r="A1595" s="7" t="s">
        <v>58</v>
      </c>
      <c r="B1595" s="2" t="s">
        <v>20336</v>
      </c>
      <c r="C1595" s="2" t="s">
        <v>20337</v>
      </c>
      <c r="D1595" s="2" t="s">
        <v>20338</v>
      </c>
      <c r="F1595" s="3" t="s">
        <v>58</v>
      </c>
      <c r="G1595" s="3" t="s">
        <v>59</v>
      </c>
      <c r="H1595" s="3" t="s">
        <v>86</v>
      </c>
      <c r="I1595" s="3" t="s">
        <v>58</v>
      </c>
      <c r="J1595" s="3" t="s">
        <v>60</v>
      </c>
      <c r="L1595" s="2" t="s">
        <v>5877</v>
      </c>
      <c r="M1595" s="3" t="s">
        <v>207</v>
      </c>
      <c r="O1595" s="3" t="s">
        <v>64</v>
      </c>
      <c r="P1595" s="3" t="s">
        <v>115</v>
      </c>
      <c r="R1595" s="3" t="s">
        <v>67</v>
      </c>
      <c r="S1595" s="4">
        <v>8</v>
      </c>
      <c r="T1595" s="4">
        <v>8</v>
      </c>
      <c r="U1595" s="5" t="s">
        <v>6946</v>
      </c>
      <c r="V1595" s="5" t="s">
        <v>6946</v>
      </c>
      <c r="W1595" s="5" t="s">
        <v>20339</v>
      </c>
      <c r="X1595" s="5" t="s">
        <v>20339</v>
      </c>
      <c r="Y1595" s="4">
        <v>234</v>
      </c>
      <c r="Z1595" s="4">
        <v>193</v>
      </c>
      <c r="AA1595" s="4">
        <v>200</v>
      </c>
      <c r="AB1595" s="4">
        <v>3</v>
      </c>
      <c r="AC1595" s="4">
        <v>3</v>
      </c>
      <c r="AD1595" s="4">
        <v>2</v>
      </c>
      <c r="AE1595" s="4">
        <v>2</v>
      </c>
      <c r="AF1595" s="4">
        <v>0</v>
      </c>
      <c r="AG1595" s="4">
        <v>0</v>
      </c>
      <c r="AH1595" s="4">
        <v>1</v>
      </c>
      <c r="AI1595" s="4">
        <v>1</v>
      </c>
      <c r="AJ1595" s="4">
        <v>0</v>
      </c>
      <c r="AK1595" s="4">
        <v>0</v>
      </c>
      <c r="AL1595" s="4">
        <v>1</v>
      </c>
      <c r="AM1595" s="4">
        <v>1</v>
      </c>
      <c r="AN1595" s="4">
        <v>0</v>
      </c>
      <c r="AO1595" s="4">
        <v>0</v>
      </c>
      <c r="AP1595" s="3" t="s">
        <v>58</v>
      </c>
      <c r="AQ1595" s="3" t="s">
        <v>86</v>
      </c>
      <c r="AR1595" s="6" t="str">
        <f>HYPERLINK("http://catalog.hathitrust.org/Record/000184907","HathiTrust Record")</f>
        <v>HathiTrust Record</v>
      </c>
      <c r="AS1595" s="6" t="str">
        <f>HYPERLINK("https://creighton-primo.hosted.exlibrisgroup.com/primo-explore/search?tab=default_tab&amp;search_scope=EVERYTHING&amp;vid=01CRU&amp;lang=en_US&amp;offset=0&amp;query=any,contains,991005084569702656","Catalog Record")</f>
        <v>Catalog Record</v>
      </c>
      <c r="AT1595" s="6" t="str">
        <f>HYPERLINK("http://www.worldcat.org/oclc/7179451","WorldCat Record")</f>
        <v>WorldCat Record</v>
      </c>
      <c r="AU1595" s="3" t="s">
        <v>20340</v>
      </c>
      <c r="AV1595" s="3" t="s">
        <v>20341</v>
      </c>
      <c r="AW1595" s="3" t="s">
        <v>20342</v>
      </c>
      <c r="AX1595" s="3" t="s">
        <v>20342</v>
      </c>
      <c r="AY1595" s="3" t="s">
        <v>20343</v>
      </c>
      <c r="AZ1595" s="3" t="s">
        <v>74</v>
      </c>
      <c r="BB1595" s="3" t="s">
        <v>20344</v>
      </c>
      <c r="BC1595" s="3" t="s">
        <v>20345</v>
      </c>
      <c r="BD1595" s="3" t="s">
        <v>20346</v>
      </c>
    </row>
    <row r="1596" spans="1:56" ht="42.75" customHeight="1" x14ac:dyDescent="0.25">
      <c r="A1596" s="7" t="s">
        <v>58</v>
      </c>
      <c r="B1596" s="2" t="s">
        <v>20347</v>
      </c>
      <c r="C1596" s="2" t="s">
        <v>20348</v>
      </c>
      <c r="D1596" s="2" t="s">
        <v>20349</v>
      </c>
      <c r="F1596" s="3" t="s">
        <v>58</v>
      </c>
      <c r="G1596" s="3" t="s">
        <v>59</v>
      </c>
      <c r="H1596" s="3" t="s">
        <v>58</v>
      </c>
      <c r="I1596" s="3" t="s">
        <v>58</v>
      </c>
      <c r="J1596" s="3" t="s">
        <v>60</v>
      </c>
      <c r="L1596" s="2" t="s">
        <v>20350</v>
      </c>
      <c r="M1596" s="3" t="s">
        <v>144</v>
      </c>
      <c r="N1596" s="2" t="s">
        <v>1844</v>
      </c>
      <c r="O1596" s="3" t="s">
        <v>64</v>
      </c>
      <c r="P1596" s="3" t="s">
        <v>145</v>
      </c>
      <c r="R1596" s="3" t="s">
        <v>67</v>
      </c>
      <c r="S1596" s="4">
        <v>3</v>
      </c>
      <c r="T1596" s="4">
        <v>3</v>
      </c>
      <c r="U1596" s="5" t="s">
        <v>7600</v>
      </c>
      <c r="V1596" s="5" t="s">
        <v>7600</v>
      </c>
      <c r="W1596" s="5" t="s">
        <v>20351</v>
      </c>
      <c r="X1596" s="5" t="s">
        <v>20351</v>
      </c>
      <c r="Y1596" s="4">
        <v>363</v>
      </c>
      <c r="Z1596" s="4">
        <v>331</v>
      </c>
      <c r="AA1596" s="4">
        <v>472</v>
      </c>
      <c r="AB1596" s="4">
        <v>3</v>
      </c>
      <c r="AC1596" s="4">
        <v>3</v>
      </c>
      <c r="AD1596" s="4">
        <v>15</v>
      </c>
      <c r="AE1596" s="4">
        <v>17</v>
      </c>
      <c r="AF1596" s="4">
        <v>4</v>
      </c>
      <c r="AG1596" s="4">
        <v>4</v>
      </c>
      <c r="AH1596" s="4">
        <v>3</v>
      </c>
      <c r="AI1596" s="4">
        <v>5</v>
      </c>
      <c r="AJ1596" s="4">
        <v>9</v>
      </c>
      <c r="AK1596" s="4">
        <v>10</v>
      </c>
      <c r="AL1596" s="4">
        <v>2</v>
      </c>
      <c r="AM1596" s="4">
        <v>2</v>
      </c>
      <c r="AN1596" s="4">
        <v>0</v>
      </c>
      <c r="AO1596" s="4">
        <v>0</v>
      </c>
      <c r="AP1596" s="3" t="s">
        <v>58</v>
      </c>
      <c r="AQ1596" s="3" t="s">
        <v>86</v>
      </c>
      <c r="AR1596" s="6" t="str">
        <f>HYPERLINK("http://catalog.hathitrust.org/Record/003200866","HathiTrust Record")</f>
        <v>HathiTrust Record</v>
      </c>
      <c r="AS1596" s="6" t="str">
        <f>HYPERLINK("https://creighton-primo.hosted.exlibrisgroup.com/primo-explore/search?tab=default_tab&amp;search_scope=EVERYTHING&amp;vid=01CRU&amp;lang=en_US&amp;offset=0&amp;query=any,contains,991003888679702656","Catalog Record")</f>
        <v>Catalog Record</v>
      </c>
      <c r="AT1596" s="6" t="str">
        <f>HYPERLINK("http://www.worldcat.org/oclc/37553672","WorldCat Record")</f>
        <v>WorldCat Record</v>
      </c>
      <c r="AU1596" s="3" t="s">
        <v>20352</v>
      </c>
      <c r="AV1596" s="3" t="s">
        <v>20353</v>
      </c>
      <c r="AW1596" s="3" t="s">
        <v>20354</v>
      </c>
      <c r="AX1596" s="3" t="s">
        <v>20354</v>
      </c>
      <c r="AY1596" s="3" t="s">
        <v>20355</v>
      </c>
      <c r="AZ1596" s="3" t="s">
        <v>74</v>
      </c>
      <c r="BB1596" s="3" t="s">
        <v>20356</v>
      </c>
      <c r="BC1596" s="3" t="s">
        <v>20357</v>
      </c>
      <c r="BD1596" s="3" t="s">
        <v>20358</v>
      </c>
    </row>
    <row r="1597" spans="1:56" ht="42.75" customHeight="1" x14ac:dyDescent="0.25">
      <c r="A1597" s="7" t="s">
        <v>58</v>
      </c>
      <c r="B1597" s="2" t="s">
        <v>20359</v>
      </c>
      <c r="C1597" s="2" t="s">
        <v>20360</v>
      </c>
      <c r="D1597" s="2" t="s">
        <v>20361</v>
      </c>
      <c r="F1597" s="3" t="s">
        <v>58</v>
      </c>
      <c r="G1597" s="3" t="s">
        <v>59</v>
      </c>
      <c r="H1597" s="3" t="s">
        <v>58</v>
      </c>
      <c r="I1597" s="3" t="s">
        <v>58</v>
      </c>
      <c r="J1597" s="3" t="s">
        <v>60</v>
      </c>
      <c r="K1597" s="2" t="s">
        <v>20362</v>
      </c>
      <c r="L1597" s="2" t="s">
        <v>20363</v>
      </c>
      <c r="M1597" s="3" t="s">
        <v>2770</v>
      </c>
      <c r="O1597" s="3" t="s">
        <v>64</v>
      </c>
      <c r="P1597" s="3" t="s">
        <v>115</v>
      </c>
      <c r="R1597" s="3" t="s">
        <v>67</v>
      </c>
      <c r="S1597" s="4">
        <v>1</v>
      </c>
      <c r="T1597" s="4">
        <v>1</v>
      </c>
      <c r="U1597" s="5" t="s">
        <v>3761</v>
      </c>
      <c r="V1597" s="5" t="s">
        <v>3761</v>
      </c>
      <c r="W1597" s="5" t="s">
        <v>69</v>
      </c>
      <c r="X1597" s="5" t="s">
        <v>69</v>
      </c>
      <c r="Y1597" s="4">
        <v>126</v>
      </c>
      <c r="Z1597" s="4">
        <v>113</v>
      </c>
      <c r="AA1597" s="4">
        <v>115</v>
      </c>
      <c r="AB1597" s="4">
        <v>1</v>
      </c>
      <c r="AC1597" s="4">
        <v>1</v>
      </c>
      <c r="AD1597" s="4">
        <v>5</v>
      </c>
      <c r="AE1597" s="4">
        <v>5</v>
      </c>
      <c r="AF1597" s="4">
        <v>1</v>
      </c>
      <c r="AG1597" s="4">
        <v>1</v>
      </c>
      <c r="AH1597" s="4">
        <v>2</v>
      </c>
      <c r="AI1597" s="4">
        <v>2</v>
      </c>
      <c r="AJ1597" s="4">
        <v>3</v>
      </c>
      <c r="AK1597" s="4">
        <v>3</v>
      </c>
      <c r="AL1597" s="4">
        <v>0</v>
      </c>
      <c r="AM1597" s="4">
        <v>0</v>
      </c>
      <c r="AN1597" s="4">
        <v>1</v>
      </c>
      <c r="AO1597" s="4">
        <v>1</v>
      </c>
      <c r="AP1597" s="3" t="s">
        <v>58</v>
      </c>
      <c r="AQ1597" s="3" t="s">
        <v>86</v>
      </c>
      <c r="AR1597" s="6" t="str">
        <f>HYPERLINK("http://catalog.hathitrust.org/Record/000186743","HathiTrust Record")</f>
        <v>HathiTrust Record</v>
      </c>
      <c r="AS1597" s="6" t="str">
        <f>HYPERLINK("https://creighton-primo.hosted.exlibrisgroup.com/primo-explore/search?tab=default_tab&amp;search_scope=EVERYTHING&amp;vid=01CRU&amp;lang=en_US&amp;offset=0&amp;query=any,contains,991004448609702656","Catalog Record")</f>
        <v>Catalog Record</v>
      </c>
      <c r="AT1597" s="6" t="str">
        <f>HYPERLINK("http://www.worldcat.org/oclc/6648185","WorldCat Record")</f>
        <v>WorldCat Record</v>
      </c>
      <c r="AU1597" s="3" t="s">
        <v>20364</v>
      </c>
      <c r="AV1597" s="3" t="s">
        <v>20365</v>
      </c>
      <c r="AW1597" s="3" t="s">
        <v>20366</v>
      </c>
      <c r="AX1597" s="3" t="s">
        <v>20366</v>
      </c>
      <c r="AY1597" s="3" t="s">
        <v>20367</v>
      </c>
      <c r="AZ1597" s="3" t="s">
        <v>74</v>
      </c>
      <c r="BB1597" s="3" t="s">
        <v>20368</v>
      </c>
      <c r="BC1597" s="3" t="s">
        <v>20369</v>
      </c>
      <c r="BD1597" s="3" t="s">
        <v>20370</v>
      </c>
    </row>
    <row r="1598" spans="1:56" ht="42.75" customHeight="1" x14ac:dyDescent="0.25">
      <c r="A1598" s="7" t="s">
        <v>58</v>
      </c>
      <c r="B1598" s="2" t="s">
        <v>20371</v>
      </c>
      <c r="C1598" s="2" t="s">
        <v>20372</v>
      </c>
      <c r="D1598" s="2" t="s">
        <v>20373</v>
      </c>
      <c r="F1598" s="3" t="s">
        <v>58</v>
      </c>
      <c r="G1598" s="3" t="s">
        <v>59</v>
      </c>
      <c r="H1598" s="3" t="s">
        <v>86</v>
      </c>
      <c r="I1598" s="3" t="s">
        <v>58</v>
      </c>
      <c r="J1598" s="3" t="s">
        <v>60</v>
      </c>
      <c r="L1598" s="2" t="s">
        <v>20374</v>
      </c>
      <c r="M1598" s="3" t="s">
        <v>344</v>
      </c>
      <c r="O1598" s="3" t="s">
        <v>64</v>
      </c>
      <c r="P1598" s="3" t="s">
        <v>115</v>
      </c>
      <c r="Q1598" s="2" t="s">
        <v>20375</v>
      </c>
      <c r="R1598" s="3" t="s">
        <v>67</v>
      </c>
      <c r="S1598" s="4">
        <v>9</v>
      </c>
      <c r="T1598" s="4">
        <v>9</v>
      </c>
      <c r="U1598" s="5" t="s">
        <v>20376</v>
      </c>
      <c r="V1598" s="5" t="s">
        <v>20376</v>
      </c>
      <c r="W1598" s="5" t="s">
        <v>8997</v>
      </c>
      <c r="X1598" s="5" t="s">
        <v>8997</v>
      </c>
      <c r="Y1598" s="4">
        <v>397</v>
      </c>
      <c r="Z1598" s="4">
        <v>351</v>
      </c>
      <c r="AA1598" s="4">
        <v>353</v>
      </c>
      <c r="AB1598" s="4">
        <v>3</v>
      </c>
      <c r="AC1598" s="4">
        <v>3</v>
      </c>
      <c r="AD1598" s="4">
        <v>13</v>
      </c>
      <c r="AE1598" s="4">
        <v>13</v>
      </c>
      <c r="AF1598" s="4">
        <v>4</v>
      </c>
      <c r="AG1598" s="4">
        <v>4</v>
      </c>
      <c r="AH1598" s="4">
        <v>2</v>
      </c>
      <c r="AI1598" s="4">
        <v>2</v>
      </c>
      <c r="AJ1598" s="4">
        <v>8</v>
      </c>
      <c r="AK1598" s="4">
        <v>8</v>
      </c>
      <c r="AL1598" s="4">
        <v>1</v>
      </c>
      <c r="AM1598" s="4">
        <v>1</v>
      </c>
      <c r="AN1598" s="4">
        <v>0</v>
      </c>
      <c r="AO1598" s="4">
        <v>0</v>
      </c>
      <c r="AP1598" s="3" t="s">
        <v>58</v>
      </c>
      <c r="AQ1598" s="3" t="s">
        <v>86</v>
      </c>
      <c r="AR1598" s="6" t="str">
        <f>HYPERLINK("http://catalog.hathitrust.org/Record/000746982","HathiTrust Record")</f>
        <v>HathiTrust Record</v>
      </c>
      <c r="AS1598" s="6" t="str">
        <f>HYPERLINK("https://creighton-primo.hosted.exlibrisgroup.com/primo-explore/search?tab=default_tab&amp;search_scope=EVERYTHING&amp;vid=01CRU&amp;lang=en_US&amp;offset=0&amp;query=any,contains,991004812119702656","Catalog Record")</f>
        <v>Catalog Record</v>
      </c>
      <c r="AT1598" s="6" t="str">
        <f>HYPERLINK("http://www.worldcat.org/oclc/5286026","WorldCat Record")</f>
        <v>WorldCat Record</v>
      </c>
      <c r="AU1598" s="3" t="s">
        <v>20377</v>
      </c>
      <c r="AV1598" s="3" t="s">
        <v>20378</v>
      </c>
      <c r="AW1598" s="3" t="s">
        <v>20379</v>
      </c>
      <c r="AX1598" s="3" t="s">
        <v>20379</v>
      </c>
      <c r="AY1598" s="3" t="s">
        <v>20380</v>
      </c>
      <c r="AZ1598" s="3" t="s">
        <v>74</v>
      </c>
      <c r="BB1598" s="3" t="s">
        <v>20381</v>
      </c>
      <c r="BC1598" s="3" t="s">
        <v>20382</v>
      </c>
      <c r="BD1598" s="3" t="s">
        <v>20383</v>
      </c>
    </row>
    <row r="1599" spans="1:56" ht="42.75" customHeight="1" x14ac:dyDescent="0.25">
      <c r="A1599" s="7" t="s">
        <v>58</v>
      </c>
      <c r="B1599" s="2" t="s">
        <v>20384</v>
      </c>
      <c r="C1599" s="2" t="s">
        <v>20385</v>
      </c>
      <c r="D1599" s="2" t="s">
        <v>20386</v>
      </c>
      <c r="F1599" s="3" t="s">
        <v>58</v>
      </c>
      <c r="G1599" s="3" t="s">
        <v>59</v>
      </c>
      <c r="H1599" s="3" t="s">
        <v>86</v>
      </c>
      <c r="I1599" s="3" t="s">
        <v>58</v>
      </c>
      <c r="J1599" s="3" t="s">
        <v>60</v>
      </c>
      <c r="K1599" s="2" t="s">
        <v>20387</v>
      </c>
      <c r="L1599" s="2" t="s">
        <v>20388</v>
      </c>
      <c r="M1599" s="3" t="s">
        <v>98</v>
      </c>
      <c r="O1599" s="3" t="s">
        <v>64</v>
      </c>
      <c r="P1599" s="3" t="s">
        <v>208</v>
      </c>
      <c r="R1599" s="3" t="s">
        <v>67</v>
      </c>
      <c r="S1599" s="4">
        <v>3</v>
      </c>
      <c r="T1599" s="4">
        <v>3</v>
      </c>
      <c r="U1599" s="5" t="s">
        <v>20376</v>
      </c>
      <c r="V1599" s="5" t="s">
        <v>20376</v>
      </c>
      <c r="W1599" s="5" t="s">
        <v>69</v>
      </c>
      <c r="X1599" s="5" t="s">
        <v>69</v>
      </c>
      <c r="Y1599" s="4">
        <v>316</v>
      </c>
      <c r="Z1599" s="4">
        <v>257</v>
      </c>
      <c r="AA1599" s="4">
        <v>260</v>
      </c>
      <c r="AB1599" s="4">
        <v>3</v>
      </c>
      <c r="AC1599" s="4">
        <v>3</v>
      </c>
      <c r="AD1599" s="4">
        <v>14</v>
      </c>
      <c r="AE1599" s="4">
        <v>14</v>
      </c>
      <c r="AF1599" s="4">
        <v>7</v>
      </c>
      <c r="AG1599" s="4">
        <v>7</v>
      </c>
      <c r="AH1599" s="4">
        <v>3</v>
      </c>
      <c r="AI1599" s="4">
        <v>3</v>
      </c>
      <c r="AJ1599" s="4">
        <v>7</v>
      </c>
      <c r="AK1599" s="4">
        <v>7</v>
      </c>
      <c r="AL1599" s="4">
        <v>1</v>
      </c>
      <c r="AM1599" s="4">
        <v>1</v>
      </c>
      <c r="AN1599" s="4">
        <v>0</v>
      </c>
      <c r="AO1599" s="4">
        <v>0</v>
      </c>
      <c r="AP1599" s="3" t="s">
        <v>58</v>
      </c>
      <c r="AQ1599" s="3" t="s">
        <v>86</v>
      </c>
      <c r="AR1599" s="6" t="str">
        <f>HYPERLINK("http://catalog.hathitrust.org/Record/000914619","HathiTrust Record")</f>
        <v>HathiTrust Record</v>
      </c>
      <c r="AS1599" s="6" t="str">
        <f>HYPERLINK("https://creighton-primo.hosted.exlibrisgroup.com/primo-explore/search?tab=default_tab&amp;search_scope=EVERYTHING&amp;vid=01CRU&amp;lang=en_US&amp;offset=0&amp;query=any,contains,991001179829702656","Catalog Record")</f>
        <v>Catalog Record</v>
      </c>
      <c r="AT1599" s="6" t="str">
        <f>HYPERLINK("http://www.worldcat.org/oclc/17107012","WorldCat Record")</f>
        <v>WorldCat Record</v>
      </c>
      <c r="AU1599" s="3" t="s">
        <v>20389</v>
      </c>
      <c r="AV1599" s="3" t="s">
        <v>20390</v>
      </c>
      <c r="AW1599" s="3" t="s">
        <v>20391</v>
      </c>
      <c r="AX1599" s="3" t="s">
        <v>20391</v>
      </c>
      <c r="AY1599" s="3" t="s">
        <v>20392</v>
      </c>
      <c r="AZ1599" s="3" t="s">
        <v>74</v>
      </c>
      <c r="BB1599" s="3" t="s">
        <v>20393</v>
      </c>
      <c r="BC1599" s="3" t="s">
        <v>20394</v>
      </c>
      <c r="BD1599" s="3" t="s">
        <v>20395</v>
      </c>
    </row>
    <row r="1600" spans="1:56" ht="42.75" customHeight="1" x14ac:dyDescent="0.25">
      <c r="A1600" s="7" t="s">
        <v>58</v>
      </c>
      <c r="B1600" s="2" t="s">
        <v>20396</v>
      </c>
      <c r="C1600" s="2" t="s">
        <v>20397</v>
      </c>
      <c r="D1600" s="2" t="s">
        <v>20398</v>
      </c>
      <c r="F1600" s="3" t="s">
        <v>58</v>
      </c>
      <c r="G1600" s="3" t="s">
        <v>59</v>
      </c>
      <c r="H1600" s="3" t="s">
        <v>58</v>
      </c>
      <c r="I1600" s="3" t="s">
        <v>58</v>
      </c>
      <c r="J1600" s="3" t="s">
        <v>60</v>
      </c>
      <c r="K1600" s="2" t="s">
        <v>20399</v>
      </c>
      <c r="L1600" s="2" t="s">
        <v>20400</v>
      </c>
      <c r="M1600" s="3" t="s">
        <v>344</v>
      </c>
      <c r="O1600" s="3" t="s">
        <v>64</v>
      </c>
      <c r="P1600" s="3" t="s">
        <v>359</v>
      </c>
      <c r="R1600" s="3" t="s">
        <v>67</v>
      </c>
      <c r="S1600" s="4">
        <v>2</v>
      </c>
      <c r="T1600" s="4">
        <v>2</v>
      </c>
      <c r="U1600" s="5" t="s">
        <v>19491</v>
      </c>
      <c r="V1600" s="5" t="s">
        <v>19491</v>
      </c>
      <c r="W1600" s="5" t="s">
        <v>69</v>
      </c>
      <c r="X1600" s="5" t="s">
        <v>69</v>
      </c>
      <c r="Y1600" s="4">
        <v>60</v>
      </c>
      <c r="Z1600" s="4">
        <v>56</v>
      </c>
      <c r="AA1600" s="4">
        <v>84</v>
      </c>
      <c r="AB1600" s="4">
        <v>2</v>
      </c>
      <c r="AC1600" s="4">
        <v>2</v>
      </c>
      <c r="AD1600" s="4">
        <v>2</v>
      </c>
      <c r="AE1600" s="4">
        <v>2</v>
      </c>
      <c r="AF1600" s="4">
        <v>1</v>
      </c>
      <c r="AG1600" s="4">
        <v>1</v>
      </c>
      <c r="AH1600" s="4">
        <v>0</v>
      </c>
      <c r="AI1600" s="4">
        <v>0</v>
      </c>
      <c r="AJ1600" s="4">
        <v>1</v>
      </c>
      <c r="AK1600" s="4">
        <v>1</v>
      </c>
      <c r="AL1600" s="4">
        <v>1</v>
      </c>
      <c r="AM1600" s="4">
        <v>1</v>
      </c>
      <c r="AN1600" s="4">
        <v>0</v>
      </c>
      <c r="AO1600" s="4">
        <v>0</v>
      </c>
      <c r="AP1600" s="3" t="s">
        <v>58</v>
      </c>
      <c r="AQ1600" s="3" t="s">
        <v>86</v>
      </c>
      <c r="AR1600" s="6" t="str">
        <f>HYPERLINK("http://catalog.hathitrust.org/Record/000180489","HathiTrust Record")</f>
        <v>HathiTrust Record</v>
      </c>
      <c r="AS1600" s="6" t="str">
        <f>HYPERLINK("https://creighton-primo.hosted.exlibrisgroup.com/primo-explore/search?tab=default_tab&amp;search_scope=EVERYTHING&amp;vid=01CRU&amp;lang=en_US&amp;offset=0&amp;query=any,contains,991004958039702656","Catalog Record")</f>
        <v>Catalog Record</v>
      </c>
      <c r="AT1600" s="6" t="str">
        <f>HYPERLINK("http://www.worldcat.org/oclc/6290723","WorldCat Record")</f>
        <v>WorldCat Record</v>
      </c>
      <c r="AU1600" s="3" t="s">
        <v>20401</v>
      </c>
      <c r="AV1600" s="3" t="s">
        <v>20402</v>
      </c>
      <c r="AW1600" s="3" t="s">
        <v>20403</v>
      </c>
      <c r="AX1600" s="3" t="s">
        <v>20403</v>
      </c>
      <c r="AY1600" s="3" t="s">
        <v>20404</v>
      </c>
      <c r="AZ1600" s="3" t="s">
        <v>74</v>
      </c>
      <c r="BB1600" s="3" t="s">
        <v>20405</v>
      </c>
      <c r="BC1600" s="3" t="s">
        <v>20406</v>
      </c>
      <c r="BD1600" s="3" t="s">
        <v>20407</v>
      </c>
    </row>
    <row r="1601" spans="1:56" ht="42.75" customHeight="1" x14ac:dyDescent="0.25">
      <c r="A1601" s="7" t="s">
        <v>58</v>
      </c>
      <c r="B1601" s="2" t="s">
        <v>20408</v>
      </c>
      <c r="C1601" s="2" t="s">
        <v>20409</v>
      </c>
      <c r="D1601" s="2" t="s">
        <v>20410</v>
      </c>
      <c r="F1601" s="3" t="s">
        <v>58</v>
      </c>
      <c r="G1601" s="3" t="s">
        <v>59</v>
      </c>
      <c r="H1601" s="3" t="s">
        <v>58</v>
      </c>
      <c r="I1601" s="3" t="s">
        <v>58</v>
      </c>
      <c r="J1601" s="3" t="s">
        <v>60</v>
      </c>
      <c r="L1601" s="2" t="s">
        <v>20411</v>
      </c>
      <c r="M1601" s="3" t="s">
        <v>2770</v>
      </c>
      <c r="O1601" s="3" t="s">
        <v>64</v>
      </c>
      <c r="P1601" s="3" t="s">
        <v>65</v>
      </c>
      <c r="R1601" s="3" t="s">
        <v>67</v>
      </c>
      <c r="S1601" s="4">
        <v>6</v>
      </c>
      <c r="T1601" s="4">
        <v>6</v>
      </c>
      <c r="U1601" s="5" t="s">
        <v>20376</v>
      </c>
      <c r="V1601" s="5" t="s">
        <v>20376</v>
      </c>
      <c r="W1601" s="5" t="s">
        <v>20339</v>
      </c>
      <c r="X1601" s="5" t="s">
        <v>20339</v>
      </c>
      <c r="Y1601" s="4">
        <v>131</v>
      </c>
      <c r="Z1601" s="4">
        <v>122</v>
      </c>
      <c r="AA1601" s="4">
        <v>201</v>
      </c>
      <c r="AB1601" s="4">
        <v>3</v>
      </c>
      <c r="AC1601" s="4">
        <v>4</v>
      </c>
      <c r="AD1601" s="4">
        <v>3</v>
      </c>
      <c r="AE1601" s="4">
        <v>5</v>
      </c>
      <c r="AF1601" s="4">
        <v>1</v>
      </c>
      <c r="AG1601" s="4">
        <v>2</v>
      </c>
      <c r="AH1601" s="4">
        <v>0</v>
      </c>
      <c r="AI1601" s="4">
        <v>0</v>
      </c>
      <c r="AJ1601" s="4">
        <v>1</v>
      </c>
      <c r="AK1601" s="4">
        <v>1</v>
      </c>
      <c r="AL1601" s="4">
        <v>1</v>
      </c>
      <c r="AM1601" s="4">
        <v>2</v>
      </c>
      <c r="AN1601" s="4">
        <v>0</v>
      </c>
      <c r="AO1601" s="4">
        <v>0</v>
      </c>
      <c r="AP1601" s="3" t="s">
        <v>58</v>
      </c>
      <c r="AQ1601" s="3" t="s">
        <v>86</v>
      </c>
      <c r="AR1601" s="6" t="str">
        <f>HYPERLINK("http://catalog.hathitrust.org/Record/000296354","HathiTrust Record")</f>
        <v>HathiTrust Record</v>
      </c>
      <c r="AS1601" s="6" t="str">
        <f>HYPERLINK("https://creighton-primo.hosted.exlibrisgroup.com/primo-explore/search?tab=default_tab&amp;search_scope=EVERYTHING&amp;vid=01CRU&amp;lang=en_US&amp;offset=0&amp;query=any,contains,991005264819702656","Catalog Record")</f>
        <v>Catalog Record</v>
      </c>
      <c r="AT1601" s="6" t="str">
        <f>HYPERLINK("http://www.worldcat.org/oclc/3248320","WorldCat Record")</f>
        <v>WorldCat Record</v>
      </c>
      <c r="AU1601" s="3" t="s">
        <v>20412</v>
      </c>
      <c r="AV1601" s="3" t="s">
        <v>20413</v>
      </c>
      <c r="AW1601" s="3" t="s">
        <v>20414</v>
      </c>
      <c r="AX1601" s="3" t="s">
        <v>20414</v>
      </c>
      <c r="AY1601" s="3" t="s">
        <v>20415</v>
      </c>
      <c r="AZ1601" s="3" t="s">
        <v>74</v>
      </c>
      <c r="BB1601" s="3" t="s">
        <v>20416</v>
      </c>
      <c r="BC1601" s="3" t="s">
        <v>20417</v>
      </c>
      <c r="BD1601" s="3" t="s">
        <v>20418</v>
      </c>
    </row>
    <row r="1602" spans="1:56" ht="42.75" customHeight="1" x14ac:dyDescent="0.25">
      <c r="A1602" s="7" t="s">
        <v>58</v>
      </c>
      <c r="B1602" s="2" t="s">
        <v>20419</v>
      </c>
      <c r="C1602" s="2" t="s">
        <v>20420</v>
      </c>
      <c r="D1602" s="2" t="s">
        <v>20421</v>
      </c>
      <c r="F1602" s="3" t="s">
        <v>58</v>
      </c>
      <c r="G1602" s="3" t="s">
        <v>59</v>
      </c>
      <c r="H1602" s="3" t="s">
        <v>58</v>
      </c>
      <c r="I1602" s="3" t="s">
        <v>58</v>
      </c>
      <c r="J1602" s="3" t="s">
        <v>60</v>
      </c>
      <c r="L1602" s="2" t="s">
        <v>20422</v>
      </c>
      <c r="M1602" s="3" t="s">
        <v>223</v>
      </c>
      <c r="O1602" s="3" t="s">
        <v>64</v>
      </c>
      <c r="P1602" s="3" t="s">
        <v>359</v>
      </c>
      <c r="R1602" s="3" t="s">
        <v>67</v>
      </c>
      <c r="S1602" s="4">
        <v>5</v>
      </c>
      <c r="T1602" s="4">
        <v>5</v>
      </c>
      <c r="U1602" s="5" t="s">
        <v>3784</v>
      </c>
      <c r="V1602" s="5" t="s">
        <v>3784</v>
      </c>
      <c r="W1602" s="5" t="s">
        <v>20339</v>
      </c>
      <c r="X1602" s="5" t="s">
        <v>20339</v>
      </c>
      <c r="Y1602" s="4">
        <v>341</v>
      </c>
      <c r="Z1602" s="4">
        <v>279</v>
      </c>
      <c r="AA1602" s="4">
        <v>281</v>
      </c>
      <c r="AB1602" s="4">
        <v>2</v>
      </c>
      <c r="AC1602" s="4">
        <v>2</v>
      </c>
      <c r="AD1602" s="4">
        <v>8</v>
      </c>
      <c r="AE1602" s="4">
        <v>8</v>
      </c>
      <c r="AF1602" s="4">
        <v>2</v>
      </c>
      <c r="AG1602" s="4">
        <v>2</v>
      </c>
      <c r="AH1602" s="4">
        <v>4</v>
      </c>
      <c r="AI1602" s="4">
        <v>4</v>
      </c>
      <c r="AJ1602" s="4">
        <v>4</v>
      </c>
      <c r="AK1602" s="4">
        <v>4</v>
      </c>
      <c r="AL1602" s="4">
        <v>1</v>
      </c>
      <c r="AM1602" s="4">
        <v>1</v>
      </c>
      <c r="AN1602" s="4">
        <v>0</v>
      </c>
      <c r="AO1602" s="4">
        <v>0</v>
      </c>
      <c r="AP1602" s="3" t="s">
        <v>58</v>
      </c>
      <c r="AQ1602" s="3" t="s">
        <v>86</v>
      </c>
      <c r="AR1602" s="6" t="str">
        <f>HYPERLINK("http://catalog.hathitrust.org/Record/000132011","HathiTrust Record")</f>
        <v>HathiTrust Record</v>
      </c>
      <c r="AS1602" s="6" t="str">
        <f>HYPERLINK("https://creighton-primo.hosted.exlibrisgroup.com/primo-explore/search?tab=default_tab&amp;search_scope=EVERYTHING&amp;vid=01CRU&amp;lang=en_US&amp;offset=0&amp;query=any,contains,991004502699702656","Catalog Record")</f>
        <v>Catalog Record</v>
      </c>
      <c r="AT1602" s="6" t="str">
        <f>HYPERLINK("http://www.worldcat.org/oclc/3728845","WorldCat Record")</f>
        <v>WorldCat Record</v>
      </c>
      <c r="AU1602" s="3" t="s">
        <v>20423</v>
      </c>
      <c r="AV1602" s="3" t="s">
        <v>20424</v>
      </c>
      <c r="AW1602" s="3" t="s">
        <v>20425</v>
      </c>
      <c r="AX1602" s="3" t="s">
        <v>20425</v>
      </c>
      <c r="AY1602" s="3" t="s">
        <v>20426</v>
      </c>
      <c r="AZ1602" s="3" t="s">
        <v>74</v>
      </c>
      <c r="BB1602" s="3" t="s">
        <v>20427</v>
      </c>
      <c r="BC1602" s="3" t="s">
        <v>20428</v>
      </c>
      <c r="BD1602" s="3" t="s">
        <v>20429</v>
      </c>
    </row>
    <row r="1603" spans="1:56" ht="42.75" customHeight="1" x14ac:dyDescent="0.25">
      <c r="A1603" s="7" t="s">
        <v>58</v>
      </c>
      <c r="B1603" s="2" t="s">
        <v>20430</v>
      </c>
      <c r="C1603" s="2" t="s">
        <v>20431</v>
      </c>
      <c r="D1603" s="2" t="s">
        <v>20432</v>
      </c>
      <c r="F1603" s="3" t="s">
        <v>58</v>
      </c>
      <c r="G1603" s="3" t="s">
        <v>59</v>
      </c>
      <c r="H1603" s="3" t="s">
        <v>58</v>
      </c>
      <c r="I1603" s="3" t="s">
        <v>58</v>
      </c>
      <c r="J1603" s="3" t="s">
        <v>60</v>
      </c>
      <c r="L1603" s="2" t="s">
        <v>20433</v>
      </c>
      <c r="M1603" s="3" t="s">
        <v>207</v>
      </c>
      <c r="O1603" s="3" t="s">
        <v>64</v>
      </c>
      <c r="P1603" s="3" t="s">
        <v>208</v>
      </c>
      <c r="R1603" s="3" t="s">
        <v>67</v>
      </c>
      <c r="S1603" s="4">
        <v>1</v>
      </c>
      <c r="T1603" s="4">
        <v>1</v>
      </c>
      <c r="U1603" s="5" t="s">
        <v>6798</v>
      </c>
      <c r="V1603" s="5" t="s">
        <v>6798</v>
      </c>
      <c r="W1603" s="5" t="s">
        <v>1576</v>
      </c>
      <c r="X1603" s="5" t="s">
        <v>1576</v>
      </c>
      <c r="Y1603" s="4">
        <v>100</v>
      </c>
      <c r="Z1603" s="4">
        <v>84</v>
      </c>
      <c r="AA1603" s="4">
        <v>87</v>
      </c>
      <c r="AB1603" s="4">
        <v>1</v>
      </c>
      <c r="AC1603" s="4">
        <v>1</v>
      </c>
      <c r="AD1603" s="4">
        <v>0</v>
      </c>
      <c r="AE1603" s="4">
        <v>0</v>
      </c>
      <c r="AF1603" s="4">
        <v>0</v>
      </c>
      <c r="AG1603" s="4">
        <v>0</v>
      </c>
      <c r="AH1603" s="4">
        <v>0</v>
      </c>
      <c r="AI1603" s="4">
        <v>0</v>
      </c>
      <c r="AJ1603" s="4">
        <v>0</v>
      </c>
      <c r="AK1603" s="4">
        <v>0</v>
      </c>
      <c r="AL1603" s="4">
        <v>0</v>
      </c>
      <c r="AM1603" s="4">
        <v>0</v>
      </c>
      <c r="AN1603" s="4">
        <v>0</v>
      </c>
      <c r="AO1603" s="4">
        <v>0</v>
      </c>
      <c r="AP1603" s="3" t="s">
        <v>58</v>
      </c>
      <c r="AQ1603" s="3" t="s">
        <v>86</v>
      </c>
      <c r="AR1603" s="6" t="str">
        <f>HYPERLINK("http://catalog.hathitrust.org/Record/000761051","HathiTrust Record")</f>
        <v>HathiTrust Record</v>
      </c>
      <c r="AS1603" s="6" t="str">
        <f>HYPERLINK("https://creighton-primo.hosted.exlibrisgroup.com/primo-explore/search?tab=default_tab&amp;search_scope=EVERYTHING&amp;vid=01CRU&amp;lang=en_US&amp;offset=0&amp;query=any,contains,991005082599702656","Catalog Record")</f>
        <v>Catalog Record</v>
      </c>
      <c r="AT1603" s="6" t="str">
        <f>HYPERLINK("http://www.worldcat.org/oclc/7174764","WorldCat Record")</f>
        <v>WorldCat Record</v>
      </c>
      <c r="AU1603" s="3" t="s">
        <v>20434</v>
      </c>
      <c r="AV1603" s="3" t="s">
        <v>20435</v>
      </c>
      <c r="AW1603" s="3" t="s">
        <v>20436</v>
      </c>
      <c r="AX1603" s="3" t="s">
        <v>20436</v>
      </c>
      <c r="AY1603" s="3" t="s">
        <v>20437</v>
      </c>
      <c r="AZ1603" s="3" t="s">
        <v>74</v>
      </c>
      <c r="BB1603" s="3" t="s">
        <v>20438</v>
      </c>
      <c r="BC1603" s="3" t="s">
        <v>20439</v>
      </c>
      <c r="BD1603" s="3" t="s">
        <v>20440</v>
      </c>
    </row>
    <row r="1604" spans="1:56" ht="42.75" customHeight="1" x14ac:dyDescent="0.25">
      <c r="A1604" s="7" t="s">
        <v>58</v>
      </c>
      <c r="B1604" s="2" t="s">
        <v>20441</v>
      </c>
      <c r="C1604" s="2" t="s">
        <v>20442</v>
      </c>
      <c r="D1604" s="2" t="s">
        <v>20443</v>
      </c>
      <c r="F1604" s="3" t="s">
        <v>58</v>
      </c>
      <c r="G1604" s="3" t="s">
        <v>59</v>
      </c>
      <c r="H1604" s="3" t="s">
        <v>58</v>
      </c>
      <c r="I1604" s="3" t="s">
        <v>58</v>
      </c>
      <c r="J1604" s="3" t="s">
        <v>60</v>
      </c>
      <c r="L1604" s="2" t="s">
        <v>20444</v>
      </c>
      <c r="M1604" s="3" t="s">
        <v>642</v>
      </c>
      <c r="O1604" s="3" t="s">
        <v>64</v>
      </c>
      <c r="P1604" s="3" t="s">
        <v>115</v>
      </c>
      <c r="R1604" s="3" t="s">
        <v>67</v>
      </c>
      <c r="S1604" s="4">
        <v>3</v>
      </c>
      <c r="T1604" s="4">
        <v>3</v>
      </c>
      <c r="U1604" s="5" t="s">
        <v>20445</v>
      </c>
      <c r="V1604" s="5" t="s">
        <v>20445</v>
      </c>
      <c r="W1604" s="5" t="s">
        <v>20446</v>
      </c>
      <c r="X1604" s="5" t="s">
        <v>20446</v>
      </c>
      <c r="Y1604" s="4">
        <v>256</v>
      </c>
      <c r="Z1604" s="4">
        <v>204</v>
      </c>
      <c r="AA1604" s="4">
        <v>211</v>
      </c>
      <c r="AB1604" s="4">
        <v>2</v>
      </c>
      <c r="AC1604" s="4">
        <v>2</v>
      </c>
      <c r="AD1604" s="4">
        <v>10</v>
      </c>
      <c r="AE1604" s="4">
        <v>10</v>
      </c>
      <c r="AF1604" s="4">
        <v>2</v>
      </c>
      <c r="AG1604" s="4">
        <v>2</v>
      </c>
      <c r="AH1604" s="4">
        <v>5</v>
      </c>
      <c r="AI1604" s="4">
        <v>5</v>
      </c>
      <c r="AJ1604" s="4">
        <v>6</v>
      </c>
      <c r="AK1604" s="4">
        <v>6</v>
      </c>
      <c r="AL1604" s="4">
        <v>1</v>
      </c>
      <c r="AM1604" s="4">
        <v>1</v>
      </c>
      <c r="AN1604" s="4">
        <v>0</v>
      </c>
      <c r="AO1604" s="4">
        <v>0</v>
      </c>
      <c r="AP1604" s="3" t="s">
        <v>58</v>
      </c>
      <c r="AQ1604" s="3" t="s">
        <v>86</v>
      </c>
      <c r="AR1604" s="6" t="str">
        <f>HYPERLINK("http://catalog.hathitrust.org/Record/002525391","HathiTrust Record")</f>
        <v>HathiTrust Record</v>
      </c>
      <c r="AS1604" s="6" t="str">
        <f>HYPERLINK("https://creighton-primo.hosted.exlibrisgroup.com/primo-explore/search?tab=default_tab&amp;search_scope=EVERYTHING&amp;vid=01CRU&amp;lang=en_US&amp;offset=0&amp;query=any,contains,991001895769702656","Catalog Record")</f>
        <v>Catalog Record</v>
      </c>
      <c r="AT1604" s="6" t="str">
        <f>HYPERLINK("http://www.worldcat.org/oclc/23941693","WorldCat Record")</f>
        <v>WorldCat Record</v>
      </c>
      <c r="AU1604" s="3" t="s">
        <v>20447</v>
      </c>
      <c r="AV1604" s="3" t="s">
        <v>20448</v>
      </c>
      <c r="AW1604" s="3" t="s">
        <v>20449</v>
      </c>
      <c r="AX1604" s="3" t="s">
        <v>20449</v>
      </c>
      <c r="AY1604" s="3" t="s">
        <v>20450</v>
      </c>
      <c r="AZ1604" s="3" t="s">
        <v>74</v>
      </c>
      <c r="BB1604" s="3" t="s">
        <v>20451</v>
      </c>
      <c r="BC1604" s="3" t="s">
        <v>20452</v>
      </c>
      <c r="BD1604" s="3" t="s">
        <v>20453</v>
      </c>
    </row>
    <row r="1605" spans="1:56" ht="42.75" customHeight="1" x14ac:dyDescent="0.25">
      <c r="A1605" s="7" t="s">
        <v>58</v>
      </c>
      <c r="B1605" s="2" t="s">
        <v>20454</v>
      </c>
      <c r="C1605" s="2" t="s">
        <v>20455</v>
      </c>
      <c r="D1605" s="2" t="s">
        <v>20456</v>
      </c>
      <c r="F1605" s="3" t="s">
        <v>58</v>
      </c>
      <c r="G1605" s="3" t="s">
        <v>59</v>
      </c>
      <c r="H1605" s="3" t="s">
        <v>58</v>
      </c>
      <c r="I1605" s="3" t="s">
        <v>58</v>
      </c>
      <c r="J1605" s="3" t="s">
        <v>60</v>
      </c>
      <c r="K1605" s="2" t="s">
        <v>20457</v>
      </c>
      <c r="L1605" s="2" t="s">
        <v>20458</v>
      </c>
      <c r="M1605" s="3" t="s">
        <v>1141</v>
      </c>
      <c r="O1605" s="3" t="s">
        <v>64</v>
      </c>
      <c r="P1605" s="3" t="s">
        <v>83</v>
      </c>
      <c r="R1605" s="3" t="s">
        <v>67</v>
      </c>
      <c r="S1605" s="4">
        <v>1</v>
      </c>
      <c r="T1605" s="4">
        <v>1</v>
      </c>
      <c r="U1605" s="5" t="s">
        <v>20459</v>
      </c>
      <c r="V1605" s="5" t="s">
        <v>20459</v>
      </c>
      <c r="W1605" s="5" t="s">
        <v>20459</v>
      </c>
      <c r="X1605" s="5" t="s">
        <v>20459</v>
      </c>
      <c r="Y1605" s="4">
        <v>459</v>
      </c>
      <c r="Z1605" s="4">
        <v>308</v>
      </c>
      <c r="AA1605" s="4">
        <v>451</v>
      </c>
      <c r="AB1605" s="4">
        <v>4</v>
      </c>
      <c r="AC1605" s="4">
        <v>4</v>
      </c>
      <c r="AD1605" s="4">
        <v>7</v>
      </c>
      <c r="AE1605" s="4">
        <v>11</v>
      </c>
      <c r="AF1605" s="4">
        <v>3</v>
      </c>
      <c r="AG1605" s="4">
        <v>6</v>
      </c>
      <c r="AH1605" s="4">
        <v>1</v>
      </c>
      <c r="AI1605" s="4">
        <v>2</v>
      </c>
      <c r="AJ1605" s="4">
        <v>3</v>
      </c>
      <c r="AK1605" s="4">
        <v>4</v>
      </c>
      <c r="AL1605" s="4">
        <v>2</v>
      </c>
      <c r="AM1605" s="4">
        <v>2</v>
      </c>
      <c r="AN1605" s="4">
        <v>0</v>
      </c>
      <c r="AO1605" s="4">
        <v>0</v>
      </c>
      <c r="AP1605" s="3" t="s">
        <v>58</v>
      </c>
      <c r="AQ1605" s="3" t="s">
        <v>86</v>
      </c>
      <c r="AR1605" s="6" t="str">
        <f>HYPERLINK("http://catalog.hathitrust.org/Record/004323213","HathiTrust Record")</f>
        <v>HathiTrust Record</v>
      </c>
      <c r="AS1605" s="6" t="str">
        <f>HYPERLINK("https://creighton-primo.hosted.exlibrisgroup.com/primo-explore/search?tab=default_tab&amp;search_scope=EVERYTHING&amp;vid=01CRU&amp;lang=en_US&amp;offset=0&amp;query=any,contains,991005365719702656","Catalog Record")</f>
        <v>Catalog Record</v>
      </c>
      <c r="AT1605" s="6" t="str">
        <f>HYPERLINK("http://www.worldcat.org/oclc/50774316","WorldCat Record")</f>
        <v>WorldCat Record</v>
      </c>
      <c r="AU1605" s="3" t="s">
        <v>20460</v>
      </c>
      <c r="AV1605" s="3" t="s">
        <v>20461</v>
      </c>
      <c r="AW1605" s="3" t="s">
        <v>20462</v>
      </c>
      <c r="AX1605" s="3" t="s">
        <v>20462</v>
      </c>
      <c r="AY1605" s="3" t="s">
        <v>20463</v>
      </c>
      <c r="AZ1605" s="3" t="s">
        <v>74</v>
      </c>
      <c r="BB1605" s="3" t="s">
        <v>20464</v>
      </c>
      <c r="BC1605" s="3" t="s">
        <v>20465</v>
      </c>
      <c r="BD1605" s="3" t="s">
        <v>20466</v>
      </c>
    </row>
    <row r="1606" spans="1:56" ht="42.75" customHeight="1" x14ac:dyDescent="0.25">
      <c r="A1606" s="7" t="s">
        <v>58</v>
      </c>
      <c r="B1606" s="2" t="s">
        <v>20467</v>
      </c>
      <c r="C1606" s="2" t="s">
        <v>20468</v>
      </c>
      <c r="D1606" s="2" t="s">
        <v>20469</v>
      </c>
      <c r="F1606" s="3" t="s">
        <v>58</v>
      </c>
      <c r="G1606" s="3" t="s">
        <v>59</v>
      </c>
      <c r="H1606" s="3" t="s">
        <v>58</v>
      </c>
      <c r="I1606" s="3" t="s">
        <v>58</v>
      </c>
      <c r="J1606" s="3" t="s">
        <v>60</v>
      </c>
      <c r="L1606" s="2" t="s">
        <v>9882</v>
      </c>
      <c r="M1606" s="3" t="s">
        <v>805</v>
      </c>
      <c r="O1606" s="3" t="s">
        <v>64</v>
      </c>
      <c r="P1606" s="3" t="s">
        <v>115</v>
      </c>
      <c r="R1606" s="3" t="s">
        <v>67</v>
      </c>
      <c r="S1606" s="4">
        <v>5</v>
      </c>
      <c r="T1606" s="4">
        <v>5</v>
      </c>
      <c r="U1606" s="5" t="s">
        <v>20470</v>
      </c>
      <c r="V1606" s="5" t="s">
        <v>20470</v>
      </c>
      <c r="W1606" s="5" t="s">
        <v>20471</v>
      </c>
      <c r="X1606" s="5" t="s">
        <v>20471</v>
      </c>
      <c r="Y1606" s="4">
        <v>145</v>
      </c>
      <c r="Z1606" s="4">
        <v>115</v>
      </c>
      <c r="AA1606" s="4">
        <v>142</v>
      </c>
      <c r="AB1606" s="4">
        <v>1</v>
      </c>
      <c r="AC1606" s="4">
        <v>1</v>
      </c>
      <c r="AD1606" s="4">
        <v>2</v>
      </c>
      <c r="AE1606" s="4">
        <v>2</v>
      </c>
      <c r="AF1606" s="4">
        <v>2</v>
      </c>
      <c r="AG1606" s="4">
        <v>2</v>
      </c>
      <c r="AH1606" s="4">
        <v>0</v>
      </c>
      <c r="AI1606" s="4">
        <v>0</v>
      </c>
      <c r="AJ1606" s="4">
        <v>0</v>
      </c>
      <c r="AK1606" s="4">
        <v>0</v>
      </c>
      <c r="AL1606" s="4">
        <v>0</v>
      </c>
      <c r="AM1606" s="4">
        <v>0</v>
      </c>
      <c r="AN1606" s="4">
        <v>0</v>
      </c>
      <c r="AO1606" s="4">
        <v>0</v>
      </c>
      <c r="AP1606" s="3" t="s">
        <v>58</v>
      </c>
      <c r="AQ1606" s="3" t="s">
        <v>58</v>
      </c>
      <c r="AS1606" s="6" t="str">
        <f>HYPERLINK("https://creighton-primo.hosted.exlibrisgroup.com/primo-explore/search?tab=default_tab&amp;search_scope=EVERYTHING&amp;vid=01CRU&amp;lang=en_US&amp;offset=0&amp;query=any,contains,991002637649702656","Catalog Record")</f>
        <v>Catalog Record</v>
      </c>
      <c r="AT1606" s="6" t="str">
        <f>HYPERLINK("http://www.worldcat.org/oclc/34547205","WorldCat Record")</f>
        <v>WorldCat Record</v>
      </c>
      <c r="AU1606" s="3" t="s">
        <v>20472</v>
      </c>
      <c r="AV1606" s="3" t="s">
        <v>20473</v>
      </c>
      <c r="AW1606" s="3" t="s">
        <v>20474</v>
      </c>
      <c r="AX1606" s="3" t="s">
        <v>20474</v>
      </c>
      <c r="AY1606" s="3" t="s">
        <v>20475</v>
      </c>
      <c r="AZ1606" s="3" t="s">
        <v>74</v>
      </c>
      <c r="BB1606" s="3" t="s">
        <v>20476</v>
      </c>
      <c r="BC1606" s="3" t="s">
        <v>20477</v>
      </c>
      <c r="BD1606" s="3" t="s">
        <v>20478</v>
      </c>
    </row>
    <row r="1607" spans="1:56" ht="42.75" customHeight="1" x14ac:dyDescent="0.25">
      <c r="A1607" s="7" t="s">
        <v>58</v>
      </c>
      <c r="B1607" s="2" t="s">
        <v>20479</v>
      </c>
      <c r="C1607" s="2" t="s">
        <v>20480</v>
      </c>
      <c r="D1607" s="2" t="s">
        <v>20481</v>
      </c>
      <c r="F1607" s="3" t="s">
        <v>58</v>
      </c>
      <c r="G1607" s="3" t="s">
        <v>59</v>
      </c>
      <c r="H1607" s="3" t="s">
        <v>86</v>
      </c>
      <c r="I1607" s="3" t="s">
        <v>58</v>
      </c>
      <c r="J1607" s="3" t="s">
        <v>60</v>
      </c>
      <c r="K1607" s="2" t="s">
        <v>20482</v>
      </c>
      <c r="L1607" s="2" t="s">
        <v>20483</v>
      </c>
      <c r="M1607" s="3" t="s">
        <v>207</v>
      </c>
      <c r="O1607" s="3" t="s">
        <v>64</v>
      </c>
      <c r="P1607" s="3" t="s">
        <v>2609</v>
      </c>
      <c r="R1607" s="3" t="s">
        <v>67</v>
      </c>
      <c r="S1607" s="4">
        <v>4</v>
      </c>
      <c r="T1607" s="4">
        <v>6</v>
      </c>
      <c r="U1607" s="5" t="s">
        <v>1671</v>
      </c>
      <c r="V1607" s="5" t="s">
        <v>20484</v>
      </c>
      <c r="W1607" s="5" t="s">
        <v>69</v>
      </c>
      <c r="X1607" s="5" t="s">
        <v>69</v>
      </c>
      <c r="Y1607" s="4">
        <v>315</v>
      </c>
      <c r="Z1607" s="4">
        <v>271</v>
      </c>
      <c r="AA1607" s="4">
        <v>277</v>
      </c>
      <c r="AB1607" s="4">
        <v>2</v>
      </c>
      <c r="AC1607" s="4">
        <v>2</v>
      </c>
      <c r="AD1607" s="4">
        <v>10</v>
      </c>
      <c r="AE1607" s="4">
        <v>10</v>
      </c>
      <c r="AF1607" s="4">
        <v>4</v>
      </c>
      <c r="AG1607" s="4">
        <v>4</v>
      </c>
      <c r="AH1607" s="4">
        <v>2</v>
      </c>
      <c r="AI1607" s="4">
        <v>2</v>
      </c>
      <c r="AJ1607" s="4">
        <v>7</v>
      </c>
      <c r="AK1607" s="4">
        <v>7</v>
      </c>
      <c r="AL1607" s="4">
        <v>0</v>
      </c>
      <c r="AM1607" s="4">
        <v>0</v>
      </c>
      <c r="AN1607" s="4">
        <v>0</v>
      </c>
      <c r="AO1607" s="4">
        <v>0</v>
      </c>
      <c r="AP1607" s="3" t="s">
        <v>58</v>
      </c>
      <c r="AQ1607" s="3" t="s">
        <v>86</v>
      </c>
      <c r="AR1607" s="6" t="str">
        <f>HYPERLINK("http://catalog.hathitrust.org/Record/000101129","HathiTrust Record")</f>
        <v>HathiTrust Record</v>
      </c>
      <c r="AS1607" s="6" t="str">
        <f>HYPERLINK("https://creighton-primo.hosted.exlibrisgroup.com/primo-explore/search?tab=default_tab&amp;search_scope=EVERYTHING&amp;vid=01CRU&amp;lang=en_US&amp;offset=0&amp;query=any,contains,991001772049702656","Catalog Record")</f>
        <v>Catalog Record</v>
      </c>
      <c r="AT1607" s="6" t="str">
        <f>HYPERLINK("http://www.worldcat.org/oclc/7179018","WorldCat Record")</f>
        <v>WorldCat Record</v>
      </c>
      <c r="AU1607" s="3" t="s">
        <v>20485</v>
      </c>
      <c r="AV1607" s="3" t="s">
        <v>20486</v>
      </c>
      <c r="AW1607" s="3" t="s">
        <v>20487</v>
      </c>
      <c r="AX1607" s="3" t="s">
        <v>20487</v>
      </c>
      <c r="AY1607" s="3" t="s">
        <v>20488</v>
      </c>
      <c r="AZ1607" s="3" t="s">
        <v>74</v>
      </c>
      <c r="BB1607" s="3" t="s">
        <v>20489</v>
      </c>
      <c r="BC1607" s="3" t="s">
        <v>20490</v>
      </c>
      <c r="BD1607" s="3" t="s">
        <v>20491</v>
      </c>
    </row>
    <row r="1608" spans="1:56" ht="42.75" customHeight="1" x14ac:dyDescent="0.25">
      <c r="A1608" s="7" t="s">
        <v>58</v>
      </c>
      <c r="B1608" s="2" t="s">
        <v>20492</v>
      </c>
      <c r="C1608" s="2" t="s">
        <v>20493</v>
      </c>
      <c r="D1608" s="2" t="s">
        <v>20494</v>
      </c>
      <c r="F1608" s="3" t="s">
        <v>58</v>
      </c>
      <c r="G1608" s="3" t="s">
        <v>59</v>
      </c>
      <c r="H1608" s="3" t="s">
        <v>86</v>
      </c>
      <c r="I1608" s="3" t="s">
        <v>58</v>
      </c>
      <c r="J1608" s="3" t="s">
        <v>60</v>
      </c>
      <c r="K1608" s="2" t="s">
        <v>20495</v>
      </c>
      <c r="L1608" s="2" t="s">
        <v>20496</v>
      </c>
      <c r="M1608" s="3" t="s">
        <v>82</v>
      </c>
      <c r="N1608" s="2" t="s">
        <v>1844</v>
      </c>
      <c r="O1608" s="3" t="s">
        <v>64</v>
      </c>
      <c r="P1608" s="3" t="s">
        <v>2331</v>
      </c>
      <c r="R1608" s="3" t="s">
        <v>67</v>
      </c>
      <c r="S1608" s="4">
        <v>11</v>
      </c>
      <c r="T1608" s="4">
        <v>11</v>
      </c>
      <c r="U1608" s="5" t="s">
        <v>19491</v>
      </c>
      <c r="V1608" s="5" t="s">
        <v>19491</v>
      </c>
      <c r="W1608" s="5" t="s">
        <v>3189</v>
      </c>
      <c r="X1608" s="5" t="s">
        <v>3189</v>
      </c>
      <c r="Y1608" s="4">
        <v>265</v>
      </c>
      <c r="Z1608" s="4">
        <v>222</v>
      </c>
      <c r="AA1608" s="4">
        <v>420</v>
      </c>
      <c r="AB1608" s="4">
        <v>3</v>
      </c>
      <c r="AC1608" s="4">
        <v>5</v>
      </c>
      <c r="AD1608" s="4">
        <v>13</v>
      </c>
      <c r="AE1608" s="4">
        <v>19</v>
      </c>
      <c r="AF1608" s="4">
        <v>5</v>
      </c>
      <c r="AG1608" s="4">
        <v>7</v>
      </c>
      <c r="AH1608" s="4">
        <v>4</v>
      </c>
      <c r="AI1608" s="4">
        <v>4</v>
      </c>
      <c r="AJ1608" s="4">
        <v>6</v>
      </c>
      <c r="AK1608" s="4">
        <v>9</v>
      </c>
      <c r="AL1608" s="4">
        <v>1</v>
      </c>
      <c r="AM1608" s="4">
        <v>3</v>
      </c>
      <c r="AN1608" s="4">
        <v>0</v>
      </c>
      <c r="AO1608" s="4">
        <v>0</v>
      </c>
      <c r="AP1608" s="3" t="s">
        <v>58</v>
      </c>
      <c r="AQ1608" s="3" t="s">
        <v>86</v>
      </c>
      <c r="AR1608" s="6" t="str">
        <f>HYPERLINK("http://catalog.hathitrust.org/Record/000596999","HathiTrust Record")</f>
        <v>HathiTrust Record</v>
      </c>
      <c r="AS1608" s="6" t="str">
        <f>HYPERLINK("https://creighton-primo.hosted.exlibrisgroup.com/primo-explore/search?tab=default_tab&amp;search_scope=EVERYTHING&amp;vid=01CRU&amp;lang=en_US&amp;offset=0&amp;query=any,contains,991000923309702656","Catalog Record")</f>
        <v>Catalog Record</v>
      </c>
      <c r="AT1608" s="6" t="str">
        <f>HYPERLINK("http://www.worldcat.org/oclc/14214870","WorldCat Record")</f>
        <v>WorldCat Record</v>
      </c>
      <c r="AU1608" s="3" t="s">
        <v>20497</v>
      </c>
      <c r="AV1608" s="3" t="s">
        <v>20498</v>
      </c>
      <c r="AW1608" s="3" t="s">
        <v>20499</v>
      </c>
      <c r="AX1608" s="3" t="s">
        <v>20499</v>
      </c>
      <c r="AY1608" s="3" t="s">
        <v>20500</v>
      </c>
      <c r="AZ1608" s="3" t="s">
        <v>74</v>
      </c>
      <c r="BB1608" s="3" t="s">
        <v>20501</v>
      </c>
      <c r="BC1608" s="3" t="s">
        <v>20502</v>
      </c>
      <c r="BD1608" s="3" t="s">
        <v>20503</v>
      </c>
    </row>
    <row r="1609" spans="1:56" ht="42.75" customHeight="1" x14ac:dyDescent="0.25">
      <c r="A1609" s="7" t="s">
        <v>58</v>
      </c>
      <c r="B1609" s="2" t="s">
        <v>20504</v>
      </c>
      <c r="C1609" s="2" t="s">
        <v>20505</v>
      </c>
      <c r="D1609" s="2" t="s">
        <v>20506</v>
      </c>
      <c r="F1609" s="3" t="s">
        <v>58</v>
      </c>
      <c r="G1609" s="3" t="s">
        <v>59</v>
      </c>
      <c r="H1609" s="3" t="s">
        <v>86</v>
      </c>
      <c r="I1609" s="3" t="s">
        <v>58</v>
      </c>
      <c r="J1609" s="3" t="s">
        <v>60</v>
      </c>
      <c r="K1609" s="2" t="s">
        <v>20507</v>
      </c>
      <c r="L1609" s="2" t="s">
        <v>20508</v>
      </c>
      <c r="M1609" s="3" t="s">
        <v>207</v>
      </c>
      <c r="O1609" s="3" t="s">
        <v>64</v>
      </c>
      <c r="P1609" s="3" t="s">
        <v>208</v>
      </c>
      <c r="R1609" s="3" t="s">
        <v>67</v>
      </c>
      <c r="S1609" s="4">
        <v>7</v>
      </c>
      <c r="T1609" s="4">
        <v>35</v>
      </c>
      <c r="U1609" s="5" t="s">
        <v>20509</v>
      </c>
      <c r="V1609" s="5" t="s">
        <v>20509</v>
      </c>
      <c r="W1609" s="5" t="s">
        <v>2291</v>
      </c>
      <c r="X1609" s="5" t="s">
        <v>2291</v>
      </c>
      <c r="Y1609" s="4">
        <v>548</v>
      </c>
      <c r="Z1609" s="4">
        <v>441</v>
      </c>
      <c r="AA1609" s="4">
        <v>444</v>
      </c>
      <c r="AB1609" s="4">
        <v>4</v>
      </c>
      <c r="AC1609" s="4">
        <v>4</v>
      </c>
      <c r="AD1609" s="4">
        <v>19</v>
      </c>
      <c r="AE1609" s="4">
        <v>19</v>
      </c>
      <c r="AF1609" s="4">
        <v>5</v>
      </c>
      <c r="AG1609" s="4">
        <v>5</v>
      </c>
      <c r="AH1609" s="4">
        <v>6</v>
      </c>
      <c r="AI1609" s="4">
        <v>6</v>
      </c>
      <c r="AJ1609" s="4">
        <v>10</v>
      </c>
      <c r="AK1609" s="4">
        <v>10</v>
      </c>
      <c r="AL1609" s="4">
        <v>2</v>
      </c>
      <c r="AM1609" s="4">
        <v>2</v>
      </c>
      <c r="AN1609" s="4">
        <v>0</v>
      </c>
      <c r="AO1609" s="4">
        <v>0</v>
      </c>
      <c r="AP1609" s="3" t="s">
        <v>58</v>
      </c>
      <c r="AQ1609" s="3" t="s">
        <v>86</v>
      </c>
      <c r="AR1609" s="6" t="str">
        <f>HYPERLINK("http://catalog.hathitrust.org/Record/000221671","HathiTrust Record")</f>
        <v>HathiTrust Record</v>
      </c>
      <c r="AS1609" s="6" t="str">
        <f>HYPERLINK("https://creighton-primo.hosted.exlibrisgroup.com/primo-explore/search?tab=default_tab&amp;search_scope=EVERYTHING&amp;vid=01CRU&amp;lang=en_US&amp;offset=0&amp;query=any,contains,991001782719702656","Catalog Record")</f>
        <v>Catalog Record</v>
      </c>
      <c r="AT1609" s="6" t="str">
        <f>HYPERLINK("http://www.worldcat.org/oclc/7277660","WorldCat Record")</f>
        <v>WorldCat Record</v>
      </c>
      <c r="AU1609" s="3" t="s">
        <v>20510</v>
      </c>
      <c r="AV1609" s="3" t="s">
        <v>20511</v>
      </c>
      <c r="AW1609" s="3" t="s">
        <v>20512</v>
      </c>
      <c r="AX1609" s="3" t="s">
        <v>20512</v>
      </c>
      <c r="AY1609" s="3" t="s">
        <v>20513</v>
      </c>
      <c r="AZ1609" s="3" t="s">
        <v>74</v>
      </c>
      <c r="BB1609" s="3" t="s">
        <v>20514</v>
      </c>
      <c r="BC1609" s="3" t="s">
        <v>20515</v>
      </c>
      <c r="BD1609" s="3" t="s">
        <v>20516</v>
      </c>
    </row>
    <row r="1610" spans="1:56" ht="42.75" customHeight="1" x14ac:dyDescent="0.25">
      <c r="A1610" s="7" t="s">
        <v>58</v>
      </c>
      <c r="B1610" s="2" t="s">
        <v>20517</v>
      </c>
      <c r="C1610" s="2" t="s">
        <v>20518</v>
      </c>
      <c r="D1610" s="2" t="s">
        <v>20519</v>
      </c>
      <c r="F1610" s="3" t="s">
        <v>58</v>
      </c>
      <c r="G1610" s="3" t="s">
        <v>59</v>
      </c>
      <c r="H1610" s="3" t="s">
        <v>58</v>
      </c>
      <c r="I1610" s="3" t="s">
        <v>58</v>
      </c>
      <c r="J1610" s="3" t="s">
        <v>60</v>
      </c>
      <c r="L1610" s="2" t="s">
        <v>20520</v>
      </c>
      <c r="M1610" s="3" t="s">
        <v>207</v>
      </c>
      <c r="O1610" s="3" t="s">
        <v>64</v>
      </c>
      <c r="P1610" s="3" t="s">
        <v>208</v>
      </c>
      <c r="R1610" s="3" t="s">
        <v>67</v>
      </c>
      <c r="S1610" s="4">
        <v>9</v>
      </c>
      <c r="T1610" s="4">
        <v>9</v>
      </c>
      <c r="U1610" s="5" t="s">
        <v>3784</v>
      </c>
      <c r="V1610" s="5" t="s">
        <v>3784</v>
      </c>
      <c r="W1610" s="5" t="s">
        <v>117</v>
      </c>
      <c r="X1610" s="5" t="s">
        <v>117</v>
      </c>
      <c r="Y1610" s="4">
        <v>329</v>
      </c>
      <c r="Z1610" s="4">
        <v>295</v>
      </c>
      <c r="AA1610" s="4">
        <v>298</v>
      </c>
      <c r="AB1610" s="4">
        <v>2</v>
      </c>
      <c r="AC1610" s="4">
        <v>2</v>
      </c>
      <c r="AD1610" s="4">
        <v>11</v>
      </c>
      <c r="AE1610" s="4">
        <v>11</v>
      </c>
      <c r="AF1610" s="4">
        <v>4</v>
      </c>
      <c r="AG1610" s="4">
        <v>4</v>
      </c>
      <c r="AH1610" s="4">
        <v>3</v>
      </c>
      <c r="AI1610" s="4">
        <v>3</v>
      </c>
      <c r="AJ1610" s="4">
        <v>5</v>
      </c>
      <c r="AK1610" s="4">
        <v>5</v>
      </c>
      <c r="AL1610" s="4">
        <v>1</v>
      </c>
      <c r="AM1610" s="4">
        <v>1</v>
      </c>
      <c r="AN1610" s="4">
        <v>0</v>
      </c>
      <c r="AO1610" s="4">
        <v>0</v>
      </c>
      <c r="AP1610" s="3" t="s">
        <v>58</v>
      </c>
      <c r="AQ1610" s="3" t="s">
        <v>86</v>
      </c>
      <c r="AR1610" s="6" t="str">
        <f>HYPERLINK("http://catalog.hathitrust.org/Record/008852290","HathiTrust Record")</f>
        <v>HathiTrust Record</v>
      </c>
      <c r="AS1610" s="6" t="str">
        <f>HYPERLINK("https://creighton-primo.hosted.exlibrisgroup.com/primo-explore/search?tab=default_tab&amp;search_scope=EVERYTHING&amp;vid=01CRU&amp;lang=en_US&amp;offset=0&amp;query=any,contains,991005125129702656","Catalog Record")</f>
        <v>Catalog Record</v>
      </c>
      <c r="AT1610" s="6" t="str">
        <f>HYPERLINK("http://www.worldcat.org/oclc/7552957","WorldCat Record")</f>
        <v>WorldCat Record</v>
      </c>
      <c r="AU1610" s="3" t="s">
        <v>20521</v>
      </c>
      <c r="AV1610" s="3" t="s">
        <v>20522</v>
      </c>
      <c r="AW1610" s="3" t="s">
        <v>20523</v>
      </c>
      <c r="AX1610" s="3" t="s">
        <v>20523</v>
      </c>
      <c r="AY1610" s="3" t="s">
        <v>20524</v>
      </c>
      <c r="AZ1610" s="3" t="s">
        <v>74</v>
      </c>
      <c r="BB1610" s="3" t="s">
        <v>20525</v>
      </c>
      <c r="BC1610" s="3" t="s">
        <v>20526</v>
      </c>
      <c r="BD1610" s="3" t="s">
        <v>20527</v>
      </c>
    </row>
    <row r="1611" spans="1:56" ht="42.75" customHeight="1" x14ac:dyDescent="0.25">
      <c r="A1611" s="7" t="s">
        <v>58</v>
      </c>
      <c r="B1611" s="2" t="s">
        <v>20528</v>
      </c>
      <c r="C1611" s="2" t="s">
        <v>20529</v>
      </c>
      <c r="D1611" s="2" t="s">
        <v>20530</v>
      </c>
      <c r="F1611" s="3" t="s">
        <v>58</v>
      </c>
      <c r="G1611" s="3" t="s">
        <v>59</v>
      </c>
      <c r="H1611" s="3" t="s">
        <v>58</v>
      </c>
      <c r="I1611" s="3" t="s">
        <v>58</v>
      </c>
      <c r="J1611" s="3" t="s">
        <v>60</v>
      </c>
      <c r="K1611" s="2" t="s">
        <v>20531</v>
      </c>
      <c r="L1611" s="2" t="s">
        <v>15585</v>
      </c>
      <c r="M1611" s="3" t="s">
        <v>82</v>
      </c>
      <c r="O1611" s="3" t="s">
        <v>64</v>
      </c>
      <c r="P1611" s="3" t="s">
        <v>2331</v>
      </c>
      <c r="R1611" s="3" t="s">
        <v>67</v>
      </c>
      <c r="S1611" s="4">
        <v>1</v>
      </c>
      <c r="T1611" s="4">
        <v>1</v>
      </c>
      <c r="U1611" s="5" t="s">
        <v>6626</v>
      </c>
      <c r="V1611" s="5" t="s">
        <v>6626</v>
      </c>
      <c r="W1611" s="5" t="s">
        <v>20532</v>
      </c>
      <c r="X1611" s="5" t="s">
        <v>20532</v>
      </c>
      <c r="Y1611" s="4">
        <v>232</v>
      </c>
      <c r="Z1611" s="4">
        <v>195</v>
      </c>
      <c r="AA1611" s="4">
        <v>396</v>
      </c>
      <c r="AB1611" s="4">
        <v>1</v>
      </c>
      <c r="AC1611" s="4">
        <v>1</v>
      </c>
      <c r="AD1611" s="4">
        <v>11</v>
      </c>
      <c r="AE1611" s="4">
        <v>22</v>
      </c>
      <c r="AF1611" s="4">
        <v>3</v>
      </c>
      <c r="AG1611" s="4">
        <v>10</v>
      </c>
      <c r="AH1611" s="4">
        <v>4</v>
      </c>
      <c r="AI1611" s="4">
        <v>7</v>
      </c>
      <c r="AJ1611" s="4">
        <v>6</v>
      </c>
      <c r="AK1611" s="4">
        <v>11</v>
      </c>
      <c r="AL1611" s="4">
        <v>0</v>
      </c>
      <c r="AM1611" s="4">
        <v>0</v>
      </c>
      <c r="AN1611" s="4">
        <v>1</v>
      </c>
      <c r="AO1611" s="4">
        <v>1</v>
      </c>
      <c r="AP1611" s="3" t="s">
        <v>58</v>
      </c>
      <c r="AQ1611" s="3" t="s">
        <v>58</v>
      </c>
      <c r="AS1611" s="6" t="str">
        <f>HYPERLINK("https://creighton-primo.hosted.exlibrisgroup.com/primo-explore/search?tab=default_tab&amp;search_scope=EVERYTHING&amp;vid=01CRU&amp;lang=en_US&amp;offset=0&amp;query=any,contains,991001011159702656","Catalog Record")</f>
        <v>Catalog Record</v>
      </c>
      <c r="AT1611" s="6" t="str">
        <f>HYPERLINK("http://www.worldcat.org/oclc/15283654","WorldCat Record")</f>
        <v>WorldCat Record</v>
      </c>
      <c r="AU1611" s="3" t="s">
        <v>20533</v>
      </c>
      <c r="AV1611" s="3" t="s">
        <v>20534</v>
      </c>
      <c r="AW1611" s="3" t="s">
        <v>20535</v>
      </c>
      <c r="AX1611" s="3" t="s">
        <v>20535</v>
      </c>
      <c r="AY1611" s="3" t="s">
        <v>20536</v>
      </c>
      <c r="AZ1611" s="3" t="s">
        <v>74</v>
      </c>
      <c r="BB1611" s="3" t="s">
        <v>20537</v>
      </c>
      <c r="BC1611" s="3" t="s">
        <v>20538</v>
      </c>
      <c r="BD1611" s="3" t="s">
        <v>20539</v>
      </c>
    </row>
    <row r="1612" spans="1:56" ht="42.75" customHeight="1" x14ac:dyDescent="0.25">
      <c r="A1612" s="7" t="s">
        <v>58</v>
      </c>
      <c r="B1612" s="2" t="s">
        <v>20540</v>
      </c>
      <c r="C1612" s="2" t="s">
        <v>20541</v>
      </c>
      <c r="D1612" s="2" t="s">
        <v>20542</v>
      </c>
      <c r="F1612" s="3" t="s">
        <v>58</v>
      </c>
      <c r="G1612" s="3" t="s">
        <v>59</v>
      </c>
      <c r="H1612" s="3" t="s">
        <v>58</v>
      </c>
      <c r="I1612" s="3" t="s">
        <v>58</v>
      </c>
      <c r="J1612" s="3" t="s">
        <v>60</v>
      </c>
      <c r="K1612" s="2" t="s">
        <v>20543</v>
      </c>
      <c r="L1612" s="2" t="s">
        <v>20544</v>
      </c>
      <c r="M1612" s="3" t="s">
        <v>642</v>
      </c>
      <c r="O1612" s="3" t="s">
        <v>64</v>
      </c>
      <c r="P1612" s="3" t="s">
        <v>65</v>
      </c>
      <c r="R1612" s="3" t="s">
        <v>67</v>
      </c>
      <c r="S1612" s="4">
        <v>1</v>
      </c>
      <c r="T1612" s="4">
        <v>1</v>
      </c>
      <c r="U1612" s="5" t="s">
        <v>20545</v>
      </c>
      <c r="V1612" s="5" t="s">
        <v>20545</v>
      </c>
      <c r="W1612" s="5" t="s">
        <v>3809</v>
      </c>
      <c r="X1612" s="5" t="s">
        <v>3809</v>
      </c>
      <c r="Y1612" s="4">
        <v>259</v>
      </c>
      <c r="Z1612" s="4">
        <v>145</v>
      </c>
      <c r="AA1612" s="4">
        <v>150</v>
      </c>
      <c r="AB1612" s="4">
        <v>2</v>
      </c>
      <c r="AC1612" s="4">
        <v>2</v>
      </c>
      <c r="AD1612" s="4">
        <v>6</v>
      </c>
      <c r="AE1612" s="4">
        <v>6</v>
      </c>
      <c r="AF1612" s="4">
        <v>2</v>
      </c>
      <c r="AG1612" s="4">
        <v>2</v>
      </c>
      <c r="AH1612" s="4">
        <v>2</v>
      </c>
      <c r="AI1612" s="4">
        <v>2</v>
      </c>
      <c r="AJ1612" s="4">
        <v>4</v>
      </c>
      <c r="AK1612" s="4">
        <v>4</v>
      </c>
      <c r="AL1612" s="4">
        <v>1</v>
      </c>
      <c r="AM1612" s="4">
        <v>1</v>
      </c>
      <c r="AN1612" s="4">
        <v>0</v>
      </c>
      <c r="AO1612" s="4">
        <v>0</v>
      </c>
      <c r="AP1612" s="3" t="s">
        <v>58</v>
      </c>
      <c r="AQ1612" s="3" t="s">
        <v>58</v>
      </c>
      <c r="AS1612" s="6" t="str">
        <f>HYPERLINK("https://creighton-primo.hosted.exlibrisgroup.com/primo-explore/search?tab=default_tab&amp;search_scope=EVERYTHING&amp;vid=01CRU&amp;lang=en_US&amp;offset=0&amp;query=any,contains,991002181199702656","Catalog Record")</f>
        <v>Catalog Record</v>
      </c>
      <c r="AT1612" s="6" t="str">
        <f>HYPERLINK("http://www.worldcat.org/oclc/28067617","WorldCat Record")</f>
        <v>WorldCat Record</v>
      </c>
      <c r="AU1612" s="3" t="s">
        <v>20546</v>
      </c>
      <c r="AV1612" s="3" t="s">
        <v>20547</v>
      </c>
      <c r="AW1612" s="3" t="s">
        <v>20548</v>
      </c>
      <c r="AX1612" s="3" t="s">
        <v>20548</v>
      </c>
      <c r="AY1612" s="3" t="s">
        <v>20549</v>
      </c>
      <c r="AZ1612" s="3" t="s">
        <v>74</v>
      </c>
      <c r="BB1612" s="3" t="s">
        <v>20550</v>
      </c>
      <c r="BC1612" s="3" t="s">
        <v>20551</v>
      </c>
      <c r="BD1612" s="3" t="s">
        <v>20552</v>
      </c>
    </row>
    <row r="1613" spans="1:56" ht="42.75" customHeight="1" x14ac:dyDescent="0.25">
      <c r="A1613" s="7" t="s">
        <v>58</v>
      </c>
      <c r="B1613" s="2" t="s">
        <v>20553</v>
      </c>
      <c r="C1613" s="2" t="s">
        <v>20554</v>
      </c>
      <c r="D1613" s="2" t="s">
        <v>20555</v>
      </c>
      <c r="F1613" s="3" t="s">
        <v>58</v>
      </c>
      <c r="G1613" s="3" t="s">
        <v>59</v>
      </c>
      <c r="H1613" s="3" t="s">
        <v>58</v>
      </c>
      <c r="I1613" s="3" t="s">
        <v>58</v>
      </c>
      <c r="J1613" s="3" t="s">
        <v>60</v>
      </c>
      <c r="K1613" s="2" t="s">
        <v>20556</v>
      </c>
      <c r="L1613" s="2" t="s">
        <v>20557</v>
      </c>
      <c r="M1613" s="3" t="s">
        <v>586</v>
      </c>
      <c r="O1613" s="3" t="s">
        <v>64</v>
      </c>
      <c r="P1613" s="3" t="s">
        <v>115</v>
      </c>
      <c r="R1613" s="3" t="s">
        <v>67</v>
      </c>
      <c r="S1613" s="4">
        <v>3</v>
      </c>
      <c r="T1613" s="4">
        <v>3</v>
      </c>
      <c r="U1613" s="5" t="s">
        <v>12757</v>
      </c>
      <c r="V1613" s="5" t="s">
        <v>12757</v>
      </c>
      <c r="W1613" s="5" t="s">
        <v>16974</v>
      </c>
      <c r="X1613" s="5" t="s">
        <v>16974</v>
      </c>
      <c r="Y1613" s="4">
        <v>430</v>
      </c>
      <c r="Z1613" s="4">
        <v>378</v>
      </c>
      <c r="AA1613" s="4">
        <v>401</v>
      </c>
      <c r="AB1613" s="4">
        <v>3</v>
      </c>
      <c r="AC1613" s="4">
        <v>3</v>
      </c>
      <c r="AD1613" s="4">
        <v>8</v>
      </c>
      <c r="AE1613" s="4">
        <v>8</v>
      </c>
      <c r="AF1613" s="4">
        <v>2</v>
      </c>
      <c r="AG1613" s="4">
        <v>2</v>
      </c>
      <c r="AH1613" s="4">
        <v>1</v>
      </c>
      <c r="AI1613" s="4">
        <v>1</v>
      </c>
      <c r="AJ1613" s="4">
        <v>4</v>
      </c>
      <c r="AK1613" s="4">
        <v>4</v>
      </c>
      <c r="AL1613" s="4">
        <v>2</v>
      </c>
      <c r="AM1613" s="4">
        <v>2</v>
      </c>
      <c r="AN1613" s="4">
        <v>1</v>
      </c>
      <c r="AO1613" s="4">
        <v>1</v>
      </c>
      <c r="AP1613" s="3" t="s">
        <v>58</v>
      </c>
      <c r="AQ1613" s="3" t="s">
        <v>86</v>
      </c>
      <c r="AR1613" s="6" t="str">
        <f>HYPERLINK("http://catalog.hathitrust.org/Record/102763151","HathiTrust Record")</f>
        <v>HathiTrust Record</v>
      </c>
      <c r="AS1613" s="6" t="str">
        <f>HYPERLINK("https://creighton-primo.hosted.exlibrisgroup.com/primo-explore/search?tab=default_tab&amp;search_scope=EVERYTHING&amp;vid=01CRU&amp;lang=en_US&amp;offset=0&amp;query=any,contains,991001898889702656","Catalog Record")</f>
        <v>Catalog Record</v>
      </c>
      <c r="AT1613" s="6" t="str">
        <f>HYPERLINK("http://www.worldcat.org/oclc/23976942","WorldCat Record")</f>
        <v>WorldCat Record</v>
      </c>
      <c r="AU1613" s="3" t="s">
        <v>20558</v>
      </c>
      <c r="AV1613" s="3" t="s">
        <v>20559</v>
      </c>
      <c r="AW1613" s="3" t="s">
        <v>20560</v>
      </c>
      <c r="AX1613" s="3" t="s">
        <v>20560</v>
      </c>
      <c r="AY1613" s="3" t="s">
        <v>20561</v>
      </c>
      <c r="AZ1613" s="3" t="s">
        <v>74</v>
      </c>
      <c r="BB1613" s="3" t="s">
        <v>20562</v>
      </c>
      <c r="BC1613" s="3" t="s">
        <v>20563</v>
      </c>
      <c r="BD1613" s="3" t="s">
        <v>20564</v>
      </c>
    </row>
    <row r="1614" spans="1:56" ht="42.75" customHeight="1" x14ac:dyDescent="0.25">
      <c r="A1614" s="7" t="s">
        <v>58</v>
      </c>
      <c r="B1614" s="2" t="s">
        <v>20565</v>
      </c>
      <c r="C1614" s="2" t="s">
        <v>20566</v>
      </c>
      <c r="D1614" s="2" t="s">
        <v>20567</v>
      </c>
      <c r="F1614" s="3" t="s">
        <v>58</v>
      </c>
      <c r="G1614" s="3" t="s">
        <v>59</v>
      </c>
      <c r="H1614" s="3" t="s">
        <v>58</v>
      </c>
      <c r="I1614" s="3" t="s">
        <v>58</v>
      </c>
      <c r="J1614" s="3" t="s">
        <v>60</v>
      </c>
      <c r="K1614" s="2" t="s">
        <v>20568</v>
      </c>
      <c r="L1614" s="2" t="s">
        <v>20569</v>
      </c>
      <c r="M1614" s="3" t="s">
        <v>2920</v>
      </c>
      <c r="O1614" s="3" t="s">
        <v>64</v>
      </c>
      <c r="P1614" s="3" t="s">
        <v>115</v>
      </c>
      <c r="R1614" s="3" t="s">
        <v>67</v>
      </c>
      <c r="S1614" s="4">
        <v>2</v>
      </c>
      <c r="T1614" s="4">
        <v>2</v>
      </c>
      <c r="U1614" s="5" t="s">
        <v>19491</v>
      </c>
      <c r="V1614" s="5" t="s">
        <v>19491</v>
      </c>
      <c r="W1614" s="5" t="s">
        <v>20570</v>
      </c>
      <c r="X1614" s="5" t="s">
        <v>20570</v>
      </c>
      <c r="Y1614" s="4">
        <v>265</v>
      </c>
      <c r="Z1614" s="4">
        <v>244</v>
      </c>
      <c r="AA1614" s="4">
        <v>328</v>
      </c>
      <c r="AB1614" s="4">
        <v>1</v>
      </c>
      <c r="AC1614" s="4">
        <v>3</v>
      </c>
      <c r="AD1614" s="4">
        <v>7</v>
      </c>
      <c r="AE1614" s="4">
        <v>10</v>
      </c>
      <c r="AF1614" s="4">
        <v>2</v>
      </c>
      <c r="AG1614" s="4">
        <v>3</v>
      </c>
      <c r="AH1614" s="4">
        <v>2</v>
      </c>
      <c r="AI1614" s="4">
        <v>2</v>
      </c>
      <c r="AJ1614" s="4">
        <v>4</v>
      </c>
      <c r="AK1614" s="4">
        <v>5</v>
      </c>
      <c r="AL1614" s="4">
        <v>0</v>
      </c>
      <c r="AM1614" s="4">
        <v>1</v>
      </c>
      <c r="AN1614" s="4">
        <v>1</v>
      </c>
      <c r="AO1614" s="4">
        <v>1</v>
      </c>
      <c r="AP1614" s="3" t="s">
        <v>58</v>
      </c>
      <c r="AQ1614" s="3" t="s">
        <v>58</v>
      </c>
      <c r="AR1614" s="6" t="str">
        <f>HYPERLINK("http://catalog.hathitrust.org/Record/001580718","HathiTrust Record")</f>
        <v>HathiTrust Record</v>
      </c>
      <c r="AS1614" s="6" t="str">
        <f>HYPERLINK("https://creighton-primo.hosted.exlibrisgroup.com/primo-explore/search?tab=default_tab&amp;search_scope=EVERYTHING&amp;vid=01CRU&amp;lang=en_US&amp;offset=0&amp;query=any,contains,991003363279702656","Catalog Record")</f>
        <v>Catalog Record</v>
      </c>
      <c r="AT1614" s="6" t="str">
        <f>HYPERLINK("http://www.worldcat.org/oclc/899393","WorldCat Record")</f>
        <v>WorldCat Record</v>
      </c>
      <c r="AU1614" s="3" t="s">
        <v>20571</v>
      </c>
      <c r="AV1614" s="3" t="s">
        <v>20572</v>
      </c>
      <c r="AW1614" s="3" t="s">
        <v>20573</v>
      </c>
      <c r="AX1614" s="3" t="s">
        <v>20573</v>
      </c>
      <c r="AY1614" s="3" t="s">
        <v>20574</v>
      </c>
      <c r="AZ1614" s="3" t="s">
        <v>74</v>
      </c>
      <c r="BC1614" s="3" t="s">
        <v>20575</v>
      </c>
      <c r="BD1614" s="3" t="s">
        <v>20576</v>
      </c>
    </row>
    <row r="1615" spans="1:56" ht="42.75" customHeight="1" x14ac:dyDescent="0.25">
      <c r="A1615" s="7" t="s">
        <v>58</v>
      </c>
      <c r="B1615" s="2" t="s">
        <v>20577</v>
      </c>
      <c r="C1615" s="2" t="s">
        <v>20578</v>
      </c>
      <c r="D1615" s="2" t="s">
        <v>20579</v>
      </c>
      <c r="F1615" s="3" t="s">
        <v>58</v>
      </c>
      <c r="G1615" s="3" t="s">
        <v>59</v>
      </c>
      <c r="H1615" s="3" t="s">
        <v>58</v>
      </c>
      <c r="I1615" s="3" t="s">
        <v>58</v>
      </c>
      <c r="J1615" s="3" t="s">
        <v>60</v>
      </c>
      <c r="K1615" s="2" t="s">
        <v>20580</v>
      </c>
      <c r="L1615" s="2" t="s">
        <v>20581</v>
      </c>
      <c r="M1615" s="3" t="s">
        <v>223</v>
      </c>
      <c r="O1615" s="3" t="s">
        <v>64</v>
      </c>
      <c r="P1615" s="3" t="s">
        <v>65</v>
      </c>
      <c r="R1615" s="3" t="s">
        <v>67</v>
      </c>
      <c r="S1615" s="4">
        <v>2</v>
      </c>
      <c r="T1615" s="4">
        <v>2</v>
      </c>
      <c r="U1615" s="5" t="s">
        <v>2478</v>
      </c>
      <c r="V1615" s="5" t="s">
        <v>2478</v>
      </c>
      <c r="W1615" s="5" t="s">
        <v>69</v>
      </c>
      <c r="X1615" s="5" t="s">
        <v>69</v>
      </c>
      <c r="Y1615" s="4">
        <v>156</v>
      </c>
      <c r="Z1615" s="4">
        <v>70</v>
      </c>
      <c r="AA1615" s="4">
        <v>78</v>
      </c>
      <c r="AB1615" s="4">
        <v>1</v>
      </c>
      <c r="AC1615" s="4">
        <v>1</v>
      </c>
      <c r="AD1615" s="4">
        <v>0</v>
      </c>
      <c r="AE1615" s="4">
        <v>0</v>
      </c>
      <c r="AF1615" s="4">
        <v>0</v>
      </c>
      <c r="AG1615" s="4">
        <v>0</v>
      </c>
      <c r="AH1615" s="4">
        <v>0</v>
      </c>
      <c r="AI1615" s="4">
        <v>0</v>
      </c>
      <c r="AJ1615" s="4">
        <v>0</v>
      </c>
      <c r="AK1615" s="4">
        <v>0</v>
      </c>
      <c r="AL1615" s="4">
        <v>0</v>
      </c>
      <c r="AM1615" s="4">
        <v>0</v>
      </c>
      <c r="AN1615" s="4">
        <v>0</v>
      </c>
      <c r="AO1615" s="4">
        <v>0</v>
      </c>
      <c r="AP1615" s="3" t="s">
        <v>58</v>
      </c>
      <c r="AQ1615" s="3" t="s">
        <v>86</v>
      </c>
      <c r="AR1615" s="6" t="str">
        <f>HYPERLINK("http://catalog.hathitrust.org/Record/000699788","HathiTrust Record")</f>
        <v>HathiTrust Record</v>
      </c>
      <c r="AS1615" s="6" t="str">
        <f>HYPERLINK("https://creighton-primo.hosted.exlibrisgroup.com/primo-explore/search?tab=default_tab&amp;search_scope=EVERYTHING&amp;vid=01CRU&amp;lang=en_US&amp;offset=0&amp;query=any,contains,991004634569702656","Catalog Record")</f>
        <v>Catalog Record</v>
      </c>
      <c r="AT1615" s="6" t="str">
        <f>HYPERLINK("http://www.worldcat.org/oclc/4399239","WorldCat Record")</f>
        <v>WorldCat Record</v>
      </c>
      <c r="AU1615" s="3" t="s">
        <v>20582</v>
      </c>
      <c r="AV1615" s="3" t="s">
        <v>20583</v>
      </c>
      <c r="AW1615" s="3" t="s">
        <v>20584</v>
      </c>
      <c r="AX1615" s="3" t="s">
        <v>20584</v>
      </c>
      <c r="AY1615" s="3" t="s">
        <v>20585</v>
      </c>
      <c r="AZ1615" s="3" t="s">
        <v>74</v>
      </c>
      <c r="BB1615" s="3" t="s">
        <v>20586</v>
      </c>
      <c r="BC1615" s="3" t="s">
        <v>20587</v>
      </c>
      <c r="BD1615" s="3" t="s">
        <v>20588</v>
      </c>
    </row>
    <row r="1616" spans="1:56" ht="42.75" customHeight="1" x14ac:dyDescent="0.25">
      <c r="A1616" s="7" t="s">
        <v>58</v>
      </c>
      <c r="B1616" s="2" t="s">
        <v>20589</v>
      </c>
      <c r="C1616" s="2" t="s">
        <v>20590</v>
      </c>
      <c r="D1616" s="2" t="s">
        <v>20591</v>
      </c>
      <c r="F1616" s="3" t="s">
        <v>58</v>
      </c>
      <c r="G1616" s="3" t="s">
        <v>59</v>
      </c>
      <c r="H1616" s="3" t="s">
        <v>58</v>
      </c>
      <c r="I1616" s="3" t="s">
        <v>58</v>
      </c>
      <c r="J1616" s="3" t="s">
        <v>60</v>
      </c>
      <c r="K1616" s="2" t="s">
        <v>20592</v>
      </c>
      <c r="L1616" s="2" t="s">
        <v>20593</v>
      </c>
      <c r="M1616" s="3" t="s">
        <v>82</v>
      </c>
      <c r="O1616" s="3" t="s">
        <v>64</v>
      </c>
      <c r="P1616" s="3" t="s">
        <v>2144</v>
      </c>
      <c r="R1616" s="3" t="s">
        <v>67</v>
      </c>
      <c r="S1616" s="4">
        <v>12</v>
      </c>
      <c r="T1616" s="4">
        <v>12</v>
      </c>
      <c r="U1616" s="5" t="s">
        <v>20594</v>
      </c>
      <c r="V1616" s="5" t="s">
        <v>20594</v>
      </c>
      <c r="W1616" s="5" t="s">
        <v>1641</v>
      </c>
      <c r="X1616" s="5" t="s">
        <v>1641</v>
      </c>
      <c r="Y1616" s="4">
        <v>200</v>
      </c>
      <c r="Z1616" s="4">
        <v>187</v>
      </c>
      <c r="AA1616" s="4">
        <v>223</v>
      </c>
      <c r="AB1616" s="4">
        <v>3</v>
      </c>
      <c r="AC1616" s="4">
        <v>4</v>
      </c>
      <c r="AD1616" s="4">
        <v>5</v>
      </c>
      <c r="AE1616" s="4">
        <v>5</v>
      </c>
      <c r="AF1616" s="4">
        <v>2</v>
      </c>
      <c r="AG1616" s="4">
        <v>2</v>
      </c>
      <c r="AH1616" s="4">
        <v>1</v>
      </c>
      <c r="AI1616" s="4">
        <v>1</v>
      </c>
      <c r="AJ1616" s="4">
        <v>0</v>
      </c>
      <c r="AK1616" s="4">
        <v>0</v>
      </c>
      <c r="AL1616" s="4">
        <v>2</v>
      </c>
      <c r="AM1616" s="4">
        <v>2</v>
      </c>
      <c r="AN1616" s="4">
        <v>0</v>
      </c>
      <c r="AO1616" s="4">
        <v>0</v>
      </c>
      <c r="AP1616" s="3" t="s">
        <v>58</v>
      </c>
      <c r="AQ1616" s="3" t="s">
        <v>58</v>
      </c>
      <c r="AS1616" s="6" t="str">
        <f>HYPERLINK("https://creighton-primo.hosted.exlibrisgroup.com/primo-explore/search?tab=default_tab&amp;search_scope=EVERYTHING&amp;vid=01CRU&amp;lang=en_US&amp;offset=0&amp;query=any,contains,991001039139702656","Catalog Record")</f>
        <v>Catalog Record</v>
      </c>
      <c r="AT1616" s="6" t="str">
        <f>HYPERLINK("http://www.worldcat.org/oclc/15560597","WorldCat Record")</f>
        <v>WorldCat Record</v>
      </c>
      <c r="AU1616" s="3" t="s">
        <v>20595</v>
      </c>
      <c r="AV1616" s="3" t="s">
        <v>20596</v>
      </c>
      <c r="AW1616" s="3" t="s">
        <v>20597</v>
      </c>
      <c r="AX1616" s="3" t="s">
        <v>20597</v>
      </c>
      <c r="AY1616" s="3" t="s">
        <v>20598</v>
      </c>
      <c r="AZ1616" s="3" t="s">
        <v>74</v>
      </c>
      <c r="BB1616" s="3" t="s">
        <v>20599</v>
      </c>
      <c r="BC1616" s="3" t="s">
        <v>20600</v>
      </c>
      <c r="BD1616" s="3" t="s">
        <v>20601</v>
      </c>
    </row>
    <row r="1617" spans="1:56" ht="42.75" customHeight="1" x14ac:dyDescent="0.25">
      <c r="A1617" s="7" t="s">
        <v>58</v>
      </c>
      <c r="B1617" s="2" t="s">
        <v>20602</v>
      </c>
      <c r="C1617" s="2" t="s">
        <v>20603</v>
      </c>
      <c r="D1617" s="2" t="s">
        <v>20604</v>
      </c>
      <c r="F1617" s="3" t="s">
        <v>58</v>
      </c>
      <c r="G1617" s="3" t="s">
        <v>59</v>
      </c>
      <c r="H1617" s="3" t="s">
        <v>58</v>
      </c>
      <c r="I1617" s="3" t="s">
        <v>58</v>
      </c>
      <c r="J1617" s="3" t="s">
        <v>60</v>
      </c>
      <c r="L1617" s="2" t="s">
        <v>11601</v>
      </c>
      <c r="M1617" s="3" t="s">
        <v>2227</v>
      </c>
      <c r="O1617" s="3" t="s">
        <v>64</v>
      </c>
      <c r="P1617" s="3" t="s">
        <v>115</v>
      </c>
      <c r="R1617" s="3" t="s">
        <v>67</v>
      </c>
      <c r="S1617" s="4">
        <v>3</v>
      </c>
      <c r="T1617" s="4">
        <v>3</v>
      </c>
      <c r="U1617" s="5" t="s">
        <v>20594</v>
      </c>
      <c r="V1617" s="5" t="s">
        <v>20594</v>
      </c>
      <c r="W1617" s="5" t="s">
        <v>2584</v>
      </c>
      <c r="X1617" s="5" t="s">
        <v>2584</v>
      </c>
      <c r="Y1617" s="4">
        <v>170</v>
      </c>
      <c r="Z1617" s="4">
        <v>139</v>
      </c>
      <c r="AA1617" s="4">
        <v>140</v>
      </c>
      <c r="AB1617" s="4">
        <v>2</v>
      </c>
      <c r="AC1617" s="4">
        <v>2</v>
      </c>
      <c r="AD1617" s="4">
        <v>6</v>
      </c>
      <c r="AE1617" s="4">
        <v>6</v>
      </c>
      <c r="AF1617" s="4">
        <v>2</v>
      </c>
      <c r="AG1617" s="4">
        <v>2</v>
      </c>
      <c r="AH1617" s="4">
        <v>3</v>
      </c>
      <c r="AI1617" s="4">
        <v>3</v>
      </c>
      <c r="AJ1617" s="4">
        <v>2</v>
      </c>
      <c r="AK1617" s="4">
        <v>2</v>
      </c>
      <c r="AL1617" s="4">
        <v>1</v>
      </c>
      <c r="AM1617" s="4">
        <v>1</v>
      </c>
      <c r="AN1617" s="4">
        <v>0</v>
      </c>
      <c r="AO1617" s="4">
        <v>0</v>
      </c>
      <c r="AP1617" s="3" t="s">
        <v>58</v>
      </c>
      <c r="AQ1617" s="3" t="s">
        <v>86</v>
      </c>
      <c r="AR1617" s="6" t="str">
        <f>HYPERLINK("http://catalog.hathitrust.org/Record/000414280","HathiTrust Record")</f>
        <v>HathiTrust Record</v>
      </c>
      <c r="AS1617" s="6" t="str">
        <f>HYPERLINK("https://creighton-primo.hosted.exlibrisgroup.com/primo-explore/search?tab=default_tab&amp;search_scope=EVERYTHING&amp;vid=01CRU&amp;lang=en_US&amp;offset=0&amp;query=any,contains,991000506489702656","Catalog Record")</f>
        <v>Catalog Record</v>
      </c>
      <c r="AT1617" s="6" t="str">
        <f>HYPERLINK("http://www.worldcat.org/oclc/11211422","WorldCat Record")</f>
        <v>WorldCat Record</v>
      </c>
      <c r="AU1617" s="3" t="s">
        <v>20605</v>
      </c>
      <c r="AV1617" s="3" t="s">
        <v>20606</v>
      </c>
      <c r="AW1617" s="3" t="s">
        <v>20607</v>
      </c>
      <c r="AX1617" s="3" t="s">
        <v>20607</v>
      </c>
      <c r="AY1617" s="3" t="s">
        <v>20608</v>
      </c>
      <c r="AZ1617" s="3" t="s">
        <v>74</v>
      </c>
      <c r="BB1617" s="3" t="s">
        <v>20609</v>
      </c>
      <c r="BC1617" s="3" t="s">
        <v>20610</v>
      </c>
      <c r="BD1617" s="3" t="s">
        <v>20611</v>
      </c>
    </row>
    <row r="1618" spans="1:56" ht="42.75" customHeight="1" x14ac:dyDescent="0.25">
      <c r="A1618" s="7" t="s">
        <v>58</v>
      </c>
      <c r="B1618" s="2" t="s">
        <v>20612</v>
      </c>
      <c r="C1618" s="2" t="s">
        <v>20613</v>
      </c>
      <c r="D1618" s="2" t="s">
        <v>20614</v>
      </c>
      <c r="F1618" s="3" t="s">
        <v>58</v>
      </c>
      <c r="G1618" s="3" t="s">
        <v>59</v>
      </c>
      <c r="H1618" s="3" t="s">
        <v>58</v>
      </c>
      <c r="I1618" s="3" t="s">
        <v>58</v>
      </c>
      <c r="J1618" s="3" t="s">
        <v>60</v>
      </c>
      <c r="K1618" s="2" t="s">
        <v>20615</v>
      </c>
      <c r="L1618" s="2" t="s">
        <v>20616</v>
      </c>
      <c r="M1618" s="3" t="s">
        <v>3914</v>
      </c>
      <c r="O1618" s="3" t="s">
        <v>64</v>
      </c>
      <c r="P1618" s="3" t="s">
        <v>208</v>
      </c>
      <c r="R1618" s="3" t="s">
        <v>67</v>
      </c>
      <c r="S1618" s="4">
        <v>1</v>
      </c>
      <c r="T1618" s="4">
        <v>1</v>
      </c>
      <c r="U1618" s="5" t="s">
        <v>10571</v>
      </c>
      <c r="V1618" s="5" t="s">
        <v>10571</v>
      </c>
      <c r="W1618" s="5" t="s">
        <v>20617</v>
      </c>
      <c r="X1618" s="5" t="s">
        <v>20617</v>
      </c>
      <c r="Y1618" s="4">
        <v>356</v>
      </c>
      <c r="Z1618" s="4">
        <v>286</v>
      </c>
      <c r="AA1618" s="4">
        <v>286</v>
      </c>
      <c r="AB1618" s="4">
        <v>2</v>
      </c>
      <c r="AC1618" s="4">
        <v>2</v>
      </c>
      <c r="AD1618" s="4">
        <v>14</v>
      </c>
      <c r="AE1618" s="4">
        <v>14</v>
      </c>
      <c r="AF1618" s="4">
        <v>3</v>
      </c>
      <c r="AG1618" s="4">
        <v>3</v>
      </c>
      <c r="AH1618" s="4">
        <v>5</v>
      </c>
      <c r="AI1618" s="4">
        <v>5</v>
      </c>
      <c r="AJ1618" s="4">
        <v>8</v>
      </c>
      <c r="AK1618" s="4">
        <v>8</v>
      </c>
      <c r="AL1618" s="4">
        <v>1</v>
      </c>
      <c r="AM1618" s="4">
        <v>1</v>
      </c>
      <c r="AN1618" s="4">
        <v>0</v>
      </c>
      <c r="AO1618" s="4">
        <v>0</v>
      </c>
      <c r="AP1618" s="3" t="s">
        <v>58</v>
      </c>
      <c r="AQ1618" s="3" t="s">
        <v>58</v>
      </c>
      <c r="AS1618" s="6" t="str">
        <f>HYPERLINK("https://creighton-primo.hosted.exlibrisgroup.com/primo-explore/search?tab=default_tab&amp;search_scope=EVERYTHING&amp;vid=01CRU&amp;lang=en_US&amp;offset=0&amp;query=any,contains,991004157429702656","Catalog Record")</f>
        <v>Catalog Record</v>
      </c>
      <c r="AT1618" s="6" t="str">
        <f>HYPERLINK("http://www.worldcat.org/oclc/2542428","WorldCat Record")</f>
        <v>WorldCat Record</v>
      </c>
      <c r="AU1618" s="3" t="s">
        <v>20618</v>
      </c>
      <c r="AV1618" s="3" t="s">
        <v>20619</v>
      </c>
      <c r="AW1618" s="3" t="s">
        <v>20620</v>
      </c>
      <c r="AX1618" s="3" t="s">
        <v>20620</v>
      </c>
      <c r="AY1618" s="3" t="s">
        <v>20621</v>
      </c>
      <c r="AZ1618" s="3" t="s">
        <v>74</v>
      </c>
      <c r="BB1618" s="3" t="s">
        <v>20622</v>
      </c>
      <c r="BC1618" s="3" t="s">
        <v>20623</v>
      </c>
      <c r="BD1618" s="3" t="s">
        <v>20624</v>
      </c>
    </row>
    <row r="1619" spans="1:56" ht="42.75" customHeight="1" x14ac:dyDescent="0.25">
      <c r="A1619" s="7" t="s">
        <v>58</v>
      </c>
      <c r="B1619" s="2" t="s">
        <v>20625</v>
      </c>
      <c r="C1619" s="2" t="s">
        <v>20626</v>
      </c>
      <c r="D1619" s="2" t="s">
        <v>20627</v>
      </c>
      <c r="F1619" s="3" t="s">
        <v>58</v>
      </c>
      <c r="G1619" s="3" t="s">
        <v>59</v>
      </c>
      <c r="H1619" s="3" t="s">
        <v>58</v>
      </c>
      <c r="I1619" s="3" t="s">
        <v>58</v>
      </c>
      <c r="J1619" s="3" t="s">
        <v>60</v>
      </c>
      <c r="K1619" s="2" t="s">
        <v>20628</v>
      </c>
      <c r="L1619" s="2" t="s">
        <v>11971</v>
      </c>
      <c r="M1619" s="3" t="s">
        <v>695</v>
      </c>
      <c r="N1619" s="2" t="s">
        <v>1736</v>
      </c>
      <c r="O1619" s="3" t="s">
        <v>64</v>
      </c>
      <c r="P1619" s="3" t="s">
        <v>145</v>
      </c>
      <c r="R1619" s="3" t="s">
        <v>67</v>
      </c>
      <c r="S1619" s="4">
        <v>5</v>
      </c>
      <c r="T1619" s="4">
        <v>5</v>
      </c>
      <c r="U1619" s="5" t="s">
        <v>15122</v>
      </c>
      <c r="V1619" s="5" t="s">
        <v>15122</v>
      </c>
      <c r="W1619" s="5" t="s">
        <v>20629</v>
      </c>
      <c r="X1619" s="5" t="s">
        <v>20629</v>
      </c>
      <c r="Y1619" s="4">
        <v>312</v>
      </c>
      <c r="Z1619" s="4">
        <v>256</v>
      </c>
      <c r="AA1619" s="4">
        <v>340</v>
      </c>
      <c r="AB1619" s="4">
        <v>1</v>
      </c>
      <c r="AC1619" s="4">
        <v>2</v>
      </c>
      <c r="AD1619" s="4">
        <v>14</v>
      </c>
      <c r="AE1619" s="4">
        <v>20</v>
      </c>
      <c r="AF1619" s="4">
        <v>3</v>
      </c>
      <c r="AG1619" s="4">
        <v>5</v>
      </c>
      <c r="AH1619" s="4">
        <v>6</v>
      </c>
      <c r="AI1619" s="4">
        <v>7</v>
      </c>
      <c r="AJ1619" s="4">
        <v>9</v>
      </c>
      <c r="AK1619" s="4">
        <v>11</v>
      </c>
      <c r="AL1619" s="4">
        <v>0</v>
      </c>
      <c r="AM1619" s="4">
        <v>1</v>
      </c>
      <c r="AN1619" s="4">
        <v>0</v>
      </c>
      <c r="AO1619" s="4">
        <v>0</v>
      </c>
      <c r="AP1619" s="3" t="s">
        <v>58</v>
      </c>
      <c r="AQ1619" s="3" t="s">
        <v>58</v>
      </c>
      <c r="AS1619" s="6" t="str">
        <f>HYPERLINK("https://creighton-primo.hosted.exlibrisgroup.com/primo-explore/search?tab=default_tab&amp;search_scope=EVERYTHING&amp;vid=01CRU&amp;lang=en_US&amp;offset=0&amp;query=any,contains,991002159739702656","Catalog Record")</f>
        <v>Catalog Record</v>
      </c>
      <c r="AT1619" s="6" t="str">
        <f>HYPERLINK("http://www.worldcat.org/oclc/27812757","WorldCat Record")</f>
        <v>WorldCat Record</v>
      </c>
      <c r="AU1619" s="3" t="s">
        <v>20630</v>
      </c>
      <c r="AV1619" s="3" t="s">
        <v>20631</v>
      </c>
      <c r="AW1619" s="3" t="s">
        <v>20632</v>
      </c>
      <c r="AX1619" s="3" t="s">
        <v>20632</v>
      </c>
      <c r="AY1619" s="3" t="s">
        <v>20633</v>
      </c>
      <c r="AZ1619" s="3" t="s">
        <v>74</v>
      </c>
      <c r="BB1619" s="3" t="s">
        <v>20634</v>
      </c>
      <c r="BC1619" s="3" t="s">
        <v>20635</v>
      </c>
      <c r="BD1619" s="3" t="s">
        <v>20636</v>
      </c>
    </row>
    <row r="1620" spans="1:56" ht="42.75" customHeight="1" x14ac:dyDescent="0.25">
      <c r="A1620" s="7" t="s">
        <v>58</v>
      </c>
      <c r="B1620" s="2" t="s">
        <v>20637</v>
      </c>
      <c r="C1620" s="2" t="s">
        <v>20638</v>
      </c>
      <c r="D1620" s="2" t="s">
        <v>20639</v>
      </c>
      <c r="F1620" s="3" t="s">
        <v>58</v>
      </c>
      <c r="G1620" s="3" t="s">
        <v>59</v>
      </c>
      <c r="H1620" s="3" t="s">
        <v>58</v>
      </c>
      <c r="I1620" s="3" t="s">
        <v>58</v>
      </c>
      <c r="J1620" s="3" t="s">
        <v>60</v>
      </c>
      <c r="L1620" s="2" t="s">
        <v>20640</v>
      </c>
      <c r="M1620" s="3" t="s">
        <v>642</v>
      </c>
      <c r="O1620" s="3" t="s">
        <v>64</v>
      </c>
      <c r="P1620" s="3" t="s">
        <v>145</v>
      </c>
      <c r="R1620" s="3" t="s">
        <v>67</v>
      </c>
      <c r="S1620" s="4">
        <v>19</v>
      </c>
      <c r="T1620" s="4">
        <v>19</v>
      </c>
      <c r="U1620" s="5" t="s">
        <v>15122</v>
      </c>
      <c r="V1620" s="5" t="s">
        <v>15122</v>
      </c>
      <c r="W1620" s="5" t="s">
        <v>5930</v>
      </c>
      <c r="X1620" s="5" t="s">
        <v>5930</v>
      </c>
      <c r="Y1620" s="4">
        <v>276</v>
      </c>
      <c r="Z1620" s="4">
        <v>236</v>
      </c>
      <c r="AA1620" s="4">
        <v>328</v>
      </c>
      <c r="AB1620" s="4">
        <v>1</v>
      </c>
      <c r="AC1620" s="4">
        <v>2</v>
      </c>
      <c r="AD1620" s="4">
        <v>10</v>
      </c>
      <c r="AE1620" s="4">
        <v>15</v>
      </c>
      <c r="AF1620" s="4">
        <v>3</v>
      </c>
      <c r="AG1620" s="4">
        <v>5</v>
      </c>
      <c r="AH1620" s="4">
        <v>4</v>
      </c>
      <c r="AI1620" s="4">
        <v>4</v>
      </c>
      <c r="AJ1620" s="4">
        <v>7</v>
      </c>
      <c r="AK1620" s="4">
        <v>9</v>
      </c>
      <c r="AL1620" s="4">
        <v>0</v>
      </c>
      <c r="AM1620" s="4">
        <v>1</v>
      </c>
      <c r="AN1620" s="4">
        <v>0</v>
      </c>
      <c r="AO1620" s="4">
        <v>0</v>
      </c>
      <c r="AP1620" s="3" t="s">
        <v>58</v>
      </c>
      <c r="AQ1620" s="3" t="s">
        <v>58</v>
      </c>
      <c r="AS1620" s="6" t="str">
        <f>HYPERLINK("https://creighton-primo.hosted.exlibrisgroup.com/primo-explore/search?tab=default_tab&amp;search_scope=EVERYTHING&amp;vid=01CRU&amp;lang=en_US&amp;offset=0&amp;query=any,contains,991001966619702656","Catalog Record")</f>
        <v>Catalog Record</v>
      </c>
      <c r="AT1620" s="6" t="str">
        <f>HYPERLINK("http://www.worldcat.org/oclc/24912969","WorldCat Record")</f>
        <v>WorldCat Record</v>
      </c>
      <c r="AU1620" s="3" t="s">
        <v>20641</v>
      </c>
      <c r="AV1620" s="3" t="s">
        <v>20642</v>
      </c>
      <c r="AW1620" s="3" t="s">
        <v>20643</v>
      </c>
      <c r="AX1620" s="3" t="s">
        <v>20643</v>
      </c>
      <c r="AY1620" s="3" t="s">
        <v>20644</v>
      </c>
      <c r="AZ1620" s="3" t="s">
        <v>74</v>
      </c>
      <c r="BB1620" s="3" t="s">
        <v>20645</v>
      </c>
      <c r="BC1620" s="3" t="s">
        <v>20646</v>
      </c>
      <c r="BD1620" s="3" t="s">
        <v>20647</v>
      </c>
    </row>
    <row r="1621" spans="1:56" ht="42.75" customHeight="1" x14ac:dyDescent="0.25">
      <c r="A1621" s="7" t="s">
        <v>58</v>
      </c>
      <c r="B1621" s="2" t="s">
        <v>20648</v>
      </c>
      <c r="C1621" s="2" t="s">
        <v>20649</v>
      </c>
      <c r="D1621" s="2" t="s">
        <v>20650</v>
      </c>
      <c r="F1621" s="3" t="s">
        <v>58</v>
      </c>
      <c r="G1621" s="3" t="s">
        <v>59</v>
      </c>
      <c r="H1621" s="3" t="s">
        <v>58</v>
      </c>
      <c r="I1621" s="3" t="s">
        <v>58</v>
      </c>
      <c r="J1621" s="3" t="s">
        <v>60</v>
      </c>
      <c r="L1621" s="2" t="s">
        <v>12137</v>
      </c>
      <c r="M1621" s="3" t="s">
        <v>642</v>
      </c>
      <c r="O1621" s="3" t="s">
        <v>64</v>
      </c>
      <c r="P1621" s="3" t="s">
        <v>145</v>
      </c>
      <c r="R1621" s="3" t="s">
        <v>67</v>
      </c>
      <c r="S1621" s="4">
        <v>16</v>
      </c>
      <c r="T1621" s="4">
        <v>16</v>
      </c>
      <c r="U1621" s="5" t="s">
        <v>7760</v>
      </c>
      <c r="V1621" s="5" t="s">
        <v>7760</v>
      </c>
      <c r="W1621" s="5" t="s">
        <v>5930</v>
      </c>
      <c r="X1621" s="5" t="s">
        <v>5930</v>
      </c>
      <c r="Y1621" s="4">
        <v>469</v>
      </c>
      <c r="Z1621" s="4">
        <v>367</v>
      </c>
      <c r="AA1621" s="4">
        <v>438</v>
      </c>
      <c r="AB1621" s="4">
        <v>2</v>
      </c>
      <c r="AC1621" s="4">
        <v>3</v>
      </c>
      <c r="AD1621" s="4">
        <v>17</v>
      </c>
      <c r="AE1621" s="4">
        <v>22</v>
      </c>
      <c r="AF1621" s="4">
        <v>6</v>
      </c>
      <c r="AG1621" s="4">
        <v>8</v>
      </c>
      <c r="AH1621" s="4">
        <v>5</v>
      </c>
      <c r="AI1621" s="4">
        <v>5</v>
      </c>
      <c r="AJ1621" s="4">
        <v>10</v>
      </c>
      <c r="AK1621" s="4">
        <v>12</v>
      </c>
      <c r="AL1621" s="4">
        <v>1</v>
      </c>
      <c r="AM1621" s="4">
        <v>2</v>
      </c>
      <c r="AN1621" s="4">
        <v>0</v>
      </c>
      <c r="AO1621" s="4">
        <v>0</v>
      </c>
      <c r="AP1621" s="3" t="s">
        <v>58</v>
      </c>
      <c r="AQ1621" s="3" t="s">
        <v>58</v>
      </c>
      <c r="AS1621" s="6" t="str">
        <f>HYPERLINK("https://creighton-primo.hosted.exlibrisgroup.com/primo-explore/search?tab=default_tab&amp;search_scope=EVERYTHING&amp;vid=01CRU&amp;lang=en_US&amp;offset=0&amp;query=any,contains,991002008549702656","Catalog Record")</f>
        <v>Catalog Record</v>
      </c>
      <c r="AT1621" s="6" t="str">
        <f>HYPERLINK("http://www.worldcat.org/oclc/25546212","WorldCat Record")</f>
        <v>WorldCat Record</v>
      </c>
      <c r="AU1621" s="3" t="s">
        <v>20651</v>
      </c>
      <c r="AV1621" s="3" t="s">
        <v>20652</v>
      </c>
      <c r="AW1621" s="3" t="s">
        <v>20653</v>
      </c>
      <c r="AX1621" s="3" t="s">
        <v>20653</v>
      </c>
      <c r="AY1621" s="3" t="s">
        <v>20654</v>
      </c>
      <c r="AZ1621" s="3" t="s">
        <v>74</v>
      </c>
      <c r="BB1621" s="3" t="s">
        <v>20655</v>
      </c>
      <c r="BC1621" s="3" t="s">
        <v>20656</v>
      </c>
      <c r="BD1621" s="3" t="s">
        <v>20657</v>
      </c>
    </row>
    <row r="1622" spans="1:56" ht="42.75" customHeight="1" x14ac:dyDescent="0.25">
      <c r="A1622" s="7" t="s">
        <v>58</v>
      </c>
      <c r="B1622" s="2" t="s">
        <v>20658</v>
      </c>
      <c r="C1622" s="2" t="s">
        <v>20659</v>
      </c>
      <c r="D1622" s="2" t="s">
        <v>20660</v>
      </c>
      <c r="F1622" s="3" t="s">
        <v>58</v>
      </c>
      <c r="G1622" s="3" t="s">
        <v>59</v>
      </c>
      <c r="H1622" s="3" t="s">
        <v>86</v>
      </c>
      <c r="I1622" s="3" t="s">
        <v>58</v>
      </c>
      <c r="J1622" s="3" t="s">
        <v>60</v>
      </c>
      <c r="L1622" s="2" t="s">
        <v>8649</v>
      </c>
      <c r="M1622" s="3" t="s">
        <v>371</v>
      </c>
      <c r="O1622" s="3" t="s">
        <v>64</v>
      </c>
      <c r="P1622" s="3" t="s">
        <v>115</v>
      </c>
      <c r="Q1622" s="2" t="s">
        <v>7746</v>
      </c>
      <c r="R1622" s="3" t="s">
        <v>67</v>
      </c>
      <c r="S1622" s="4">
        <v>5</v>
      </c>
      <c r="T1622" s="4">
        <v>5</v>
      </c>
      <c r="U1622" s="5" t="s">
        <v>15122</v>
      </c>
      <c r="V1622" s="5" t="s">
        <v>15122</v>
      </c>
      <c r="W1622" s="5" t="s">
        <v>1723</v>
      </c>
      <c r="X1622" s="5" t="s">
        <v>1723</v>
      </c>
      <c r="Y1622" s="4">
        <v>405</v>
      </c>
      <c r="Z1622" s="4">
        <v>333</v>
      </c>
      <c r="AA1622" s="4">
        <v>335</v>
      </c>
      <c r="AB1622" s="4">
        <v>5</v>
      </c>
      <c r="AC1622" s="4">
        <v>5</v>
      </c>
      <c r="AD1622" s="4">
        <v>17</v>
      </c>
      <c r="AE1622" s="4">
        <v>17</v>
      </c>
      <c r="AF1622" s="4">
        <v>3</v>
      </c>
      <c r="AG1622" s="4">
        <v>3</v>
      </c>
      <c r="AH1622" s="4">
        <v>6</v>
      </c>
      <c r="AI1622" s="4">
        <v>6</v>
      </c>
      <c r="AJ1622" s="4">
        <v>9</v>
      </c>
      <c r="AK1622" s="4">
        <v>9</v>
      </c>
      <c r="AL1622" s="4">
        <v>3</v>
      </c>
      <c r="AM1622" s="4">
        <v>3</v>
      </c>
      <c r="AN1622" s="4">
        <v>0</v>
      </c>
      <c r="AO1622" s="4">
        <v>0</v>
      </c>
      <c r="AP1622" s="3" t="s">
        <v>58</v>
      </c>
      <c r="AQ1622" s="3" t="s">
        <v>86</v>
      </c>
      <c r="AR1622" s="6" t="str">
        <f>HYPERLINK("http://catalog.hathitrust.org/Record/000477004","HathiTrust Record")</f>
        <v>HathiTrust Record</v>
      </c>
      <c r="AS1622" s="6" t="str">
        <f>HYPERLINK("https://creighton-primo.hosted.exlibrisgroup.com/primo-explore/search?tab=default_tab&amp;search_scope=EVERYTHING&amp;vid=01CRU&amp;lang=en_US&amp;offset=0&amp;query=any,contains,991000688039702656","Catalog Record")</f>
        <v>Catalog Record</v>
      </c>
      <c r="AT1622" s="6" t="str">
        <f>HYPERLINK("http://www.worldcat.org/oclc/12422136","WorldCat Record")</f>
        <v>WorldCat Record</v>
      </c>
      <c r="AU1622" s="3" t="s">
        <v>20661</v>
      </c>
      <c r="AV1622" s="3" t="s">
        <v>20662</v>
      </c>
      <c r="AW1622" s="3" t="s">
        <v>20663</v>
      </c>
      <c r="AX1622" s="3" t="s">
        <v>20663</v>
      </c>
      <c r="AY1622" s="3" t="s">
        <v>20664</v>
      </c>
      <c r="AZ1622" s="3" t="s">
        <v>74</v>
      </c>
      <c r="BB1622" s="3" t="s">
        <v>20665</v>
      </c>
      <c r="BC1622" s="3" t="s">
        <v>20666</v>
      </c>
      <c r="BD1622" s="3" t="s">
        <v>20667</v>
      </c>
    </row>
    <row r="1623" spans="1:56" ht="42.75" customHeight="1" x14ac:dyDescent="0.25">
      <c r="A1623" s="7" t="s">
        <v>58</v>
      </c>
      <c r="B1623" s="2" t="s">
        <v>20668</v>
      </c>
      <c r="C1623" s="2" t="s">
        <v>20669</v>
      </c>
      <c r="D1623" s="2" t="s">
        <v>20670</v>
      </c>
      <c r="F1623" s="3" t="s">
        <v>58</v>
      </c>
      <c r="G1623" s="3" t="s">
        <v>59</v>
      </c>
      <c r="H1623" s="3" t="s">
        <v>86</v>
      </c>
      <c r="I1623" s="3" t="s">
        <v>58</v>
      </c>
      <c r="J1623" s="3" t="s">
        <v>60</v>
      </c>
      <c r="K1623" s="2" t="s">
        <v>20671</v>
      </c>
      <c r="L1623" s="2" t="s">
        <v>13979</v>
      </c>
      <c r="M1623" s="3" t="s">
        <v>82</v>
      </c>
      <c r="O1623" s="3" t="s">
        <v>64</v>
      </c>
      <c r="P1623" s="3" t="s">
        <v>115</v>
      </c>
      <c r="R1623" s="3" t="s">
        <v>67</v>
      </c>
      <c r="S1623" s="4">
        <v>10</v>
      </c>
      <c r="T1623" s="4">
        <v>10</v>
      </c>
      <c r="U1623" s="5" t="s">
        <v>20594</v>
      </c>
      <c r="V1623" s="5" t="s">
        <v>20594</v>
      </c>
      <c r="W1623" s="5" t="s">
        <v>1723</v>
      </c>
      <c r="X1623" s="5" t="s">
        <v>1723</v>
      </c>
      <c r="Y1623" s="4">
        <v>420</v>
      </c>
      <c r="Z1623" s="4">
        <v>345</v>
      </c>
      <c r="AA1623" s="4">
        <v>347</v>
      </c>
      <c r="AB1623" s="4">
        <v>5</v>
      </c>
      <c r="AC1623" s="4">
        <v>5</v>
      </c>
      <c r="AD1623" s="4">
        <v>16</v>
      </c>
      <c r="AE1623" s="4">
        <v>16</v>
      </c>
      <c r="AF1623" s="4">
        <v>3</v>
      </c>
      <c r="AG1623" s="4">
        <v>3</v>
      </c>
      <c r="AH1623" s="4">
        <v>4</v>
      </c>
      <c r="AI1623" s="4">
        <v>4</v>
      </c>
      <c r="AJ1623" s="4">
        <v>8</v>
      </c>
      <c r="AK1623" s="4">
        <v>8</v>
      </c>
      <c r="AL1623" s="4">
        <v>3</v>
      </c>
      <c r="AM1623" s="4">
        <v>3</v>
      </c>
      <c r="AN1623" s="4">
        <v>0</v>
      </c>
      <c r="AO1623" s="4">
        <v>0</v>
      </c>
      <c r="AP1623" s="3" t="s">
        <v>58</v>
      </c>
      <c r="AQ1623" s="3" t="s">
        <v>86</v>
      </c>
      <c r="AR1623" s="6" t="str">
        <f>HYPERLINK("http://catalog.hathitrust.org/Record/000595453","HathiTrust Record")</f>
        <v>HathiTrust Record</v>
      </c>
      <c r="AS1623" s="6" t="str">
        <f>HYPERLINK("https://creighton-primo.hosted.exlibrisgroup.com/primo-explore/search?tab=default_tab&amp;search_scope=EVERYTHING&amp;vid=01CRU&amp;lang=en_US&amp;offset=0&amp;query=any,contains,991000905849702656","Catalog Record")</f>
        <v>Catalog Record</v>
      </c>
      <c r="AT1623" s="6" t="str">
        <f>HYPERLINK("http://www.worldcat.org/oclc/14098310","WorldCat Record")</f>
        <v>WorldCat Record</v>
      </c>
      <c r="AU1623" s="3" t="s">
        <v>20672</v>
      </c>
      <c r="AV1623" s="3" t="s">
        <v>20673</v>
      </c>
      <c r="AW1623" s="3" t="s">
        <v>20674</v>
      </c>
      <c r="AX1623" s="3" t="s">
        <v>20674</v>
      </c>
      <c r="AY1623" s="3" t="s">
        <v>20675</v>
      </c>
      <c r="AZ1623" s="3" t="s">
        <v>74</v>
      </c>
      <c r="BB1623" s="3" t="s">
        <v>20676</v>
      </c>
      <c r="BC1623" s="3" t="s">
        <v>20677</v>
      </c>
      <c r="BD1623" s="3" t="s">
        <v>20678</v>
      </c>
    </row>
    <row r="1624" spans="1:56" ht="42.75" customHeight="1" x14ac:dyDescent="0.25">
      <c r="A1624" s="7" t="s">
        <v>58</v>
      </c>
      <c r="B1624" s="2" t="s">
        <v>20679</v>
      </c>
      <c r="C1624" s="2" t="s">
        <v>20680</v>
      </c>
      <c r="D1624" s="2" t="s">
        <v>20681</v>
      </c>
      <c r="F1624" s="3" t="s">
        <v>58</v>
      </c>
      <c r="G1624" s="3" t="s">
        <v>59</v>
      </c>
      <c r="H1624" s="3" t="s">
        <v>58</v>
      </c>
      <c r="I1624" s="3" t="s">
        <v>58</v>
      </c>
      <c r="J1624" s="3" t="s">
        <v>60</v>
      </c>
      <c r="L1624" s="2" t="s">
        <v>20682</v>
      </c>
      <c r="M1624" s="3" t="s">
        <v>1574</v>
      </c>
      <c r="O1624" s="3" t="s">
        <v>64</v>
      </c>
      <c r="P1624" s="3" t="s">
        <v>115</v>
      </c>
      <c r="R1624" s="3" t="s">
        <v>67</v>
      </c>
      <c r="S1624" s="4">
        <v>1</v>
      </c>
      <c r="T1624" s="4">
        <v>1</v>
      </c>
      <c r="U1624" s="5" t="s">
        <v>20683</v>
      </c>
      <c r="V1624" s="5" t="s">
        <v>20683</v>
      </c>
      <c r="W1624" s="5" t="s">
        <v>1723</v>
      </c>
      <c r="X1624" s="5" t="s">
        <v>1723</v>
      </c>
      <c r="Y1624" s="4">
        <v>37</v>
      </c>
      <c r="Z1624" s="4">
        <v>34</v>
      </c>
      <c r="AA1624" s="4">
        <v>34</v>
      </c>
      <c r="AB1624" s="4">
        <v>1</v>
      </c>
      <c r="AC1624" s="4">
        <v>1</v>
      </c>
      <c r="AD1624" s="4">
        <v>0</v>
      </c>
      <c r="AE1624" s="4">
        <v>0</v>
      </c>
      <c r="AF1624" s="4">
        <v>0</v>
      </c>
      <c r="AG1624" s="4">
        <v>0</v>
      </c>
      <c r="AH1624" s="4">
        <v>0</v>
      </c>
      <c r="AI1624" s="4">
        <v>0</v>
      </c>
      <c r="AJ1624" s="4">
        <v>0</v>
      </c>
      <c r="AK1624" s="4">
        <v>0</v>
      </c>
      <c r="AL1624" s="4">
        <v>0</v>
      </c>
      <c r="AM1624" s="4">
        <v>0</v>
      </c>
      <c r="AN1624" s="4">
        <v>0</v>
      </c>
      <c r="AO1624" s="4">
        <v>0</v>
      </c>
      <c r="AP1624" s="3" t="s">
        <v>58</v>
      </c>
      <c r="AQ1624" s="3" t="s">
        <v>58</v>
      </c>
      <c r="AS1624" s="6" t="str">
        <f>HYPERLINK("https://creighton-primo.hosted.exlibrisgroup.com/primo-explore/search?tab=default_tab&amp;search_scope=EVERYTHING&amp;vid=01CRU&amp;lang=en_US&amp;offset=0&amp;query=any,contains,991000128689702656","Catalog Record")</f>
        <v>Catalog Record</v>
      </c>
      <c r="AT1624" s="6" t="str">
        <f>HYPERLINK("http://www.worldcat.org/oclc/9104377","WorldCat Record")</f>
        <v>WorldCat Record</v>
      </c>
      <c r="AU1624" s="3" t="s">
        <v>20684</v>
      </c>
      <c r="AV1624" s="3" t="s">
        <v>20685</v>
      </c>
      <c r="AW1624" s="3" t="s">
        <v>20686</v>
      </c>
      <c r="AX1624" s="3" t="s">
        <v>20686</v>
      </c>
      <c r="AY1624" s="3" t="s">
        <v>20687</v>
      </c>
      <c r="AZ1624" s="3" t="s">
        <v>74</v>
      </c>
      <c r="BC1624" s="3" t="s">
        <v>20688</v>
      </c>
      <c r="BD1624" s="3" t="s">
        <v>20689</v>
      </c>
    </row>
    <row r="1625" spans="1:56" ht="42.75" customHeight="1" x14ac:dyDescent="0.25">
      <c r="A1625" s="7" t="s">
        <v>58</v>
      </c>
      <c r="B1625" s="2" t="s">
        <v>20690</v>
      </c>
      <c r="C1625" s="2" t="s">
        <v>20691</v>
      </c>
      <c r="D1625" s="2" t="s">
        <v>20692</v>
      </c>
      <c r="F1625" s="3" t="s">
        <v>58</v>
      </c>
      <c r="G1625" s="3" t="s">
        <v>59</v>
      </c>
      <c r="H1625" s="3" t="s">
        <v>86</v>
      </c>
      <c r="I1625" s="3" t="s">
        <v>58</v>
      </c>
      <c r="J1625" s="3" t="s">
        <v>60</v>
      </c>
      <c r="L1625" s="2" t="s">
        <v>20458</v>
      </c>
      <c r="M1625" s="3" t="s">
        <v>1141</v>
      </c>
      <c r="O1625" s="3" t="s">
        <v>64</v>
      </c>
      <c r="P1625" s="3" t="s">
        <v>83</v>
      </c>
      <c r="R1625" s="3" t="s">
        <v>67</v>
      </c>
      <c r="S1625" s="4">
        <v>2</v>
      </c>
      <c r="T1625" s="4">
        <v>4</v>
      </c>
      <c r="U1625" s="5" t="s">
        <v>7378</v>
      </c>
      <c r="V1625" s="5" t="s">
        <v>2959</v>
      </c>
      <c r="W1625" s="5" t="s">
        <v>20693</v>
      </c>
      <c r="X1625" s="5" t="s">
        <v>20694</v>
      </c>
      <c r="Y1625" s="4">
        <v>250</v>
      </c>
      <c r="Z1625" s="4">
        <v>183</v>
      </c>
      <c r="AA1625" s="4">
        <v>187</v>
      </c>
      <c r="AB1625" s="4">
        <v>4</v>
      </c>
      <c r="AC1625" s="4">
        <v>4</v>
      </c>
      <c r="AD1625" s="4">
        <v>6</v>
      </c>
      <c r="AE1625" s="4">
        <v>6</v>
      </c>
      <c r="AF1625" s="4">
        <v>2</v>
      </c>
      <c r="AG1625" s="4">
        <v>2</v>
      </c>
      <c r="AH1625" s="4">
        <v>1</v>
      </c>
      <c r="AI1625" s="4">
        <v>1</v>
      </c>
      <c r="AJ1625" s="4">
        <v>4</v>
      </c>
      <c r="AK1625" s="4">
        <v>4</v>
      </c>
      <c r="AL1625" s="4">
        <v>2</v>
      </c>
      <c r="AM1625" s="4">
        <v>2</v>
      </c>
      <c r="AN1625" s="4">
        <v>0</v>
      </c>
      <c r="AO1625" s="4">
        <v>0</v>
      </c>
      <c r="AP1625" s="3" t="s">
        <v>58</v>
      </c>
      <c r="AQ1625" s="3" t="s">
        <v>58</v>
      </c>
      <c r="AS1625" s="6" t="str">
        <f>HYPERLINK("https://creighton-primo.hosted.exlibrisgroup.com/primo-explore/search?tab=default_tab&amp;search_scope=EVERYTHING&amp;vid=01CRU&amp;lang=en_US&amp;offset=0&amp;query=any,contains,991001724599702656","Catalog Record")</f>
        <v>Catalog Record</v>
      </c>
      <c r="AT1625" s="6" t="str">
        <f>HYPERLINK("http://www.worldcat.org/oclc/50510840","WorldCat Record")</f>
        <v>WorldCat Record</v>
      </c>
      <c r="AU1625" s="3" t="s">
        <v>20695</v>
      </c>
      <c r="AV1625" s="3" t="s">
        <v>20696</v>
      </c>
      <c r="AW1625" s="3" t="s">
        <v>20697</v>
      </c>
      <c r="AX1625" s="3" t="s">
        <v>20697</v>
      </c>
      <c r="AY1625" s="3" t="s">
        <v>20698</v>
      </c>
      <c r="AZ1625" s="3" t="s">
        <v>74</v>
      </c>
      <c r="BB1625" s="3" t="s">
        <v>20699</v>
      </c>
      <c r="BC1625" s="3" t="s">
        <v>20700</v>
      </c>
      <c r="BD1625" s="3" t="s">
        <v>20701</v>
      </c>
    </row>
    <row r="1626" spans="1:56" ht="42.75" customHeight="1" x14ac:dyDescent="0.25">
      <c r="A1626" s="7" t="s">
        <v>58</v>
      </c>
      <c r="B1626" s="2" t="s">
        <v>20702</v>
      </c>
      <c r="C1626" s="2" t="s">
        <v>20703</v>
      </c>
      <c r="D1626" s="2" t="s">
        <v>20704</v>
      </c>
      <c r="F1626" s="3" t="s">
        <v>58</v>
      </c>
      <c r="G1626" s="3" t="s">
        <v>59</v>
      </c>
      <c r="H1626" s="3" t="s">
        <v>58</v>
      </c>
      <c r="I1626" s="3" t="s">
        <v>58</v>
      </c>
      <c r="J1626" s="3" t="s">
        <v>60</v>
      </c>
      <c r="L1626" s="2" t="s">
        <v>20705</v>
      </c>
      <c r="M1626" s="3" t="s">
        <v>765</v>
      </c>
      <c r="O1626" s="3" t="s">
        <v>64</v>
      </c>
      <c r="P1626" s="3" t="s">
        <v>208</v>
      </c>
      <c r="R1626" s="3" t="s">
        <v>67</v>
      </c>
      <c r="S1626" s="4">
        <v>6</v>
      </c>
      <c r="T1626" s="4">
        <v>6</v>
      </c>
      <c r="U1626" s="5" t="s">
        <v>7378</v>
      </c>
      <c r="V1626" s="5" t="s">
        <v>7378</v>
      </c>
      <c r="W1626" s="5" t="s">
        <v>8809</v>
      </c>
      <c r="X1626" s="5" t="s">
        <v>8809</v>
      </c>
      <c r="Y1626" s="4">
        <v>91</v>
      </c>
      <c r="Z1626" s="4">
        <v>71</v>
      </c>
      <c r="AA1626" s="4">
        <v>73</v>
      </c>
      <c r="AB1626" s="4">
        <v>1</v>
      </c>
      <c r="AC1626" s="4">
        <v>1</v>
      </c>
      <c r="AD1626" s="4">
        <v>4</v>
      </c>
      <c r="AE1626" s="4">
        <v>4</v>
      </c>
      <c r="AF1626" s="4">
        <v>3</v>
      </c>
      <c r="AG1626" s="4">
        <v>3</v>
      </c>
      <c r="AH1626" s="4">
        <v>0</v>
      </c>
      <c r="AI1626" s="4">
        <v>0</v>
      </c>
      <c r="AJ1626" s="4">
        <v>2</v>
      </c>
      <c r="AK1626" s="4">
        <v>2</v>
      </c>
      <c r="AL1626" s="4">
        <v>0</v>
      </c>
      <c r="AM1626" s="4">
        <v>0</v>
      </c>
      <c r="AN1626" s="4">
        <v>0</v>
      </c>
      <c r="AO1626" s="4">
        <v>0</v>
      </c>
      <c r="AP1626" s="3" t="s">
        <v>58</v>
      </c>
      <c r="AQ1626" s="3" t="s">
        <v>86</v>
      </c>
      <c r="AR1626" s="6" t="str">
        <f>HYPERLINK("http://catalog.hathitrust.org/Record/008852295","HathiTrust Record")</f>
        <v>HathiTrust Record</v>
      </c>
      <c r="AS1626" s="6" t="str">
        <f>HYPERLINK("https://creighton-primo.hosted.exlibrisgroup.com/primo-explore/search?tab=default_tab&amp;search_scope=EVERYTHING&amp;vid=01CRU&amp;lang=en_US&amp;offset=0&amp;query=any,contains,991002280219702656","Catalog Record")</f>
        <v>Catalog Record</v>
      </c>
      <c r="AT1626" s="6" t="str">
        <f>HYPERLINK("http://www.worldcat.org/oclc/29564830","WorldCat Record")</f>
        <v>WorldCat Record</v>
      </c>
      <c r="AU1626" s="3" t="s">
        <v>20706</v>
      </c>
      <c r="AV1626" s="3" t="s">
        <v>20707</v>
      </c>
      <c r="AW1626" s="3" t="s">
        <v>20708</v>
      </c>
      <c r="AX1626" s="3" t="s">
        <v>20708</v>
      </c>
      <c r="AY1626" s="3" t="s">
        <v>20709</v>
      </c>
      <c r="AZ1626" s="3" t="s">
        <v>74</v>
      </c>
      <c r="BB1626" s="3" t="s">
        <v>20710</v>
      </c>
      <c r="BC1626" s="3" t="s">
        <v>20711</v>
      </c>
      <c r="BD1626" s="3" t="s">
        <v>20712</v>
      </c>
    </row>
    <row r="1627" spans="1:56" ht="42.75" customHeight="1" x14ac:dyDescent="0.25">
      <c r="A1627" s="7" t="s">
        <v>58</v>
      </c>
      <c r="B1627" s="2" t="s">
        <v>20713</v>
      </c>
      <c r="C1627" s="2" t="s">
        <v>20714</v>
      </c>
      <c r="D1627" s="2" t="s">
        <v>20715</v>
      </c>
      <c r="F1627" s="3" t="s">
        <v>58</v>
      </c>
      <c r="G1627" s="3" t="s">
        <v>59</v>
      </c>
      <c r="H1627" s="3" t="s">
        <v>58</v>
      </c>
      <c r="I1627" s="3" t="s">
        <v>58</v>
      </c>
      <c r="J1627" s="3" t="s">
        <v>60</v>
      </c>
      <c r="L1627" s="2" t="s">
        <v>20716</v>
      </c>
      <c r="M1627" s="3" t="s">
        <v>642</v>
      </c>
      <c r="O1627" s="3" t="s">
        <v>64</v>
      </c>
      <c r="P1627" s="3" t="s">
        <v>83</v>
      </c>
      <c r="R1627" s="3" t="s">
        <v>67</v>
      </c>
      <c r="S1627" s="4">
        <v>15</v>
      </c>
      <c r="T1627" s="4">
        <v>15</v>
      </c>
      <c r="U1627" s="5" t="s">
        <v>7378</v>
      </c>
      <c r="V1627" s="5" t="s">
        <v>7378</v>
      </c>
      <c r="W1627" s="5" t="s">
        <v>10227</v>
      </c>
      <c r="X1627" s="5" t="s">
        <v>10227</v>
      </c>
      <c r="Y1627" s="4">
        <v>270</v>
      </c>
      <c r="Z1627" s="4">
        <v>212</v>
      </c>
      <c r="AA1627" s="4">
        <v>259</v>
      </c>
      <c r="AB1627" s="4">
        <v>3</v>
      </c>
      <c r="AC1627" s="4">
        <v>4</v>
      </c>
      <c r="AD1627" s="4">
        <v>3</v>
      </c>
      <c r="AE1627" s="4">
        <v>6</v>
      </c>
      <c r="AF1627" s="4">
        <v>0</v>
      </c>
      <c r="AG1627" s="4">
        <v>1</v>
      </c>
      <c r="AH1627" s="4">
        <v>1</v>
      </c>
      <c r="AI1627" s="4">
        <v>2</v>
      </c>
      <c r="AJ1627" s="4">
        <v>1</v>
      </c>
      <c r="AK1627" s="4">
        <v>1</v>
      </c>
      <c r="AL1627" s="4">
        <v>2</v>
      </c>
      <c r="AM1627" s="4">
        <v>3</v>
      </c>
      <c r="AN1627" s="4">
        <v>0</v>
      </c>
      <c r="AO1627" s="4">
        <v>0</v>
      </c>
      <c r="AP1627" s="3" t="s">
        <v>58</v>
      </c>
      <c r="AQ1627" s="3" t="s">
        <v>58</v>
      </c>
      <c r="AS1627" s="6" t="str">
        <f>HYPERLINK("https://creighton-primo.hosted.exlibrisgroup.com/primo-explore/search?tab=default_tab&amp;search_scope=EVERYTHING&amp;vid=01CRU&amp;lang=en_US&amp;offset=0&amp;query=any,contains,991001916839702656","Catalog Record")</f>
        <v>Catalog Record</v>
      </c>
      <c r="AT1627" s="6" t="str">
        <f>HYPERLINK("http://www.worldcat.org/oclc/24212935","WorldCat Record")</f>
        <v>WorldCat Record</v>
      </c>
      <c r="AU1627" s="3" t="s">
        <v>20717</v>
      </c>
      <c r="AV1627" s="3" t="s">
        <v>20718</v>
      </c>
      <c r="AW1627" s="3" t="s">
        <v>20719</v>
      </c>
      <c r="AX1627" s="3" t="s">
        <v>20719</v>
      </c>
      <c r="AY1627" s="3" t="s">
        <v>20720</v>
      </c>
      <c r="AZ1627" s="3" t="s">
        <v>74</v>
      </c>
      <c r="BB1627" s="3" t="s">
        <v>20721</v>
      </c>
      <c r="BC1627" s="3" t="s">
        <v>20722</v>
      </c>
      <c r="BD1627" s="3" t="s">
        <v>20723</v>
      </c>
    </row>
    <row r="1628" spans="1:56" ht="42.75" customHeight="1" x14ac:dyDescent="0.25">
      <c r="A1628" s="7" t="s">
        <v>58</v>
      </c>
      <c r="B1628" s="2" t="s">
        <v>20724</v>
      </c>
      <c r="C1628" s="2" t="s">
        <v>20725</v>
      </c>
      <c r="D1628" s="2" t="s">
        <v>20726</v>
      </c>
      <c r="F1628" s="3" t="s">
        <v>58</v>
      </c>
      <c r="G1628" s="3" t="s">
        <v>59</v>
      </c>
      <c r="H1628" s="3" t="s">
        <v>58</v>
      </c>
      <c r="I1628" s="3" t="s">
        <v>58</v>
      </c>
      <c r="J1628" s="3" t="s">
        <v>60</v>
      </c>
      <c r="L1628" s="2" t="s">
        <v>20727</v>
      </c>
      <c r="M1628" s="3" t="s">
        <v>586</v>
      </c>
      <c r="O1628" s="3" t="s">
        <v>64</v>
      </c>
      <c r="P1628" s="3" t="s">
        <v>1898</v>
      </c>
      <c r="Q1628" s="2" t="s">
        <v>20728</v>
      </c>
      <c r="R1628" s="3" t="s">
        <v>67</v>
      </c>
      <c r="S1628" s="4">
        <v>5</v>
      </c>
      <c r="T1628" s="4">
        <v>5</v>
      </c>
      <c r="U1628" s="5" t="s">
        <v>7378</v>
      </c>
      <c r="V1628" s="5" t="s">
        <v>7378</v>
      </c>
      <c r="W1628" s="5" t="s">
        <v>7573</v>
      </c>
      <c r="X1628" s="5" t="s">
        <v>7573</v>
      </c>
      <c r="Y1628" s="4">
        <v>224</v>
      </c>
      <c r="Z1628" s="4">
        <v>183</v>
      </c>
      <c r="AA1628" s="4">
        <v>217</v>
      </c>
      <c r="AB1628" s="4">
        <v>1</v>
      </c>
      <c r="AC1628" s="4">
        <v>1</v>
      </c>
      <c r="AD1628" s="4">
        <v>6</v>
      </c>
      <c r="AE1628" s="4">
        <v>6</v>
      </c>
      <c r="AF1628" s="4">
        <v>0</v>
      </c>
      <c r="AG1628" s="4">
        <v>0</v>
      </c>
      <c r="AH1628" s="4">
        <v>3</v>
      </c>
      <c r="AI1628" s="4">
        <v>3</v>
      </c>
      <c r="AJ1628" s="4">
        <v>3</v>
      </c>
      <c r="AK1628" s="4">
        <v>3</v>
      </c>
      <c r="AL1628" s="4">
        <v>0</v>
      </c>
      <c r="AM1628" s="4">
        <v>0</v>
      </c>
      <c r="AN1628" s="4">
        <v>0</v>
      </c>
      <c r="AO1628" s="4">
        <v>0</v>
      </c>
      <c r="AP1628" s="3" t="s">
        <v>58</v>
      </c>
      <c r="AQ1628" s="3" t="s">
        <v>58</v>
      </c>
      <c r="AS1628" s="6" t="str">
        <f>HYPERLINK("https://creighton-primo.hosted.exlibrisgroup.com/primo-explore/search?tab=default_tab&amp;search_scope=EVERYTHING&amp;vid=01CRU&amp;lang=en_US&amp;offset=0&amp;query=any,contains,991001760849702656","Catalog Record")</f>
        <v>Catalog Record</v>
      </c>
      <c r="AT1628" s="6" t="str">
        <f>HYPERLINK("http://www.worldcat.org/oclc/22273890","WorldCat Record")</f>
        <v>WorldCat Record</v>
      </c>
      <c r="AU1628" s="3" t="s">
        <v>20729</v>
      </c>
      <c r="AV1628" s="3" t="s">
        <v>20730</v>
      </c>
      <c r="AW1628" s="3" t="s">
        <v>20731</v>
      </c>
      <c r="AX1628" s="3" t="s">
        <v>20731</v>
      </c>
      <c r="AY1628" s="3" t="s">
        <v>20732</v>
      </c>
      <c r="AZ1628" s="3" t="s">
        <v>74</v>
      </c>
      <c r="BB1628" s="3" t="s">
        <v>20733</v>
      </c>
      <c r="BC1628" s="3" t="s">
        <v>20734</v>
      </c>
      <c r="BD1628" s="3" t="s">
        <v>20735</v>
      </c>
    </row>
    <row r="1629" spans="1:56" ht="42.75" customHeight="1" x14ac:dyDescent="0.25">
      <c r="A1629" s="7" t="s">
        <v>58</v>
      </c>
      <c r="B1629" s="2" t="s">
        <v>20736</v>
      </c>
      <c r="C1629" s="2" t="s">
        <v>20737</v>
      </c>
      <c r="D1629" s="2" t="s">
        <v>20738</v>
      </c>
      <c r="F1629" s="3" t="s">
        <v>58</v>
      </c>
      <c r="G1629" s="3" t="s">
        <v>59</v>
      </c>
      <c r="H1629" s="3" t="s">
        <v>58</v>
      </c>
      <c r="I1629" s="3" t="s">
        <v>58</v>
      </c>
      <c r="J1629" s="3" t="s">
        <v>60</v>
      </c>
      <c r="L1629" s="2" t="s">
        <v>20739</v>
      </c>
      <c r="M1629" s="3" t="s">
        <v>805</v>
      </c>
      <c r="O1629" s="3" t="s">
        <v>64</v>
      </c>
      <c r="P1629" s="3" t="s">
        <v>65</v>
      </c>
      <c r="Q1629" s="2" t="s">
        <v>20740</v>
      </c>
      <c r="R1629" s="3" t="s">
        <v>67</v>
      </c>
      <c r="S1629" s="4">
        <v>1</v>
      </c>
      <c r="T1629" s="4">
        <v>1</v>
      </c>
      <c r="U1629" s="5" t="s">
        <v>20741</v>
      </c>
      <c r="V1629" s="5" t="s">
        <v>20741</v>
      </c>
      <c r="W1629" s="5" t="s">
        <v>20742</v>
      </c>
      <c r="X1629" s="5" t="s">
        <v>20742</v>
      </c>
      <c r="Y1629" s="4">
        <v>165</v>
      </c>
      <c r="Z1629" s="4">
        <v>82</v>
      </c>
      <c r="AA1629" s="4">
        <v>82</v>
      </c>
      <c r="AB1629" s="4">
        <v>1</v>
      </c>
      <c r="AC1629" s="4">
        <v>1</v>
      </c>
      <c r="AD1629" s="4">
        <v>2</v>
      </c>
      <c r="AE1629" s="4">
        <v>2</v>
      </c>
      <c r="AF1629" s="4">
        <v>0</v>
      </c>
      <c r="AG1629" s="4">
        <v>0</v>
      </c>
      <c r="AH1629" s="4">
        <v>2</v>
      </c>
      <c r="AI1629" s="4">
        <v>2</v>
      </c>
      <c r="AJ1629" s="4">
        <v>1</v>
      </c>
      <c r="AK1629" s="4">
        <v>1</v>
      </c>
      <c r="AL1629" s="4">
        <v>0</v>
      </c>
      <c r="AM1629" s="4">
        <v>0</v>
      </c>
      <c r="AN1629" s="4">
        <v>0</v>
      </c>
      <c r="AO1629" s="4">
        <v>0</v>
      </c>
      <c r="AP1629" s="3" t="s">
        <v>58</v>
      </c>
      <c r="AQ1629" s="3" t="s">
        <v>58</v>
      </c>
      <c r="AS1629" s="6" t="str">
        <f>HYPERLINK("https://creighton-primo.hosted.exlibrisgroup.com/primo-explore/search?tab=default_tab&amp;search_scope=EVERYTHING&amp;vid=01CRU&amp;lang=en_US&amp;offset=0&amp;query=any,contains,991002750339702656","Catalog Record")</f>
        <v>Catalog Record</v>
      </c>
      <c r="AT1629" s="6" t="str">
        <f>HYPERLINK("http://www.worldcat.org/oclc/36622037","WorldCat Record")</f>
        <v>WorldCat Record</v>
      </c>
      <c r="AU1629" s="3" t="s">
        <v>20743</v>
      </c>
      <c r="AV1629" s="3" t="s">
        <v>20744</v>
      </c>
      <c r="AW1629" s="3" t="s">
        <v>20745</v>
      </c>
      <c r="AX1629" s="3" t="s">
        <v>20745</v>
      </c>
      <c r="AY1629" s="3" t="s">
        <v>20746</v>
      </c>
      <c r="AZ1629" s="3" t="s">
        <v>74</v>
      </c>
      <c r="BB1629" s="3" t="s">
        <v>20747</v>
      </c>
      <c r="BC1629" s="3" t="s">
        <v>20748</v>
      </c>
      <c r="BD1629" s="3" t="s">
        <v>20749</v>
      </c>
    </row>
    <row r="1630" spans="1:56" ht="42.75" customHeight="1" x14ac:dyDescent="0.25">
      <c r="A1630" s="7" t="s">
        <v>58</v>
      </c>
      <c r="B1630" s="2" t="s">
        <v>20750</v>
      </c>
      <c r="C1630" s="2" t="s">
        <v>20751</v>
      </c>
      <c r="D1630" s="2" t="s">
        <v>20752</v>
      </c>
      <c r="F1630" s="3" t="s">
        <v>58</v>
      </c>
      <c r="G1630" s="3" t="s">
        <v>59</v>
      </c>
      <c r="H1630" s="3" t="s">
        <v>58</v>
      </c>
      <c r="I1630" s="3" t="s">
        <v>58</v>
      </c>
      <c r="J1630" s="3" t="s">
        <v>60</v>
      </c>
      <c r="K1630" s="2" t="s">
        <v>20753</v>
      </c>
      <c r="L1630" s="2" t="s">
        <v>20754</v>
      </c>
      <c r="M1630" s="3" t="s">
        <v>888</v>
      </c>
      <c r="O1630" s="3" t="s">
        <v>64</v>
      </c>
      <c r="P1630" s="3" t="s">
        <v>115</v>
      </c>
      <c r="R1630" s="3" t="s">
        <v>67</v>
      </c>
      <c r="S1630" s="4">
        <v>1</v>
      </c>
      <c r="T1630" s="4">
        <v>1</v>
      </c>
      <c r="U1630" s="5" t="s">
        <v>20755</v>
      </c>
      <c r="V1630" s="5" t="s">
        <v>20755</v>
      </c>
      <c r="W1630" s="5" t="s">
        <v>20755</v>
      </c>
      <c r="X1630" s="5" t="s">
        <v>20755</v>
      </c>
      <c r="Y1630" s="4">
        <v>407</v>
      </c>
      <c r="Z1630" s="4">
        <v>295</v>
      </c>
      <c r="AA1630" s="4">
        <v>295</v>
      </c>
      <c r="AB1630" s="4">
        <v>2</v>
      </c>
      <c r="AC1630" s="4">
        <v>2</v>
      </c>
      <c r="AD1630" s="4">
        <v>16</v>
      </c>
      <c r="AE1630" s="4">
        <v>16</v>
      </c>
      <c r="AF1630" s="4">
        <v>4</v>
      </c>
      <c r="AG1630" s="4">
        <v>4</v>
      </c>
      <c r="AH1630" s="4">
        <v>5</v>
      </c>
      <c r="AI1630" s="4">
        <v>5</v>
      </c>
      <c r="AJ1630" s="4">
        <v>10</v>
      </c>
      <c r="AK1630" s="4">
        <v>10</v>
      </c>
      <c r="AL1630" s="4">
        <v>1</v>
      </c>
      <c r="AM1630" s="4">
        <v>1</v>
      </c>
      <c r="AN1630" s="4">
        <v>0</v>
      </c>
      <c r="AO1630" s="4">
        <v>0</v>
      </c>
      <c r="AP1630" s="3" t="s">
        <v>58</v>
      </c>
      <c r="AQ1630" s="3" t="s">
        <v>58</v>
      </c>
      <c r="AS1630" s="6" t="str">
        <f>HYPERLINK("https://creighton-primo.hosted.exlibrisgroup.com/primo-explore/search?tab=default_tab&amp;search_scope=EVERYTHING&amp;vid=01CRU&amp;lang=en_US&amp;offset=0&amp;query=any,contains,991003697309702656","Catalog Record")</f>
        <v>Catalog Record</v>
      </c>
      <c r="AT1630" s="6" t="str">
        <f>HYPERLINK("http://www.worldcat.org/oclc/39169947","WorldCat Record")</f>
        <v>WorldCat Record</v>
      </c>
      <c r="AU1630" s="3" t="s">
        <v>20756</v>
      </c>
      <c r="AV1630" s="3" t="s">
        <v>20757</v>
      </c>
      <c r="AW1630" s="3" t="s">
        <v>20758</v>
      </c>
      <c r="AX1630" s="3" t="s">
        <v>20758</v>
      </c>
      <c r="AY1630" s="3" t="s">
        <v>20759</v>
      </c>
      <c r="AZ1630" s="3" t="s">
        <v>74</v>
      </c>
      <c r="BB1630" s="3" t="s">
        <v>20760</v>
      </c>
      <c r="BC1630" s="3" t="s">
        <v>20761</v>
      </c>
      <c r="BD1630" s="3" t="s">
        <v>20762</v>
      </c>
    </row>
  </sheetData>
  <sheetProtection sheet="1" objects="1" scenarios="1"/>
  <protectedRanges>
    <protectedRange sqref="A2:A1630" name="Range1"/>
    <protectedRange sqref="A1" name="Range1_1"/>
  </protectedRanges>
  <dataValidations count="1">
    <dataValidation type="list" allowBlank="1" showInputMessage="1" showErrorMessage="1" sqref="A2:A1630" xr:uid="{08C42C66-D1BD-4F32-992C-A880AF40D264}">
      <formula1>"Yes,No"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FBB38ED5D0D274CB2EE2DBFB4DF27AF" ma:contentTypeVersion="16" ma:contentTypeDescription="Create a new document." ma:contentTypeScope="" ma:versionID="343be7708d3bfc8b8cd1354f85bdb4ef">
  <xsd:schema xmlns:xsd="http://www.w3.org/2001/XMLSchema" xmlns:xs="http://www.w3.org/2001/XMLSchema" xmlns:p="http://schemas.microsoft.com/office/2006/metadata/properties" xmlns:ns1="7623ea29-c77c-4024-9954-09e8d33ddb63" xmlns:ns3="a2717908-15ff-42bd-a5fc-d9ac8b8728f4" targetNamespace="http://schemas.microsoft.com/office/2006/metadata/properties" ma:root="true" ma:fieldsID="ba37602cec7d275ad63d8520a3e085f5" ns1:_="" ns3:_="">
    <xsd:import namespace="7623ea29-c77c-4024-9954-09e8d33ddb63"/>
    <xsd:import namespace="a2717908-15ff-42bd-a5fc-d9ac8b8728f4"/>
    <xsd:element name="properties">
      <xsd:complexType>
        <xsd:sequence>
          <xsd:element name="documentManagement">
            <xsd:complexType>
              <xsd:all>
                <xsd:element ref="ns1:Number" minOccurs="0"/>
                <xsd:element ref="ns1:MediaServiceMetadata" minOccurs="0"/>
                <xsd:element ref="ns1:MediaServiceFastMetadata" minOccurs="0"/>
                <xsd:element ref="ns1:MediaServiceDateTaken" minOccurs="0"/>
                <xsd:element ref="ns3:SharedWithUsers" minOccurs="0"/>
                <xsd:element ref="ns3:SharedWithDetails" minOccurs="0"/>
                <xsd:element ref="ns1:MediaServiceAutoKeyPoints" minOccurs="0"/>
                <xsd:element ref="ns1:MediaServiceKeyPoints" minOccurs="0"/>
                <xsd:element ref="ns1:MediaServiceAutoTags" minOccurs="0"/>
                <xsd:element ref="ns1:MediaServiceOCR" minOccurs="0"/>
                <xsd:element ref="ns1:MediaServiceGenerationTime" minOccurs="0"/>
                <xsd:element ref="ns1:MediaServiceEventHashCode" minOccurs="0"/>
                <xsd:element ref="ns1:MediaServiceLocation" minOccurs="0"/>
                <xsd:element ref="ns1:MediaLengthInSeconds" minOccurs="0"/>
                <xsd:element ref="ns1:statuswithucomm" minOccurs="0"/>
                <xsd:element ref="ns1:submittedtoUCO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23ea29-c77c-4024-9954-09e8d33ddb63" elementFormDefault="qualified">
    <xsd:import namespace="http://schemas.microsoft.com/office/2006/documentManagement/types"/>
    <xsd:import namespace="http://schemas.microsoft.com/office/infopath/2007/PartnerControls"/>
    <xsd:element name="Number" ma:index="0" nillable="true" ma:displayName="Number" ma:description="Sort Order" ma:format="Dropdown" ma:internalName="Number" ma:percentage="FALSE">
      <xsd:simpleType>
        <xsd:restriction base="dms:Number"/>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DateTaken" ma:index="8"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statuswithucomm" ma:index="22" nillable="true" ma:displayName="status with ucomm" ma:format="Dropdown" ma:internalName="statuswithucomm">
      <xsd:simpleType>
        <xsd:restriction base="dms:Text">
          <xsd:maxLength value="255"/>
        </xsd:restriction>
      </xsd:simpleType>
    </xsd:element>
    <xsd:element name="submittedtoUCOm" ma:index="23" nillable="true" ma:displayName="submitted to UCOm" ma:default="0" ma:format="Dropdown" ma:internalName="submittedtoUCOm">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2717908-15ff-42bd-a5fc-d9ac8b8728f4"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umber xmlns="7623ea29-c77c-4024-9954-09e8d33ddb63" xsi:nil="true"/>
    <SharedWithUsers xmlns="a2717908-15ff-42bd-a5fc-d9ac8b8728f4">
      <UserInfo>
        <DisplayName/>
        <AccountId xsi:nil="true"/>
        <AccountType/>
      </UserInfo>
    </SharedWithUsers>
    <MediaLengthInSeconds xmlns="7623ea29-c77c-4024-9954-09e8d33ddb63" xsi:nil="true"/>
    <submittedtoUCOm xmlns="7623ea29-c77c-4024-9954-09e8d33ddb63">false</submittedtoUCOm>
    <statuswithucomm xmlns="7623ea29-c77c-4024-9954-09e8d33ddb63" xsi:nil="true"/>
  </documentManagement>
</p:properties>
</file>

<file path=customXml/itemProps1.xml><?xml version="1.0" encoding="utf-8"?>
<ds:datastoreItem xmlns:ds="http://schemas.openxmlformats.org/officeDocument/2006/customXml" ds:itemID="{5A31FF02-9B5C-415E-9216-18E958A6D19C}"/>
</file>

<file path=customXml/itemProps2.xml><?xml version="1.0" encoding="utf-8"?>
<ds:datastoreItem xmlns:ds="http://schemas.openxmlformats.org/officeDocument/2006/customXml" ds:itemID="{D470E7B9-F1E5-48F2-8624-1E79B973E0DE}"/>
</file>

<file path=customXml/itemProps3.xml><?xml version="1.0" encoding="utf-8"?>
<ds:datastoreItem xmlns:ds="http://schemas.openxmlformats.org/officeDocument/2006/customXml" ds:itemID="{1B2EF6C2-DD4C-49BC-8F24-CF5B603CBF9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Elizabeth Kiscaden</dc:creator>
  <cp:lastModifiedBy>Elizabeth Kiscaden</cp:lastModifiedBy>
  <dcterms:created xsi:type="dcterms:W3CDTF">2022-03-04T02:54:00Z</dcterms:created>
  <dcterms:modified xsi:type="dcterms:W3CDTF">2022-03-04T02:55:55Z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0x0101007FBB38ED5D0D274CB2EE2DBFB4DF27AF</vt:lpwstr>
  </property>
  <property fmtid="{D5CDD505-2E9C-101B-9397-08002B2CF9AE}" pid="3" name="Order">
    <vt:r8>289100</vt:r8>
  </property>
  <property fmtid="{D5CDD505-2E9C-101B-9397-08002B2CF9AE}" pid="4" name="_ExtendedDescription">
    <vt:lpwstr/>
  </property>
  <property fmtid="{D5CDD505-2E9C-101B-9397-08002B2CF9AE}" pid="5" name="TriggerFlowInfo">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ies>
</file>